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tables/table2.xml" ContentType="application/vnd.openxmlformats-officedocument.spreadsheetml.table+xml"/>
  <Override PartName="/xl/comments5.xml" ContentType="application/vnd.openxmlformats-officedocument.spreadsheetml.comments+xml"/>
  <Override PartName="/xl/tables/table3.xml" ContentType="application/vnd.openxmlformats-officedocument.spreadsheetml.table+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L:\5_Atténuation et politique climat\52_Leviers\524_Entreprises\SNBC et SGPE\Guide entreprise\Versions à jour\"/>
    </mc:Choice>
  </mc:AlternateContent>
  <xr:revisionPtr revIDLastSave="0" documentId="13_ncr:1_{1B93DC89-B75E-404A-9B44-2B8138DE3D08}" xr6:coauthVersionLast="47" xr6:coauthVersionMax="47" xr10:uidLastSave="{00000000-0000-0000-0000-000000000000}"/>
  <workbookProtection workbookAlgorithmName="SHA-512" workbookHashValue="PHiSlRMfeTjMNletct4+eBf3Hla5ZDrgKdAKgSU1UANdq08v6ij3yv0FfBqrhoJ+muBm3b40BwaZX8NEltAG6w==" workbookSaltValue="FVQl/nzm1FUZdj1BnZIJHQ==" workbookSpinCount="100000" lockStructure="1"/>
  <bookViews>
    <workbookView xWindow="-120" yWindow="-16320" windowWidth="29040" windowHeight="15720" xr2:uid="{60FB28E7-5C5A-4536-9ADA-1FE4BAB6DAF0}"/>
  </bookViews>
  <sheets>
    <sheet name="Notice d'utilisation et FAQ" sheetId="25" r:id="rId1"/>
    <sheet name="Choix années" sheetId="18" r:id="rId2"/>
    <sheet name="Scope 1" sheetId="21" r:id="rId3"/>
    <sheet name="Scope 2" sheetId="22" r:id="rId4"/>
    <sheet name="Scope 3" sheetId="26" r:id="rId5"/>
    <sheet name="Objectifs physiques sectoriels" sheetId="24" r:id="rId6"/>
    <sheet name="Bâtiment" sheetId="9" r:id="rId7"/>
    <sheet name="Transport" sheetId="10" r:id="rId8"/>
    <sheet name="Agriculture" sheetId="11" r:id="rId9"/>
    <sheet name="Industrie" sheetId="12" r:id="rId10"/>
    <sheet name="Energie" sheetId="14" r:id="rId11"/>
    <sheet name="Déchets" sheetId="13" r:id="rId12"/>
    <sheet name="UTCATF" sheetId="16" r:id="rId13"/>
    <sheet name="Empreinte" sheetId="30" r:id="rId14"/>
    <sheet name="Résultats détaillés GES" sheetId="17" r:id="rId15"/>
    <sheet name="Résultats détaillés N2O" sheetId="28" r:id="rId16"/>
    <sheet name="Résultats détaillés CH4" sheetId="27" r:id="rId17"/>
    <sheet name="Résultats détaillés Gaz F" sheetId="29" r:id="rId18"/>
    <sheet name="Données d'activité" sheetId="33" state="hidden" r:id="rId19"/>
    <sheet name="Intensités" sheetId="32" state="hidden" r:id="rId20"/>
  </sheets>
  <definedNames>
    <definedName name="_xlnm._FilterDatabase" localSheetId="5" hidden="1">'Objectifs physiques sectoriels'!$B$2:$D$90</definedName>
    <definedName name="_xlnm._FilterDatabase" localSheetId="2" hidden="1">'Scope 1'!$B$2:$D$70</definedName>
    <definedName name="_xlnm._FilterDatabase" localSheetId="3" hidden="1">'Scope 2'!$B$2:$E$4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M128" i="29" l="1"/>
  <c r="AM127" i="29"/>
  <c r="AM126" i="29"/>
  <c r="AM125" i="29"/>
  <c r="AM129" i="29" s="1"/>
  <c r="AM121" i="29"/>
  <c r="AM120" i="29"/>
  <c r="AM119" i="29"/>
  <c r="AM118" i="29"/>
  <c r="AM117" i="29"/>
  <c r="AM122" i="29" s="1"/>
  <c r="AM115" i="29"/>
  <c r="AM114" i="29"/>
  <c r="AM113" i="29"/>
  <c r="AM112" i="29"/>
  <c r="AM111" i="29"/>
  <c r="AM110" i="29"/>
  <c r="AM109" i="29"/>
  <c r="AM108" i="29"/>
  <c r="AM107" i="29"/>
  <c r="AM106" i="29"/>
  <c r="AM105" i="29"/>
  <c r="AM104" i="29"/>
  <c r="AM103" i="29"/>
  <c r="AM102" i="29"/>
  <c r="AM101" i="29"/>
  <c r="AM100" i="29"/>
  <c r="AM99" i="29"/>
  <c r="AM98" i="29"/>
  <c r="AM97" i="29"/>
  <c r="AM96" i="29"/>
  <c r="AM95" i="29"/>
  <c r="AM116" i="29" s="1"/>
  <c r="AM86" i="29"/>
  <c r="AM85" i="29"/>
  <c r="AM84" i="29"/>
  <c r="AM83" i="29"/>
  <c r="AM82" i="29"/>
  <c r="AM87" i="29" s="1"/>
  <c r="AM80" i="29"/>
  <c r="AM79" i="29"/>
  <c r="AM78" i="29"/>
  <c r="AM77" i="29"/>
  <c r="AM81" i="29" s="1"/>
  <c r="AM91" i="29" s="1"/>
  <c r="AM72" i="29"/>
  <c r="AM71" i="29"/>
  <c r="AM70" i="29"/>
  <c r="AM69" i="29"/>
  <c r="AM68" i="29"/>
  <c r="AM67" i="29"/>
  <c r="AM62" i="29"/>
  <c r="AM61" i="29"/>
  <c r="AM60" i="29"/>
  <c r="AM59" i="29"/>
  <c r="AM66" i="29" s="1"/>
  <c r="AM73" i="29" s="1"/>
  <c r="AM46" i="29"/>
  <c r="AM45" i="29"/>
  <c r="AM44" i="29"/>
  <c r="AM43" i="29"/>
  <c r="AM42" i="29"/>
  <c r="AM41" i="29"/>
  <c r="AM40" i="29"/>
  <c r="AM39" i="29"/>
  <c r="AM38" i="29"/>
  <c r="AM47" i="29" s="1"/>
  <c r="AM25" i="29"/>
  <c r="AM34" i="29" s="1"/>
  <c r="AM15" i="29"/>
  <c r="AM14" i="29"/>
  <c r="AM17" i="29" s="1"/>
  <c r="AM13" i="29"/>
  <c r="AM12" i="29"/>
  <c r="AM11" i="29"/>
  <c r="AM10" i="29"/>
  <c r="AM9" i="29"/>
  <c r="AM8" i="29"/>
  <c r="AM7" i="29"/>
  <c r="AM15" i="27"/>
  <c r="AM14" i="27"/>
  <c r="AM13" i="27"/>
  <c r="AM12" i="27"/>
  <c r="AM11" i="27"/>
  <c r="AM10" i="27"/>
  <c r="AM9" i="27"/>
  <c r="AM8" i="27"/>
  <c r="AM7" i="27"/>
  <c r="AM33" i="27"/>
  <c r="AM32" i="27"/>
  <c r="AM31" i="27"/>
  <c r="AM30" i="27"/>
  <c r="AM29" i="27"/>
  <c r="AM28" i="27"/>
  <c r="AM27" i="27"/>
  <c r="AM26" i="27"/>
  <c r="AM25" i="27"/>
  <c r="AM34" i="27" s="1"/>
  <c r="AM46" i="27"/>
  <c r="AM45" i="27"/>
  <c r="AM44" i="27"/>
  <c r="AM43" i="27"/>
  <c r="AM42" i="27"/>
  <c r="AM41" i="27"/>
  <c r="AM40" i="27"/>
  <c r="AM39" i="27"/>
  <c r="AM38" i="27"/>
  <c r="AM47" i="27" s="1"/>
  <c r="AM54" i="27"/>
  <c r="AM53" i="27"/>
  <c r="AM52" i="27"/>
  <c r="AM51" i="27"/>
  <c r="AM55" i="27" s="1"/>
  <c r="AM71" i="27"/>
  <c r="AM70" i="27"/>
  <c r="AM69" i="27"/>
  <c r="AM68" i="27"/>
  <c r="AM67" i="27"/>
  <c r="AM65" i="27"/>
  <c r="AM64" i="27"/>
  <c r="AM63" i="27"/>
  <c r="AM62" i="27"/>
  <c r="AM61" i="27"/>
  <c r="AM66" i="27" s="1"/>
  <c r="AM73" i="27" s="1"/>
  <c r="AM60" i="27"/>
  <c r="AM59" i="27"/>
  <c r="AM90" i="27"/>
  <c r="AM88" i="27"/>
  <c r="AM86" i="27"/>
  <c r="AM85" i="27"/>
  <c r="AM84" i="27"/>
  <c r="AM83" i="27"/>
  <c r="AM82" i="27"/>
  <c r="AM87" i="27" s="1"/>
  <c r="AM80" i="27"/>
  <c r="AM79" i="27"/>
  <c r="AM81" i="27" s="1"/>
  <c r="AM91" i="27" s="1"/>
  <c r="AM78" i="27"/>
  <c r="AM77" i="27"/>
  <c r="AM140" i="27"/>
  <c r="AM139" i="27"/>
  <c r="AM138" i="27"/>
  <c r="AM137" i="27"/>
  <c r="AM136" i="27"/>
  <c r="AM135" i="27"/>
  <c r="AM134" i="27"/>
  <c r="AM133" i="27"/>
  <c r="AM141" i="27" s="1"/>
  <c r="AO106" i="27"/>
  <c r="AO107" i="27"/>
  <c r="AO108" i="27"/>
  <c r="AO109" i="27"/>
  <c r="AO110" i="27"/>
  <c r="AO111" i="27"/>
  <c r="AO112" i="27"/>
  <c r="AM107" i="27"/>
  <c r="AM108" i="27"/>
  <c r="AM109" i="27"/>
  <c r="AM110" i="27"/>
  <c r="AM111" i="27"/>
  <c r="AM112" i="27"/>
  <c r="AM128" i="27"/>
  <c r="AM127" i="27"/>
  <c r="AM126" i="27"/>
  <c r="AM125" i="27"/>
  <c r="AM129" i="27" s="1"/>
  <c r="AM121" i="27"/>
  <c r="AM120" i="27"/>
  <c r="AM119" i="27"/>
  <c r="AM118" i="27"/>
  <c r="AM117" i="27"/>
  <c r="AM122" i="27" s="1"/>
  <c r="AM115" i="27"/>
  <c r="AM114" i="27"/>
  <c r="AM113" i="27"/>
  <c r="AM106" i="27"/>
  <c r="AM105" i="27"/>
  <c r="AM104" i="27"/>
  <c r="AM103" i="27"/>
  <c r="AM102" i="27"/>
  <c r="AM101" i="27"/>
  <c r="AM100" i="27"/>
  <c r="AM99" i="27"/>
  <c r="AM98" i="27"/>
  <c r="AM97" i="27"/>
  <c r="AM96" i="27"/>
  <c r="AM95" i="27"/>
  <c r="AM116" i="27" s="1"/>
  <c r="AM15" i="28"/>
  <c r="AM14" i="28"/>
  <c r="AM17" i="28" s="1"/>
  <c r="AM13" i="28"/>
  <c r="AM12" i="28"/>
  <c r="AM11" i="28"/>
  <c r="AM10" i="28"/>
  <c r="AM9" i="28"/>
  <c r="AM8" i="28"/>
  <c r="AM7" i="28"/>
  <c r="AM33" i="28"/>
  <c r="AM32" i="28"/>
  <c r="AM31" i="28"/>
  <c r="AM30" i="28"/>
  <c r="AM29" i="28"/>
  <c r="AM28" i="28"/>
  <c r="AM27" i="28"/>
  <c r="AM26" i="28"/>
  <c r="AM25" i="28"/>
  <c r="AM34" i="28" s="1"/>
  <c r="AM46" i="28"/>
  <c r="AM45" i="28"/>
  <c r="AM44" i="28"/>
  <c r="AM43" i="28"/>
  <c r="AM42" i="28"/>
  <c r="AM41" i="28"/>
  <c r="AM40" i="28"/>
  <c r="AM39" i="28"/>
  <c r="AM38" i="28"/>
  <c r="AM47" i="28" s="1"/>
  <c r="AM54" i="28"/>
  <c r="AM53" i="28"/>
  <c r="AM52" i="28"/>
  <c r="AM51" i="28"/>
  <c r="AM55" i="28" s="1"/>
  <c r="AM71" i="28"/>
  <c r="AM70" i="28"/>
  <c r="AM69" i="28"/>
  <c r="AM68" i="28"/>
  <c r="AM67" i="28"/>
  <c r="AM65" i="28"/>
  <c r="AM64" i="28"/>
  <c r="AM63" i="28"/>
  <c r="AM62" i="28"/>
  <c r="AM61" i="28"/>
  <c r="AM66" i="28" s="1"/>
  <c r="AM73" i="28" s="1"/>
  <c r="AM60" i="28"/>
  <c r="AM59" i="28"/>
  <c r="AM90" i="28"/>
  <c r="AM88" i="28" s="1"/>
  <c r="AM86" i="28"/>
  <c r="AM85" i="28"/>
  <c r="AM84" i="28"/>
  <c r="AM83" i="28"/>
  <c r="AM82" i="28"/>
  <c r="AM87" i="28" s="1"/>
  <c r="AM80" i="28"/>
  <c r="AM79" i="28"/>
  <c r="AM81" i="28" s="1"/>
  <c r="AM91" i="28" s="1"/>
  <c r="AM78" i="28"/>
  <c r="AM77" i="28"/>
  <c r="AM140" i="28"/>
  <c r="AM139" i="28"/>
  <c r="AM138" i="28"/>
  <c r="AM137" i="28"/>
  <c r="AM136" i="28"/>
  <c r="AM135" i="28"/>
  <c r="AM134" i="28"/>
  <c r="AM133" i="28"/>
  <c r="AM141" i="28" s="1"/>
  <c r="AM123" i="28"/>
  <c r="AM121" i="28"/>
  <c r="AM120" i="28"/>
  <c r="AM119" i="28"/>
  <c r="AM118" i="28"/>
  <c r="AM117" i="28"/>
  <c r="AM122" i="28" s="1"/>
  <c r="AO115" i="28"/>
  <c r="AO114" i="28"/>
  <c r="AO113" i="28"/>
  <c r="AO112" i="28"/>
  <c r="AO111" i="28"/>
  <c r="AO110" i="28"/>
  <c r="AO109" i="28"/>
  <c r="AO108" i="28"/>
  <c r="AO107" i="28"/>
  <c r="AO106" i="28"/>
  <c r="AO105" i="28"/>
  <c r="AO104" i="28"/>
  <c r="AO103" i="28"/>
  <c r="AO102" i="28"/>
  <c r="AO101" i="28"/>
  <c r="AO100" i="28"/>
  <c r="AO99" i="28"/>
  <c r="AO98" i="28"/>
  <c r="AO97" i="28"/>
  <c r="AO96" i="28"/>
  <c r="AO95" i="28"/>
  <c r="AM96" i="28"/>
  <c r="AM97" i="28"/>
  <c r="AM98" i="28"/>
  <c r="AM99" i="28"/>
  <c r="AM100" i="28"/>
  <c r="AM101" i="28"/>
  <c r="AM102" i="28"/>
  <c r="AM103" i="28"/>
  <c r="AM104" i="28"/>
  <c r="AM105" i="28"/>
  <c r="AM106" i="28"/>
  <c r="AM107" i="28"/>
  <c r="AM108" i="28"/>
  <c r="AM109" i="28"/>
  <c r="AM110" i="28"/>
  <c r="AM111" i="28"/>
  <c r="AM112" i="28"/>
  <c r="AM113" i="28"/>
  <c r="AM114" i="28"/>
  <c r="AM115" i="28"/>
  <c r="AM95" i="28"/>
  <c r="AM123" i="29" l="1"/>
  <c r="AM123" i="27"/>
  <c r="AR34" i="29" l="1"/>
  <c r="AQ34" i="29"/>
  <c r="AP34" i="29"/>
  <c r="AN34" i="29"/>
  <c r="AO127" i="27" l="1"/>
  <c r="AO126" i="27"/>
  <c r="AO125" i="27"/>
  <c r="AO121" i="27"/>
  <c r="AO120" i="27"/>
  <c r="AO119" i="27"/>
  <c r="AO118" i="27"/>
  <c r="AO117" i="27"/>
  <c r="AO115" i="27"/>
  <c r="AO114" i="27"/>
  <c r="AO113" i="27"/>
  <c r="AO105" i="27"/>
  <c r="AO104" i="27"/>
  <c r="AO103" i="27"/>
  <c r="AO102" i="27"/>
  <c r="AO101" i="27"/>
  <c r="AO100" i="27"/>
  <c r="AO99" i="27"/>
  <c r="AO98" i="27"/>
  <c r="AO97" i="27"/>
  <c r="AO96" i="27"/>
  <c r="AO95" i="27"/>
  <c r="AP47" i="27"/>
  <c r="AN47" i="27"/>
  <c r="AL47" i="27"/>
  <c r="D57" i="26"/>
  <c r="D56" i="26"/>
  <c r="AI48" i="32"/>
  <c r="AI47" i="32"/>
  <c r="AD47" i="32"/>
  <c r="AO122" i="27" l="1"/>
  <c r="AO116" i="27"/>
  <c r="K44" i="33"/>
  <c r="AI28" i="33"/>
  <c r="AH28" i="33"/>
  <c r="AG28" i="33"/>
  <c r="AF28" i="33"/>
  <c r="AE28" i="33"/>
  <c r="AD28" i="33"/>
  <c r="AC28" i="33"/>
  <c r="AB28" i="33"/>
  <c r="AA28" i="33"/>
  <c r="Z28" i="33"/>
  <c r="Y28" i="33"/>
  <c r="X28" i="33"/>
  <c r="W28" i="33"/>
  <c r="V28" i="33"/>
  <c r="U28" i="33"/>
  <c r="T28" i="33"/>
  <c r="S28" i="33"/>
  <c r="R28" i="33"/>
  <c r="Q28" i="33"/>
  <c r="P28" i="33"/>
  <c r="O28" i="33"/>
  <c r="N28" i="33"/>
  <c r="M28" i="33"/>
  <c r="L28" i="33"/>
  <c r="K28" i="33"/>
  <c r="J28" i="33"/>
  <c r="I28" i="33"/>
  <c r="H28" i="33"/>
  <c r="G28" i="33"/>
  <c r="F28" i="33"/>
  <c r="AO123" i="27" l="1"/>
  <c r="AN216" i="17"/>
  <c r="AP216" i="17"/>
  <c r="AS216" i="17"/>
  <c r="AU216" i="17"/>
  <c r="AX216" i="17"/>
  <c r="AZ216" i="17"/>
  <c r="BE216" i="17"/>
  <c r="BJ216" i="17"/>
  <c r="BI15" i="17"/>
  <c r="BH15" i="17"/>
  <c r="BG15" i="17"/>
  <c r="BF15" i="17"/>
  <c r="BD15" i="17"/>
  <c r="BC15" i="17"/>
  <c r="BB15" i="17"/>
  <c r="BA15" i="17"/>
  <c r="D39" i="26" l="1"/>
  <c r="D25" i="26"/>
  <c r="C33" i="21"/>
  <c r="D18" i="26"/>
  <c r="D17" i="26"/>
  <c r="D21" i="26"/>
  <c r="D20" i="26"/>
  <c r="D12" i="26"/>
  <c r="D11" i="26"/>
  <c r="D9" i="26"/>
  <c r="D8" i="26"/>
  <c r="C70" i="21"/>
  <c r="C69" i="21"/>
  <c r="C40" i="21"/>
  <c r="C39" i="21"/>
  <c r="E1" i="26"/>
  <c r="AO96" i="29"/>
  <c r="AO97" i="29"/>
  <c r="AO98" i="29"/>
  <c r="AO99" i="29"/>
  <c r="AO100" i="29"/>
  <c r="AO101" i="29"/>
  <c r="AO102" i="29"/>
  <c r="AO103" i="29"/>
  <c r="AO104" i="29"/>
  <c r="AO105" i="29"/>
  <c r="AO106" i="29"/>
  <c r="AO107" i="29"/>
  <c r="AO108" i="29"/>
  <c r="AO109" i="29"/>
  <c r="AO110" i="29"/>
  <c r="AO111" i="29"/>
  <c r="AO112" i="29"/>
  <c r="AO113" i="29"/>
  <c r="AO114" i="29"/>
  <c r="AO115" i="29"/>
  <c r="AR88" i="27" l="1"/>
  <c r="AQ88" i="27"/>
  <c r="AP88" i="27"/>
  <c r="AN88" i="27"/>
  <c r="AL88" i="27"/>
  <c r="AP88" i="29"/>
  <c r="AN88" i="29"/>
  <c r="AL88" i="29"/>
  <c r="AO72" i="29"/>
  <c r="AO118" i="28"/>
  <c r="AO119" i="28"/>
  <c r="AO120" i="28"/>
  <c r="AO121" i="28"/>
  <c r="AO125" i="28"/>
  <c r="AO126" i="28"/>
  <c r="AO127" i="28"/>
  <c r="AO128" i="28"/>
  <c r="AR88" i="28"/>
  <c r="AQ88" i="28"/>
  <c r="AL88" i="28"/>
  <c r="AN47" i="28"/>
  <c r="AO7" i="28"/>
  <c r="AO8" i="28"/>
  <c r="AO9" i="28"/>
  <c r="AO10" i="28"/>
  <c r="AO11" i="28"/>
  <c r="AO12" i="28"/>
  <c r="AO13" i="28"/>
  <c r="AO14" i="28"/>
  <c r="AO128" i="27"/>
  <c r="BJ165" i="17"/>
  <c r="BE165" i="17"/>
  <c r="BG165" i="17" s="1"/>
  <c r="AZ165" i="17"/>
  <c r="BC165" i="17" s="1"/>
  <c r="AX165" i="17"/>
  <c r="AY165" i="17" s="1"/>
  <c r="AU165" i="17"/>
  <c r="AV165" i="17" s="1"/>
  <c r="AS165" i="17"/>
  <c r="AT165" i="17" s="1"/>
  <c r="AP165" i="17"/>
  <c r="AR165" i="17" s="1"/>
  <c r="AR164" i="17" s="1"/>
  <c r="AN165" i="17"/>
  <c r="AM165" i="17" s="1"/>
  <c r="AR154" i="17"/>
  <c r="AR155" i="17"/>
  <c r="AR156" i="17"/>
  <c r="AR158" i="17"/>
  <c r="AR159" i="17"/>
  <c r="AR160" i="17"/>
  <c r="AR161" i="17"/>
  <c r="AR162" i="17"/>
  <c r="AR163" i="17"/>
  <c r="AL165" i="17"/>
  <c r="BA165" i="17"/>
  <c r="BB165" i="17"/>
  <c r="AM159" i="17"/>
  <c r="AM160" i="17"/>
  <c r="AM161" i="17"/>
  <c r="AM162" i="17"/>
  <c r="AM158" i="17"/>
  <c r="AL148" i="17"/>
  <c r="AK148" i="17"/>
  <c r="AM138" i="17"/>
  <c r="AM139" i="17"/>
  <c r="AM140" i="17"/>
  <c r="AL142" i="17"/>
  <c r="AL149" i="17" s="1"/>
  <c r="AM143" i="17"/>
  <c r="AM144" i="17"/>
  <c r="AM145" i="17"/>
  <c r="AM146" i="17"/>
  <c r="AM187" i="17"/>
  <c r="AM186" i="17"/>
  <c r="AM185" i="17"/>
  <c r="AM183" i="17"/>
  <c r="AM182" i="17"/>
  <c r="AM180" i="17"/>
  <c r="AM156" i="17"/>
  <c r="AM155" i="17"/>
  <c r="AM154" i="17"/>
  <c r="AM153" i="17"/>
  <c r="AM147" i="17"/>
  <c r="AM137" i="17"/>
  <c r="AM136" i="17"/>
  <c r="AM135" i="17"/>
  <c r="AM130" i="17"/>
  <c r="AM129" i="17"/>
  <c r="AM128" i="17"/>
  <c r="AM127" i="17"/>
  <c r="AM81" i="17"/>
  <c r="AM80" i="17"/>
  <c r="AM77" i="17"/>
  <c r="AM75" i="17"/>
  <c r="AM74" i="17"/>
  <c r="AM72" i="17"/>
  <c r="AM71" i="17"/>
  <c r="AM70" i="17"/>
  <c r="AM67" i="17"/>
  <c r="AQ165" i="17" l="1"/>
  <c r="BI165" i="17"/>
  <c r="BH165" i="17"/>
  <c r="BF165" i="17"/>
  <c r="AM148" i="17"/>
  <c r="BD165" i="17"/>
  <c r="AO165" i="17"/>
  <c r="AW165" i="17"/>
  <c r="AO129" i="28"/>
  <c r="AL82" i="17"/>
  <c r="AM82" i="17"/>
  <c r="AN82" i="17"/>
  <c r="AP82" i="17"/>
  <c r="AS82" i="17"/>
  <c r="AU82" i="17"/>
  <c r="AX82" i="17"/>
  <c r="AZ82" i="17"/>
  <c r="BE82" i="17"/>
  <c r="BJ82" i="17"/>
  <c r="AM26" i="17"/>
  <c r="AM27" i="17"/>
  <c r="AM28" i="17"/>
  <c r="AM29" i="17"/>
  <c r="AM30" i="17"/>
  <c r="AM31" i="17"/>
  <c r="AM32" i="17"/>
  <c r="AM33" i="17"/>
  <c r="AM25" i="17"/>
  <c r="AL34" i="17"/>
  <c r="AN34" i="17"/>
  <c r="AP34" i="17"/>
  <c r="AS34" i="17"/>
  <c r="AU34" i="17"/>
  <c r="AX34" i="17"/>
  <c r="AZ34" i="17"/>
  <c r="BE34" i="17"/>
  <c r="BJ34" i="17"/>
  <c r="C35" i="17"/>
  <c r="C36" i="17" s="1"/>
  <c r="D35" i="17"/>
  <c r="D36" i="17" s="1"/>
  <c r="E35" i="17"/>
  <c r="E36" i="17" s="1"/>
  <c r="F35" i="17"/>
  <c r="F36" i="17" s="1"/>
  <c r="G35" i="17"/>
  <c r="G36" i="17" s="1"/>
  <c r="H35" i="17"/>
  <c r="H36" i="17" s="1"/>
  <c r="I35" i="17"/>
  <c r="I36" i="17" s="1"/>
  <c r="J35" i="17"/>
  <c r="J36" i="17" s="1"/>
  <c r="K35" i="17"/>
  <c r="K36" i="17" s="1"/>
  <c r="L35" i="17"/>
  <c r="L36" i="17" s="1"/>
  <c r="M35" i="17"/>
  <c r="M36" i="17" s="1"/>
  <c r="N35" i="17"/>
  <c r="N36" i="17" s="1"/>
  <c r="O35" i="17"/>
  <c r="O36" i="17" s="1"/>
  <c r="P35" i="17"/>
  <c r="P36" i="17" s="1"/>
  <c r="Q35" i="17"/>
  <c r="Q36" i="17" s="1"/>
  <c r="R35" i="17"/>
  <c r="R36" i="17" s="1"/>
  <c r="S35" i="17"/>
  <c r="S36" i="17" s="1"/>
  <c r="T35" i="17"/>
  <c r="T36" i="17" s="1"/>
  <c r="U35" i="17"/>
  <c r="U36" i="17" s="1"/>
  <c r="V35" i="17"/>
  <c r="V36" i="17" s="1"/>
  <c r="W35" i="17"/>
  <c r="W36" i="17" s="1"/>
  <c r="X35" i="17"/>
  <c r="X36" i="17" s="1"/>
  <c r="Y35" i="17"/>
  <c r="Y36" i="17" s="1"/>
  <c r="Z35" i="17"/>
  <c r="Z36" i="17" s="1"/>
  <c r="AA35" i="17"/>
  <c r="AA36" i="17" s="1"/>
  <c r="AB35" i="17"/>
  <c r="AB36" i="17" s="1"/>
  <c r="AC35" i="17"/>
  <c r="AC36" i="17" s="1"/>
  <c r="AD35" i="17"/>
  <c r="AD36" i="17" s="1"/>
  <c r="AE35" i="17"/>
  <c r="AE36" i="17" s="1"/>
  <c r="AF35" i="17"/>
  <c r="AF36" i="17" s="1"/>
  <c r="AG35" i="17"/>
  <c r="AG36" i="17" s="1"/>
  <c r="AH35" i="17"/>
  <c r="AH36" i="17" s="1"/>
  <c r="AI35" i="17"/>
  <c r="AI36" i="17" s="1"/>
  <c r="AJ35" i="17"/>
  <c r="AJ36" i="17" s="1"/>
  <c r="B35" i="17"/>
  <c r="B36" i="17" s="1"/>
  <c r="AO33" i="27" l="1"/>
  <c r="AL32" i="27"/>
  <c r="AL34" i="27"/>
  <c r="AK88" i="27"/>
  <c r="AO133" i="27"/>
  <c r="AO134" i="27"/>
  <c r="AO135" i="27"/>
  <c r="AO136" i="27"/>
  <c r="AO137" i="27"/>
  <c r="AO138" i="27"/>
  <c r="AO139" i="27"/>
  <c r="AO140" i="27"/>
  <c r="C34" i="27"/>
  <c r="D34" i="27"/>
  <c r="E34" i="27"/>
  <c r="F34" i="27"/>
  <c r="G34" i="27"/>
  <c r="H34" i="27"/>
  <c r="I34" i="27"/>
  <c r="J34" i="27"/>
  <c r="K34" i="27"/>
  <c r="L34" i="27"/>
  <c r="M34" i="27"/>
  <c r="N34" i="27"/>
  <c r="O34" i="27"/>
  <c r="P34" i="27"/>
  <c r="Q34" i="27"/>
  <c r="R34" i="27"/>
  <c r="S34" i="27"/>
  <c r="T34" i="27"/>
  <c r="U34" i="27"/>
  <c r="V34" i="27"/>
  <c r="W34" i="27"/>
  <c r="X34" i="27"/>
  <c r="Y34" i="27"/>
  <c r="Z34" i="27"/>
  <c r="AA34" i="27"/>
  <c r="AB34" i="27"/>
  <c r="AC34" i="27"/>
  <c r="AD34" i="27"/>
  <c r="AE34" i="27"/>
  <c r="AF34" i="27"/>
  <c r="AG34" i="27"/>
  <c r="AH34" i="27"/>
  <c r="AI34" i="27"/>
  <c r="AJ34" i="27"/>
  <c r="AK34" i="27"/>
  <c r="AN34" i="27"/>
  <c r="AP34" i="27"/>
  <c r="B34" i="27"/>
  <c r="AO141" i="27" l="1"/>
  <c r="AO11" i="27" l="1"/>
  <c r="AO10" i="27"/>
  <c r="AO9" i="27"/>
  <c r="AO8" i="27"/>
  <c r="AO12" i="27"/>
  <c r="AO13" i="27"/>
  <c r="AO15" i="27"/>
  <c r="B17" i="17"/>
  <c r="C17" i="17"/>
  <c r="D17" i="17"/>
  <c r="E17" i="17"/>
  <c r="F17" i="17"/>
  <c r="G17" i="17"/>
  <c r="H17" i="17"/>
  <c r="I17" i="17"/>
  <c r="J17" i="17"/>
  <c r="K17" i="17"/>
  <c r="L17" i="17"/>
  <c r="M17" i="17"/>
  <c r="N17" i="17"/>
  <c r="O17" i="17"/>
  <c r="P17" i="17"/>
  <c r="Q17" i="17"/>
  <c r="R17" i="17"/>
  <c r="S17" i="17"/>
  <c r="T17" i="17"/>
  <c r="U17" i="17"/>
  <c r="V17" i="17"/>
  <c r="W17" i="17"/>
  <c r="X17" i="17"/>
  <c r="Y17" i="17"/>
  <c r="Z17" i="17"/>
  <c r="AA17" i="17"/>
  <c r="AB17" i="17"/>
  <c r="AC17" i="17"/>
  <c r="AD17" i="17"/>
  <c r="AE17" i="17"/>
  <c r="AF17" i="17"/>
  <c r="AG17" i="17"/>
  <c r="AH17" i="17"/>
  <c r="AI17" i="17"/>
  <c r="AJ17" i="17"/>
  <c r="C8" i="17"/>
  <c r="D8" i="17"/>
  <c r="E8" i="17"/>
  <c r="F8" i="17"/>
  <c r="G8" i="17"/>
  <c r="H8" i="17"/>
  <c r="I8" i="17"/>
  <c r="J8" i="17"/>
  <c r="K8" i="17"/>
  <c r="L8" i="17"/>
  <c r="M8" i="17"/>
  <c r="N8" i="17"/>
  <c r="O8" i="17"/>
  <c r="P8" i="17"/>
  <c r="Q8" i="17"/>
  <c r="R8" i="17"/>
  <c r="S8" i="17"/>
  <c r="T8" i="17"/>
  <c r="U8" i="17"/>
  <c r="V8" i="17"/>
  <c r="W8" i="17"/>
  <c r="X8" i="17"/>
  <c r="Y8" i="17"/>
  <c r="Z8" i="17"/>
  <c r="AA8" i="17"/>
  <c r="AB8" i="17"/>
  <c r="AC8" i="17"/>
  <c r="AD8" i="17"/>
  <c r="AE8" i="17"/>
  <c r="AF8" i="17"/>
  <c r="AG8" i="17"/>
  <c r="AH8" i="17"/>
  <c r="AI8" i="17"/>
  <c r="AJ8" i="17"/>
  <c r="B8" i="17"/>
  <c r="AN9" i="17"/>
  <c r="AN10" i="17"/>
  <c r="AN12" i="17"/>
  <c r="AN13" i="17"/>
  <c r="AK9" i="17"/>
  <c r="AK10" i="17"/>
  <c r="AK12" i="17"/>
  <c r="AK13" i="17"/>
  <c r="D50" i="24"/>
  <c r="C50" i="24"/>
  <c r="D58" i="24"/>
  <c r="C13" i="17"/>
  <c r="D13" i="17"/>
  <c r="E13" i="17"/>
  <c r="F13" i="17"/>
  <c r="G13" i="17"/>
  <c r="H13" i="17"/>
  <c r="I13" i="17"/>
  <c r="J13" i="17"/>
  <c r="K13" i="17"/>
  <c r="L13" i="17"/>
  <c r="M13" i="17"/>
  <c r="N13" i="17"/>
  <c r="O13" i="17"/>
  <c r="P13" i="17"/>
  <c r="Q13" i="17"/>
  <c r="R13" i="17"/>
  <c r="S13" i="17"/>
  <c r="T13" i="17"/>
  <c r="U13" i="17"/>
  <c r="V13" i="17"/>
  <c r="W13" i="17"/>
  <c r="X13" i="17"/>
  <c r="Y13" i="17"/>
  <c r="Z13" i="17"/>
  <c r="AA13" i="17"/>
  <c r="AB13" i="17"/>
  <c r="AC13" i="17"/>
  <c r="AD13" i="17"/>
  <c r="AE13" i="17"/>
  <c r="AF13" i="17"/>
  <c r="AG13" i="17"/>
  <c r="AH13" i="17"/>
  <c r="AI13" i="17"/>
  <c r="AJ13" i="17"/>
  <c r="AP13" i="17"/>
  <c r="AS13" i="17"/>
  <c r="AU13" i="17"/>
  <c r="AX13" i="17"/>
  <c r="AZ13" i="17"/>
  <c r="BE13" i="17"/>
  <c r="BJ13" i="17"/>
  <c r="B13" i="17"/>
  <c r="C12" i="17"/>
  <c r="D12" i="17"/>
  <c r="E12" i="17"/>
  <c r="F12" i="17"/>
  <c r="G12" i="17"/>
  <c r="H12" i="17"/>
  <c r="I12" i="17"/>
  <c r="J12" i="17"/>
  <c r="K12" i="17"/>
  <c r="L12" i="17"/>
  <c r="M12" i="17"/>
  <c r="N12" i="17"/>
  <c r="O12" i="17"/>
  <c r="P12" i="17"/>
  <c r="Q12" i="17"/>
  <c r="R12" i="17"/>
  <c r="S12" i="17"/>
  <c r="T12" i="17"/>
  <c r="U12" i="17"/>
  <c r="V12" i="17"/>
  <c r="W12" i="17"/>
  <c r="X12" i="17"/>
  <c r="Y12" i="17"/>
  <c r="Z12" i="17"/>
  <c r="AA12" i="17"/>
  <c r="AB12" i="17"/>
  <c r="AC12" i="17"/>
  <c r="AD12" i="17"/>
  <c r="AE12" i="17"/>
  <c r="AF12" i="17"/>
  <c r="AG12" i="17"/>
  <c r="AH12" i="17"/>
  <c r="AI12" i="17"/>
  <c r="AJ12" i="17"/>
  <c r="AP12" i="17"/>
  <c r="AS12" i="17"/>
  <c r="AU12" i="17"/>
  <c r="AX12" i="17"/>
  <c r="AZ12" i="17"/>
  <c r="BE12" i="17"/>
  <c r="BJ12" i="17"/>
  <c r="B12" i="17"/>
  <c r="C10" i="17"/>
  <c r="D10" i="17"/>
  <c r="E10" i="17"/>
  <c r="F10" i="17"/>
  <c r="G10" i="17"/>
  <c r="H10" i="17"/>
  <c r="I10" i="17"/>
  <c r="J10" i="17"/>
  <c r="K10" i="17"/>
  <c r="L10" i="17"/>
  <c r="M10" i="17"/>
  <c r="N10" i="17"/>
  <c r="O10" i="17"/>
  <c r="P10" i="17"/>
  <c r="Q10" i="17"/>
  <c r="R10" i="17"/>
  <c r="S10" i="17"/>
  <c r="T10" i="17"/>
  <c r="U10" i="17"/>
  <c r="V10" i="17"/>
  <c r="W10" i="17"/>
  <c r="X10" i="17"/>
  <c r="Y10" i="17"/>
  <c r="Z10" i="17"/>
  <c r="AA10" i="17"/>
  <c r="AB10" i="17"/>
  <c r="AC10" i="17"/>
  <c r="AD10" i="17"/>
  <c r="AE10" i="17"/>
  <c r="AF10" i="17"/>
  <c r="AG10" i="17"/>
  <c r="AH10" i="17"/>
  <c r="AI10" i="17"/>
  <c r="AJ10" i="17"/>
  <c r="AP10" i="17"/>
  <c r="AS10" i="17"/>
  <c r="AU10" i="17"/>
  <c r="AX10" i="17"/>
  <c r="AZ10" i="17"/>
  <c r="BE10" i="17"/>
  <c r="BJ10" i="17"/>
  <c r="B10" i="17"/>
  <c r="C9" i="17"/>
  <c r="D9" i="17"/>
  <c r="E9" i="17"/>
  <c r="F9" i="17"/>
  <c r="G9" i="17"/>
  <c r="H9" i="17"/>
  <c r="I9" i="17"/>
  <c r="J9" i="17"/>
  <c r="K9" i="17"/>
  <c r="L9" i="17"/>
  <c r="M9" i="17"/>
  <c r="N9" i="17"/>
  <c r="O9" i="17"/>
  <c r="P9" i="17"/>
  <c r="Q9" i="17"/>
  <c r="R9" i="17"/>
  <c r="S9" i="17"/>
  <c r="T9" i="17"/>
  <c r="U9" i="17"/>
  <c r="V9" i="17"/>
  <c r="W9" i="17"/>
  <c r="X9" i="17"/>
  <c r="Y9" i="17"/>
  <c r="Z9" i="17"/>
  <c r="AA9" i="17"/>
  <c r="AB9" i="17"/>
  <c r="AC9" i="17"/>
  <c r="AD9" i="17"/>
  <c r="AE9" i="17"/>
  <c r="AF9" i="17"/>
  <c r="AG9" i="17"/>
  <c r="AH9" i="17"/>
  <c r="AI9" i="17"/>
  <c r="AJ9" i="17"/>
  <c r="AP9" i="17"/>
  <c r="AS9" i="17"/>
  <c r="AU9" i="17"/>
  <c r="AX9" i="17"/>
  <c r="AZ9" i="17"/>
  <c r="BE9" i="17"/>
  <c r="BJ9" i="17"/>
  <c r="B9" i="17"/>
  <c r="C7" i="17"/>
  <c r="D7" i="17"/>
  <c r="E7" i="17"/>
  <c r="F7" i="17"/>
  <c r="G7" i="17"/>
  <c r="H7" i="17"/>
  <c r="I7" i="17"/>
  <c r="J7" i="17"/>
  <c r="K7" i="17"/>
  <c r="L7" i="17"/>
  <c r="M7" i="17"/>
  <c r="N7" i="17"/>
  <c r="O7" i="17"/>
  <c r="P7" i="17"/>
  <c r="Q7" i="17"/>
  <c r="R7" i="17"/>
  <c r="S7" i="17"/>
  <c r="T7" i="17"/>
  <c r="U7" i="17"/>
  <c r="V7" i="17"/>
  <c r="W7" i="17"/>
  <c r="X7" i="17"/>
  <c r="Y7" i="17"/>
  <c r="Z7" i="17"/>
  <c r="AA7" i="17"/>
  <c r="AB7" i="17"/>
  <c r="AC7" i="17"/>
  <c r="AD7" i="17"/>
  <c r="AE7" i="17"/>
  <c r="AF7" i="17"/>
  <c r="AG7" i="17"/>
  <c r="AH7" i="17"/>
  <c r="AI7" i="17"/>
  <c r="AJ7" i="17"/>
  <c r="B7" i="17"/>
  <c r="BJ166" i="17"/>
  <c r="BJ11" i="17" s="1"/>
  <c r="C163" i="17"/>
  <c r="D163" i="17"/>
  <c r="E163" i="17"/>
  <c r="F163" i="17"/>
  <c r="G163" i="17"/>
  <c r="H163" i="17"/>
  <c r="I163" i="17"/>
  <c r="J163" i="17"/>
  <c r="K163" i="17"/>
  <c r="L163" i="17"/>
  <c r="M163" i="17"/>
  <c r="N163" i="17"/>
  <c r="O163" i="17"/>
  <c r="P163" i="17"/>
  <c r="Q163" i="17"/>
  <c r="R163" i="17"/>
  <c r="S163" i="17"/>
  <c r="T163" i="17"/>
  <c r="U163" i="17"/>
  <c r="V163" i="17"/>
  <c r="W163" i="17"/>
  <c r="X163" i="17"/>
  <c r="Y163" i="17"/>
  <c r="Z163" i="17"/>
  <c r="AA163" i="17"/>
  <c r="AB163" i="17"/>
  <c r="AC163" i="17"/>
  <c r="AD163" i="17"/>
  <c r="AE163" i="17"/>
  <c r="AF163" i="17"/>
  <c r="AG163" i="17"/>
  <c r="AH163" i="17"/>
  <c r="AI163" i="17"/>
  <c r="AJ163" i="17"/>
  <c r="AK163" i="17"/>
  <c r="AN163" i="17"/>
  <c r="B163" i="17"/>
  <c r="C157" i="17"/>
  <c r="C166" i="17" s="1"/>
  <c r="C11" i="17" s="1"/>
  <c r="D157" i="17"/>
  <c r="D166" i="17" s="1"/>
  <c r="D11" i="17" s="1"/>
  <c r="E157" i="17"/>
  <c r="E166" i="17" s="1"/>
  <c r="E11" i="17" s="1"/>
  <c r="F157" i="17"/>
  <c r="F166" i="17" s="1"/>
  <c r="F11" i="17" s="1"/>
  <c r="G157" i="17"/>
  <c r="H157" i="17"/>
  <c r="H166" i="17" s="1"/>
  <c r="H11" i="17" s="1"/>
  <c r="I157" i="17"/>
  <c r="I166" i="17" s="1"/>
  <c r="I11" i="17" s="1"/>
  <c r="J157" i="17"/>
  <c r="J166" i="17" s="1"/>
  <c r="J11" i="17" s="1"/>
  <c r="K157" i="17"/>
  <c r="L157" i="17"/>
  <c r="M157" i="17"/>
  <c r="N157" i="17"/>
  <c r="O157" i="17"/>
  <c r="O166" i="17" s="1"/>
  <c r="O11" i="17" s="1"/>
  <c r="P157" i="17"/>
  <c r="P166" i="17" s="1"/>
  <c r="P11" i="17" s="1"/>
  <c r="Q157" i="17"/>
  <c r="Q166" i="17" s="1"/>
  <c r="Q11" i="17" s="1"/>
  <c r="R157" i="17"/>
  <c r="R166" i="17" s="1"/>
  <c r="R11" i="17" s="1"/>
  <c r="S157" i="17"/>
  <c r="T157" i="17"/>
  <c r="T166" i="17" s="1"/>
  <c r="T11" i="17" s="1"/>
  <c r="U157" i="17"/>
  <c r="U166" i="17" s="1"/>
  <c r="U11" i="17" s="1"/>
  <c r="V157" i="17"/>
  <c r="V166" i="17" s="1"/>
  <c r="V11" i="17" s="1"/>
  <c r="W157" i="17"/>
  <c r="W166" i="17" s="1"/>
  <c r="W11" i="17" s="1"/>
  <c r="X157" i="17"/>
  <c r="X166" i="17" s="1"/>
  <c r="X11" i="17" s="1"/>
  <c r="Y157" i="17"/>
  <c r="Z157" i="17"/>
  <c r="Z166" i="17" s="1"/>
  <c r="Z11" i="17" s="1"/>
  <c r="AA157" i="17"/>
  <c r="AA166" i="17" s="1"/>
  <c r="AA11" i="17" s="1"/>
  <c r="AB157" i="17"/>
  <c r="AB166" i="17" s="1"/>
  <c r="AB11" i="17" s="1"/>
  <c r="AC157" i="17"/>
  <c r="AC166" i="17" s="1"/>
  <c r="AC11" i="17" s="1"/>
  <c r="AD157" i="17"/>
  <c r="AD166" i="17" s="1"/>
  <c r="AD11" i="17" s="1"/>
  <c r="AE157" i="17"/>
  <c r="AF157" i="17"/>
  <c r="AG157" i="17"/>
  <c r="AG166" i="17" s="1"/>
  <c r="AG11" i="17" s="1"/>
  <c r="AH157" i="17"/>
  <c r="AH166" i="17" s="1"/>
  <c r="AH11" i="17" s="1"/>
  <c r="AI157" i="17"/>
  <c r="AI166" i="17" s="1"/>
  <c r="AI11" i="17" s="1"/>
  <c r="AJ157" i="17"/>
  <c r="AJ166" i="17" s="1"/>
  <c r="AJ11" i="17" s="1"/>
  <c r="AK157" i="17"/>
  <c r="AN157" i="17"/>
  <c r="AN166" i="17" s="1"/>
  <c r="AN11" i="17" s="1"/>
  <c r="AP166" i="17"/>
  <c r="AP11" i="17" s="1"/>
  <c r="AS166" i="17"/>
  <c r="AS11" i="17" s="1"/>
  <c r="AU166" i="17"/>
  <c r="AU11" i="17" s="1"/>
  <c r="AX166" i="17"/>
  <c r="AX11" i="17" s="1"/>
  <c r="AZ166" i="17"/>
  <c r="AZ11" i="17" s="1"/>
  <c r="BE166" i="17"/>
  <c r="BE11" i="17" s="1"/>
  <c r="B157" i="17"/>
  <c r="AK166" i="17" l="1"/>
  <c r="AK11" i="17" s="1"/>
  <c r="Y166" i="17"/>
  <c r="Y11" i="17" s="1"/>
  <c r="M166" i="17"/>
  <c r="M11" i="17" s="1"/>
  <c r="AF166" i="17"/>
  <c r="AF11" i="17" s="1"/>
  <c r="AF14" i="17" s="1"/>
  <c r="AF16" i="17" s="1"/>
  <c r="AF18" i="17" s="1"/>
  <c r="K166" i="17"/>
  <c r="K11" i="17" s="1"/>
  <c r="K14" i="17" s="1"/>
  <c r="K16" i="17" s="1"/>
  <c r="K18" i="17" s="1"/>
  <c r="L166" i="17"/>
  <c r="L11" i="17" s="1"/>
  <c r="L14" i="17" s="1"/>
  <c r="L16" i="17" s="1"/>
  <c r="L18" i="17" s="1"/>
  <c r="N166" i="17"/>
  <c r="N11" i="17" s="1"/>
  <c r="N14" i="17" s="1"/>
  <c r="N16" i="17" s="1"/>
  <c r="N18" i="17" s="1"/>
  <c r="B166" i="17"/>
  <c r="B11" i="17" s="1"/>
  <c r="AE166" i="17"/>
  <c r="AE11" i="17" s="1"/>
  <c r="AE14" i="17" s="1"/>
  <c r="AE16" i="17" s="1"/>
  <c r="S166" i="17"/>
  <c r="S11" i="17" s="1"/>
  <c r="S14" i="17" s="1"/>
  <c r="S16" i="17" s="1"/>
  <c r="S18" i="17" s="1"/>
  <c r="G166" i="17"/>
  <c r="G11" i="17" s="1"/>
  <c r="G14" i="17" s="1"/>
  <c r="G16" i="17" s="1"/>
  <c r="G18" i="17" s="1"/>
  <c r="B14" i="17"/>
  <c r="B16" i="17" s="1"/>
  <c r="B18" i="17" s="1"/>
  <c r="AA14" i="17"/>
  <c r="AA16" i="17" s="1"/>
  <c r="AA18" i="17" s="1"/>
  <c r="O14" i="17"/>
  <c r="O16" i="17" s="1"/>
  <c r="O18" i="17" s="1"/>
  <c r="Z14" i="17"/>
  <c r="Z16" i="17" s="1"/>
  <c r="Z18" i="17" s="1"/>
  <c r="Y14" i="17"/>
  <c r="Y16" i="17" s="1"/>
  <c r="Y18" i="17" s="1"/>
  <c r="M14" i="17"/>
  <c r="M16" i="17" s="1"/>
  <c r="M18" i="17" s="1"/>
  <c r="AD14" i="17"/>
  <c r="AD16" i="17" s="1"/>
  <c r="AD18" i="17" s="1"/>
  <c r="R14" i="17"/>
  <c r="R16" i="17" s="1"/>
  <c r="R18" i="17" s="1"/>
  <c r="F14" i="17"/>
  <c r="F16" i="17" s="1"/>
  <c r="F18" i="17" s="1"/>
  <c r="AB14" i="17"/>
  <c r="AB16" i="17" s="1"/>
  <c r="AB18" i="17" s="1"/>
  <c r="P14" i="17"/>
  <c r="P16" i="17" s="1"/>
  <c r="P18" i="17" s="1"/>
  <c r="D14" i="17"/>
  <c r="D16" i="17" s="1"/>
  <c r="D18" i="17" s="1"/>
  <c r="C14" i="17"/>
  <c r="C16" i="17" s="1"/>
  <c r="C18" i="17" s="1"/>
  <c r="I14" i="17"/>
  <c r="I16" i="17" s="1"/>
  <c r="I18" i="17" s="1"/>
  <c r="AG14" i="17"/>
  <c r="AG16" i="17" s="1"/>
  <c r="AG18" i="17" s="1"/>
  <c r="U14" i="17"/>
  <c r="U16" i="17" s="1"/>
  <c r="U18" i="17" s="1"/>
  <c r="AJ14" i="17"/>
  <c r="AJ16" i="17" s="1"/>
  <c r="AJ18" i="17" s="1"/>
  <c r="X14" i="17"/>
  <c r="X16" i="17" s="1"/>
  <c r="X18" i="17" s="1"/>
  <c r="W14" i="17"/>
  <c r="W16" i="17" s="1"/>
  <c r="W18" i="17" s="1"/>
  <c r="AI14" i="17"/>
  <c r="AI16" i="17" s="1"/>
  <c r="AI18" i="17" s="1"/>
  <c r="AH14" i="17"/>
  <c r="AH16" i="17" s="1"/>
  <c r="AH18" i="17" s="1"/>
  <c r="H14" i="17"/>
  <c r="H16" i="17" s="1"/>
  <c r="H18" i="17" s="1"/>
  <c r="E14" i="17"/>
  <c r="E16" i="17" s="1"/>
  <c r="E18" i="17" s="1"/>
  <c r="V14" i="17"/>
  <c r="V16" i="17" s="1"/>
  <c r="V18" i="17" s="1"/>
  <c r="Q14" i="17"/>
  <c r="Q16" i="17" s="1"/>
  <c r="Q18" i="17" s="1"/>
  <c r="J14" i="17"/>
  <c r="J16" i="17" s="1"/>
  <c r="J18" i="17" s="1"/>
  <c r="T14" i="17"/>
  <c r="T16" i="17" s="1"/>
  <c r="T18" i="17" s="1"/>
  <c r="AC14" i="17"/>
  <c r="AC16" i="17" s="1"/>
  <c r="AC18" i="17" s="1"/>
  <c r="AO7" i="27"/>
  <c r="AO14" i="27"/>
  <c r="AK17" i="17"/>
  <c r="AN17" i="17"/>
  <c r="AP17" i="17"/>
  <c r="AS17" i="17"/>
  <c r="AU17" i="17"/>
  <c r="AX17" i="17"/>
  <c r="AZ17" i="17"/>
  <c r="BE17" i="17"/>
  <c r="BJ17" i="17"/>
  <c r="BI218" i="17"/>
  <c r="BH218" i="17"/>
  <c r="BG218" i="17"/>
  <c r="BF218" i="17"/>
  <c r="BD218" i="17"/>
  <c r="BC218" i="17"/>
  <c r="BB218" i="17"/>
  <c r="BA218" i="17"/>
  <c r="AY218" i="17"/>
  <c r="AW218" i="17"/>
  <c r="AV218" i="17"/>
  <c r="AT218" i="17"/>
  <c r="AO218" i="17"/>
  <c r="AR218" i="17"/>
  <c r="AQ218" i="17"/>
  <c r="AM218" i="17"/>
  <c r="AE18" i="17" l="1"/>
  <c r="D61" i="24"/>
  <c r="D49" i="24"/>
  <c r="D62" i="24"/>
  <c r="D54" i="24"/>
  <c r="D31" i="24"/>
  <c r="D19" i="24"/>
  <c r="D89" i="24"/>
  <c r="D80" i="24"/>
  <c r="D79" i="24"/>
  <c r="D78" i="24"/>
  <c r="D76" i="24"/>
  <c r="D75" i="24"/>
  <c r="D70" i="24"/>
  <c r="D69" i="24"/>
  <c r="D68" i="24"/>
  <c r="D41" i="24"/>
  <c r="D38" i="24"/>
  <c r="D37" i="24"/>
  <c r="D36" i="24"/>
  <c r="D35" i="24"/>
  <c r="D33" i="24"/>
  <c r="D29" i="24"/>
  <c r="D27" i="24"/>
  <c r="D24" i="24"/>
  <c r="D20" i="24"/>
  <c r="D15" i="24"/>
  <c r="D16" i="24"/>
  <c r="D14" i="24"/>
  <c r="D9" i="24"/>
  <c r="D8" i="24"/>
  <c r="D7" i="24"/>
  <c r="D6" i="24"/>
  <c r="D5" i="24"/>
  <c r="D4" i="24"/>
  <c r="D39" i="24" l="1"/>
  <c r="E51" i="32" l="1"/>
  <c r="F51" i="32"/>
  <c r="G51" i="32"/>
  <c r="H51" i="32"/>
  <c r="J51" i="32"/>
  <c r="M51" i="32"/>
  <c r="O51" i="32"/>
  <c r="R51" i="32"/>
  <c r="T51" i="32"/>
  <c r="W51" i="32"/>
  <c r="Y51" i="32"/>
  <c r="AD51" i="32"/>
  <c r="AI51" i="32"/>
  <c r="E50" i="32"/>
  <c r="F50" i="32"/>
  <c r="G50" i="32"/>
  <c r="H50" i="32"/>
  <c r="I50" i="32"/>
  <c r="J50" i="32"/>
  <c r="M50" i="32"/>
  <c r="O50" i="32"/>
  <c r="R50" i="32"/>
  <c r="T50" i="32"/>
  <c r="W50" i="32"/>
  <c r="Y50" i="32"/>
  <c r="AD50" i="32"/>
  <c r="AI50" i="32"/>
  <c r="D50" i="32"/>
  <c r="A74" i="14"/>
  <c r="A73" i="14"/>
  <c r="A72" i="14"/>
  <c r="E72" i="14" s="1"/>
  <c r="A71" i="14"/>
  <c r="E71" i="14" s="1"/>
  <c r="E44" i="32"/>
  <c r="F44" i="32"/>
  <c r="G44" i="32"/>
  <c r="H44" i="32"/>
  <c r="I44" i="32"/>
  <c r="J44" i="32"/>
  <c r="M44" i="32"/>
  <c r="O44" i="32"/>
  <c r="R44" i="32"/>
  <c r="T44" i="32"/>
  <c r="W44" i="32"/>
  <c r="Y44" i="32"/>
  <c r="AD44" i="32"/>
  <c r="AI44" i="32"/>
  <c r="E45" i="32"/>
  <c r="F45" i="32"/>
  <c r="G45" i="32"/>
  <c r="H45" i="32"/>
  <c r="I45" i="32"/>
  <c r="J45" i="32"/>
  <c r="M45" i="32"/>
  <c r="O45" i="32"/>
  <c r="R45" i="32"/>
  <c r="T45" i="32"/>
  <c r="W45" i="32"/>
  <c r="Y45" i="32"/>
  <c r="AD45" i="32"/>
  <c r="AI45" i="32"/>
  <c r="E46" i="32"/>
  <c r="F46" i="32"/>
  <c r="G46" i="32"/>
  <c r="H46" i="32"/>
  <c r="I46" i="32"/>
  <c r="J46" i="32"/>
  <c r="M46" i="32"/>
  <c r="O46" i="32"/>
  <c r="R46" i="32"/>
  <c r="T46" i="32"/>
  <c r="W46" i="32"/>
  <c r="Y46" i="32"/>
  <c r="AD46" i="32"/>
  <c r="AI46" i="32"/>
  <c r="E47" i="32"/>
  <c r="F47" i="32"/>
  <c r="G47" i="32"/>
  <c r="H47" i="32"/>
  <c r="I47" i="32"/>
  <c r="J47" i="32"/>
  <c r="M47" i="32"/>
  <c r="O47" i="32"/>
  <c r="R47" i="32"/>
  <c r="T47" i="32"/>
  <c r="W47" i="32"/>
  <c r="Y47" i="32"/>
  <c r="E48" i="32"/>
  <c r="F48" i="32"/>
  <c r="G48" i="32"/>
  <c r="H48" i="32"/>
  <c r="I48" i="32"/>
  <c r="J48" i="32"/>
  <c r="M48" i="32"/>
  <c r="O48" i="32"/>
  <c r="R48" i="32"/>
  <c r="T48" i="32"/>
  <c r="W48" i="32"/>
  <c r="Y48" i="32"/>
  <c r="AD48" i="32"/>
  <c r="E49" i="32"/>
  <c r="F49" i="32"/>
  <c r="G49" i="32"/>
  <c r="H49" i="32"/>
  <c r="O49" i="32"/>
  <c r="Y49" i="32"/>
  <c r="AD49" i="32"/>
  <c r="AI49" i="32"/>
  <c r="D49" i="32"/>
  <c r="D48" i="32"/>
  <c r="D46" i="32"/>
  <c r="D45" i="32"/>
  <c r="D44" i="32"/>
  <c r="A70" i="14"/>
  <c r="AH51" i="33"/>
  <c r="AG51" i="33"/>
  <c r="AF51" i="33"/>
  <c r="AE51" i="33"/>
  <c r="AC51" i="33"/>
  <c r="AB51" i="33"/>
  <c r="AA51" i="33"/>
  <c r="Z51" i="33"/>
  <c r="V51" i="33"/>
  <c r="U51" i="33"/>
  <c r="S51" i="33"/>
  <c r="Q51" i="33"/>
  <c r="P51" i="33"/>
  <c r="N51" i="33"/>
  <c r="L51" i="33"/>
  <c r="K51" i="33"/>
  <c r="I51" i="33"/>
  <c r="AH50" i="33"/>
  <c r="AG50" i="33"/>
  <c r="AF50" i="33"/>
  <c r="AE50" i="33"/>
  <c r="AC50" i="33"/>
  <c r="AB50" i="33"/>
  <c r="AA50" i="33"/>
  <c r="Z50" i="33"/>
  <c r="X50" i="33"/>
  <c r="V50" i="33"/>
  <c r="U50" i="33"/>
  <c r="S50" i="33"/>
  <c r="Q50" i="33"/>
  <c r="P50" i="33"/>
  <c r="N50" i="33"/>
  <c r="L50" i="33"/>
  <c r="K50" i="33"/>
  <c r="I50" i="33"/>
  <c r="I51" i="32" s="1"/>
  <c r="AH49" i="33"/>
  <c r="AG49" i="33"/>
  <c r="AF49" i="33"/>
  <c r="AE49" i="33"/>
  <c r="AC49" i="33"/>
  <c r="AA49" i="33"/>
  <c r="Z49" i="33"/>
  <c r="X49" i="33"/>
  <c r="V49" i="33"/>
  <c r="U49" i="33"/>
  <c r="S49" i="33"/>
  <c r="Q49" i="33"/>
  <c r="P49" i="33"/>
  <c r="N49" i="33"/>
  <c r="L49" i="33"/>
  <c r="K49" i="33"/>
  <c r="D51" i="33"/>
  <c r="D51" i="32" s="1"/>
  <c r="N48" i="33"/>
  <c r="M48" i="33"/>
  <c r="M49" i="32" s="1"/>
  <c r="L48" i="33"/>
  <c r="K48" i="33"/>
  <c r="J48" i="33"/>
  <c r="J49" i="32" s="1"/>
  <c r="I48" i="33"/>
  <c r="I49" i="32" s="1"/>
  <c r="H48" i="33"/>
  <c r="G48" i="33"/>
  <c r="F48" i="33"/>
  <c r="X48" i="33"/>
  <c r="W48" i="33"/>
  <c r="W49" i="32" s="1"/>
  <c r="V48" i="33"/>
  <c r="U48" i="33"/>
  <c r="T48" i="33"/>
  <c r="T49" i="32" s="1"/>
  <c r="S48" i="33"/>
  <c r="R48" i="33"/>
  <c r="R49" i="32" s="1"/>
  <c r="Q48" i="33"/>
  <c r="P48" i="33"/>
  <c r="AH48" i="33"/>
  <c r="AG48" i="33"/>
  <c r="AF48" i="33"/>
  <c r="AE48" i="33"/>
  <c r="AD48" i="33"/>
  <c r="AC48" i="33"/>
  <c r="AB48" i="33"/>
  <c r="AA48" i="33"/>
  <c r="Z48" i="33"/>
  <c r="AH47" i="33"/>
  <c r="AG47" i="33"/>
  <c r="AF47" i="33"/>
  <c r="AE47" i="33"/>
  <c r="AH46" i="33"/>
  <c r="AG46" i="33"/>
  <c r="AF46" i="33"/>
  <c r="AE46" i="33"/>
  <c r="AH45" i="33"/>
  <c r="AG45" i="33"/>
  <c r="AF45" i="33"/>
  <c r="AE45" i="33"/>
  <c r="AH44" i="33"/>
  <c r="AG44" i="33"/>
  <c r="AF44" i="33"/>
  <c r="AE44" i="33"/>
  <c r="AH43" i="33"/>
  <c r="AG43" i="33"/>
  <c r="AF43" i="33"/>
  <c r="AE43" i="33"/>
  <c r="AC44" i="33"/>
  <c r="AC45" i="33"/>
  <c r="AC46" i="33"/>
  <c r="AC47" i="33"/>
  <c r="AC43" i="33"/>
  <c r="AA47" i="33"/>
  <c r="Z47" i="33"/>
  <c r="AA46" i="33"/>
  <c r="Z46" i="33"/>
  <c r="AA45" i="33"/>
  <c r="Z45" i="33"/>
  <c r="AA44" i="33"/>
  <c r="Z44" i="33"/>
  <c r="AA43" i="33"/>
  <c r="Z43" i="33"/>
  <c r="X47" i="33"/>
  <c r="X46" i="33"/>
  <c r="X45" i="33"/>
  <c r="X44" i="33"/>
  <c r="X43" i="33"/>
  <c r="V47" i="33"/>
  <c r="U47" i="33"/>
  <c r="V46" i="33"/>
  <c r="U46" i="33"/>
  <c r="V45" i="33"/>
  <c r="U45" i="33"/>
  <c r="V44" i="33"/>
  <c r="U44" i="33"/>
  <c r="V43" i="33"/>
  <c r="U43" i="33"/>
  <c r="S47" i="33"/>
  <c r="S46" i="33"/>
  <c r="S45" i="33"/>
  <c r="S44" i="33"/>
  <c r="S43" i="33"/>
  <c r="Q47" i="33"/>
  <c r="P47" i="33"/>
  <c r="Q46" i="33"/>
  <c r="P46" i="33"/>
  <c r="Q45" i="33"/>
  <c r="P45" i="33"/>
  <c r="Q44" i="33"/>
  <c r="P44" i="33"/>
  <c r="Q43" i="33"/>
  <c r="P43" i="33"/>
  <c r="N47" i="33"/>
  <c r="N46" i="33"/>
  <c r="N45" i="33"/>
  <c r="N44" i="33"/>
  <c r="N43" i="33"/>
  <c r="L47" i="33"/>
  <c r="K47" i="33"/>
  <c r="L46" i="33"/>
  <c r="K46" i="33"/>
  <c r="L45" i="33"/>
  <c r="K45" i="33"/>
  <c r="L44" i="33"/>
  <c r="L43" i="33"/>
  <c r="K43" i="33"/>
  <c r="E70" i="14" l="1"/>
  <c r="E74" i="14"/>
  <c r="E73" i="14"/>
  <c r="E4" i="32"/>
  <c r="O4" i="32"/>
  <c r="AH4" i="33"/>
  <c r="AG4" i="33"/>
  <c r="AF4" i="33"/>
  <c r="AE4" i="33"/>
  <c r="AD4" i="33"/>
  <c r="AD4" i="32" s="1"/>
  <c r="AC4" i="33"/>
  <c r="AB4" i="33"/>
  <c r="AA4" i="33"/>
  <c r="Z4" i="33"/>
  <c r="Y4" i="33"/>
  <c r="Y4" i="32" s="1"/>
  <c r="X4" i="33"/>
  <c r="W4" i="33"/>
  <c r="W4" i="32" s="1"/>
  <c r="V4" i="33"/>
  <c r="U4" i="33"/>
  <c r="T4" i="33"/>
  <c r="T4" i="32" s="1"/>
  <c r="S4" i="33"/>
  <c r="R4" i="33"/>
  <c r="R4" i="32" s="1"/>
  <c r="Q4" i="33"/>
  <c r="P4" i="33"/>
  <c r="D4" i="33"/>
  <c r="H4" i="33" s="1"/>
  <c r="A56" i="13"/>
  <c r="E56" i="13" s="1"/>
  <c r="I4" i="33" l="1"/>
  <c r="I4" i="32" s="1"/>
  <c r="K4" i="33"/>
  <c r="M4" i="33"/>
  <c r="M4" i="32" s="1"/>
  <c r="L4" i="33"/>
  <c r="N4" i="33"/>
  <c r="H4" i="32"/>
  <c r="J4" i="33"/>
  <c r="J4" i="32" s="1"/>
  <c r="D4" i="32"/>
  <c r="AI4" i="32"/>
  <c r="F4" i="33"/>
  <c r="G4" i="33"/>
  <c r="F4" i="32" l="1"/>
  <c r="G4" i="32"/>
  <c r="E43" i="32"/>
  <c r="F43" i="32"/>
  <c r="G43" i="32"/>
  <c r="H43" i="32"/>
  <c r="I43" i="32"/>
  <c r="J43" i="32"/>
  <c r="M43" i="32"/>
  <c r="O43" i="32"/>
  <c r="R43" i="32"/>
  <c r="T43" i="32"/>
  <c r="W43" i="32"/>
  <c r="Y43" i="32"/>
  <c r="AD43" i="32"/>
  <c r="AI43" i="32"/>
  <c r="D43" i="32"/>
  <c r="A57" i="13"/>
  <c r="E57" i="13" s="1"/>
  <c r="A55" i="13"/>
  <c r="E55" i="13" s="1"/>
  <c r="AH3" i="33"/>
  <c r="AG3" i="33"/>
  <c r="AF3" i="33"/>
  <c r="AE3" i="33"/>
  <c r="AD3" i="33"/>
  <c r="AC3" i="33"/>
  <c r="AB3" i="33"/>
  <c r="AA3" i="33"/>
  <c r="Z3" i="33"/>
  <c r="X3" i="33"/>
  <c r="W3" i="33"/>
  <c r="V3" i="33"/>
  <c r="U3" i="33"/>
  <c r="T3" i="33"/>
  <c r="S3" i="33"/>
  <c r="R3" i="33"/>
  <c r="Q3" i="33"/>
  <c r="P3" i="33"/>
  <c r="D3" i="33"/>
  <c r="N3" i="33" s="1"/>
  <c r="AH5" i="33"/>
  <c r="AG5" i="33"/>
  <c r="AF5" i="33"/>
  <c r="AE5" i="33"/>
  <c r="AD5" i="33"/>
  <c r="AC5" i="33"/>
  <c r="AB5" i="33"/>
  <c r="AA5" i="33"/>
  <c r="Z5" i="33"/>
  <c r="X5" i="33"/>
  <c r="W5" i="33"/>
  <c r="V5" i="33"/>
  <c r="U5" i="33"/>
  <c r="T5" i="33"/>
  <c r="S5" i="33"/>
  <c r="R5" i="33"/>
  <c r="Q5" i="33"/>
  <c r="P5" i="33"/>
  <c r="D5" i="33"/>
  <c r="I5" i="33" s="1"/>
  <c r="J5" i="33" l="1"/>
  <c r="H5" i="33"/>
  <c r="G5" i="33"/>
  <c r="F3" i="33"/>
  <c r="G3" i="33"/>
  <c r="M5" i="33"/>
  <c r="K5" i="33"/>
  <c r="H3" i="33"/>
  <c r="I3" i="33"/>
  <c r="K3" i="33"/>
  <c r="L3" i="33"/>
  <c r="L5" i="33"/>
  <c r="N5" i="33"/>
  <c r="J3" i="33"/>
  <c r="M3" i="33"/>
  <c r="F5" i="33"/>
  <c r="E41" i="32"/>
  <c r="O41" i="32"/>
  <c r="Y41" i="32"/>
  <c r="AI41" i="32"/>
  <c r="E42" i="32"/>
  <c r="O42" i="32"/>
  <c r="Y42" i="32"/>
  <c r="AI42" i="32"/>
  <c r="D42" i="32"/>
  <c r="D41" i="32"/>
  <c r="Z42" i="33"/>
  <c r="AA42" i="33"/>
  <c r="AB42" i="33"/>
  <c r="AC42" i="33"/>
  <c r="AD42" i="33"/>
  <c r="AD42" i="32" s="1"/>
  <c r="AE42" i="33"/>
  <c r="AF42" i="33"/>
  <c r="AG42" i="33"/>
  <c r="AH42" i="33"/>
  <c r="AH41" i="33"/>
  <c r="AG41" i="33"/>
  <c r="AF41" i="33"/>
  <c r="AE41" i="33"/>
  <c r="AD41" i="33"/>
  <c r="AC41" i="33"/>
  <c r="AB41" i="33"/>
  <c r="AA41" i="33"/>
  <c r="Z41" i="33"/>
  <c r="P42" i="33"/>
  <c r="Q42" i="33"/>
  <c r="R42" i="33"/>
  <c r="R42" i="32" s="1"/>
  <c r="S42" i="33"/>
  <c r="T42" i="33"/>
  <c r="T42" i="32" s="1"/>
  <c r="U42" i="33"/>
  <c r="V42" i="33"/>
  <c r="W42" i="33"/>
  <c r="W42" i="32" s="1"/>
  <c r="X42" i="33"/>
  <c r="X41" i="33"/>
  <c r="W41" i="33"/>
  <c r="W41" i="32" s="1"/>
  <c r="V41" i="33"/>
  <c r="U41" i="33"/>
  <c r="T41" i="33"/>
  <c r="T41" i="32" s="1"/>
  <c r="S41" i="33"/>
  <c r="R41" i="33"/>
  <c r="Q41" i="33"/>
  <c r="P41" i="33"/>
  <c r="F42" i="33"/>
  <c r="F42" i="32" s="1"/>
  <c r="G42" i="33"/>
  <c r="G42" i="32" s="1"/>
  <c r="H42" i="33"/>
  <c r="H42" i="32" s="1"/>
  <c r="I42" i="33"/>
  <c r="I42" i="32" s="1"/>
  <c r="J42" i="33"/>
  <c r="J42" i="32" s="1"/>
  <c r="K42" i="33"/>
  <c r="L42" i="33"/>
  <c r="M42" i="33"/>
  <c r="M42" i="32" s="1"/>
  <c r="N42" i="33"/>
  <c r="N41" i="33"/>
  <c r="M41" i="33"/>
  <c r="L41" i="33"/>
  <c r="K41" i="33"/>
  <c r="J41" i="33"/>
  <c r="I41" i="33"/>
  <c r="H41" i="33"/>
  <c r="H41" i="32" s="1"/>
  <c r="G41" i="33"/>
  <c r="G41" i="32" s="1"/>
  <c r="F41" i="33"/>
  <c r="F41" i="32" s="1"/>
  <c r="I41" i="32" l="1"/>
  <c r="J41" i="32"/>
  <c r="AD41" i="32"/>
  <c r="M41" i="32"/>
  <c r="R41" i="32"/>
  <c r="A103" i="12"/>
  <c r="A101" i="12"/>
  <c r="E39" i="32"/>
  <c r="F39" i="32"/>
  <c r="G39" i="32"/>
  <c r="H39" i="32"/>
  <c r="J39" i="32"/>
  <c r="O39" i="32"/>
  <c r="T39" i="32"/>
  <c r="Y39" i="32"/>
  <c r="AD39" i="32"/>
  <c r="AI39" i="32"/>
  <c r="E40" i="32"/>
  <c r="F40" i="32"/>
  <c r="G40" i="32"/>
  <c r="H40" i="32"/>
  <c r="J40" i="32"/>
  <c r="O40" i="32"/>
  <c r="T40" i="32"/>
  <c r="Y40" i="32"/>
  <c r="AD40" i="32"/>
  <c r="AI40" i="32"/>
  <c r="D40" i="32"/>
  <c r="D39" i="32"/>
  <c r="AE40" i="33"/>
  <c r="AF40" i="33"/>
  <c r="AG40" i="33"/>
  <c r="AH40" i="33"/>
  <c r="Z40" i="33"/>
  <c r="AA40" i="33"/>
  <c r="AB40" i="33"/>
  <c r="AC40" i="33"/>
  <c r="U40" i="33"/>
  <c r="V40" i="33"/>
  <c r="W40" i="33"/>
  <c r="W40" i="32" s="1"/>
  <c r="X40" i="33"/>
  <c r="P40" i="33"/>
  <c r="Q40" i="33"/>
  <c r="R40" i="33"/>
  <c r="R40" i="32" s="1"/>
  <c r="S40" i="33"/>
  <c r="M39" i="32"/>
  <c r="K40" i="33"/>
  <c r="L40" i="33"/>
  <c r="M40" i="33"/>
  <c r="M40" i="32" s="1"/>
  <c r="N40" i="33"/>
  <c r="I40" i="33"/>
  <c r="I40" i="32" s="1"/>
  <c r="W39" i="32" l="1"/>
  <c r="I39" i="32"/>
  <c r="R39" i="32"/>
  <c r="A98" i="11"/>
  <c r="E24" i="32"/>
  <c r="F24" i="32"/>
  <c r="G24" i="32"/>
  <c r="H24" i="32"/>
  <c r="I24" i="32"/>
  <c r="J24" i="32"/>
  <c r="M24" i="32"/>
  <c r="O24" i="32"/>
  <c r="R24" i="32"/>
  <c r="T24" i="32"/>
  <c r="W24" i="32"/>
  <c r="Y24" i="32"/>
  <c r="AD24" i="32"/>
  <c r="AI24" i="32"/>
  <c r="D24" i="32"/>
  <c r="E98" i="11" l="1"/>
  <c r="A97" i="11" l="1"/>
  <c r="E97" i="11" s="1"/>
  <c r="E20" i="32"/>
  <c r="F20" i="32"/>
  <c r="G20" i="32"/>
  <c r="H20" i="32"/>
  <c r="J20" i="32"/>
  <c r="M20" i="32"/>
  <c r="O20" i="32"/>
  <c r="R20" i="32"/>
  <c r="T20" i="32"/>
  <c r="W20" i="32"/>
  <c r="Y20" i="32"/>
  <c r="AD20" i="32"/>
  <c r="AI20" i="32"/>
  <c r="D20" i="32"/>
  <c r="A93" i="11"/>
  <c r="A92" i="11"/>
  <c r="E92" i="11" s="1"/>
  <c r="A91" i="11"/>
  <c r="E91" i="11" s="1"/>
  <c r="A90" i="11"/>
  <c r="E90" i="11" s="1"/>
  <c r="O23" i="32"/>
  <c r="AI23" i="32"/>
  <c r="AH23" i="33"/>
  <c r="AG23" i="33"/>
  <c r="AF23" i="33"/>
  <c r="AE23" i="33"/>
  <c r="AD23" i="33"/>
  <c r="AD23" i="32" s="1"/>
  <c r="AC23" i="33"/>
  <c r="AB23" i="33"/>
  <c r="AA23" i="33"/>
  <c r="Z23" i="33"/>
  <c r="Y23" i="33"/>
  <c r="Y23" i="32" s="1"/>
  <c r="X23" i="33"/>
  <c r="W23" i="33"/>
  <c r="W23" i="32" s="1"/>
  <c r="V23" i="33"/>
  <c r="U23" i="33"/>
  <c r="T23" i="33"/>
  <c r="T23" i="32" s="1"/>
  <c r="S23" i="33"/>
  <c r="R23" i="33"/>
  <c r="R23" i="32" s="1"/>
  <c r="Q23" i="33"/>
  <c r="P23" i="33"/>
  <c r="E93" i="11" l="1"/>
  <c r="AE19" i="33" l="1"/>
  <c r="AF19" i="33"/>
  <c r="AG19" i="33"/>
  <c r="AH19" i="33"/>
  <c r="AE20" i="33"/>
  <c r="AF20" i="33"/>
  <c r="AG20" i="33"/>
  <c r="AH20" i="33"/>
  <c r="AE21" i="33"/>
  <c r="AF21" i="33"/>
  <c r="AG21" i="33"/>
  <c r="AH21" i="33"/>
  <c r="AE22" i="33"/>
  <c r="AF22" i="33"/>
  <c r="AG22" i="33"/>
  <c r="AH22" i="33"/>
  <c r="AH18" i="33"/>
  <c r="AG18" i="33"/>
  <c r="AF18" i="33"/>
  <c r="AE18" i="33"/>
  <c r="Z19" i="33"/>
  <c r="AA19" i="33"/>
  <c r="AB19" i="33"/>
  <c r="AC19" i="33"/>
  <c r="Z20" i="33"/>
  <c r="AA20" i="33"/>
  <c r="AB20" i="33"/>
  <c r="AC20" i="33"/>
  <c r="Z21" i="33"/>
  <c r="AA21" i="33"/>
  <c r="AB21" i="33"/>
  <c r="AC21" i="33"/>
  <c r="Z22" i="33"/>
  <c r="AA22" i="33"/>
  <c r="AB22" i="33"/>
  <c r="AC22" i="33"/>
  <c r="AC18" i="33"/>
  <c r="AB18" i="33"/>
  <c r="AA18" i="33"/>
  <c r="Z18" i="33"/>
  <c r="X19" i="33"/>
  <c r="X20" i="33"/>
  <c r="X21" i="33"/>
  <c r="X22" i="33"/>
  <c r="X18" i="33"/>
  <c r="U19" i="33"/>
  <c r="V19" i="33"/>
  <c r="U20" i="33"/>
  <c r="V20" i="33"/>
  <c r="U21" i="33"/>
  <c r="V21" i="33"/>
  <c r="U22" i="33"/>
  <c r="V22" i="33"/>
  <c r="V18" i="33"/>
  <c r="U18" i="33"/>
  <c r="S19" i="33"/>
  <c r="S20" i="33"/>
  <c r="S21" i="33"/>
  <c r="S22" i="33"/>
  <c r="S18" i="33"/>
  <c r="P19" i="33"/>
  <c r="Q19" i="33"/>
  <c r="P20" i="33"/>
  <c r="Q20" i="33"/>
  <c r="P21" i="33"/>
  <c r="Q21" i="33"/>
  <c r="P22" i="33"/>
  <c r="Q22" i="33"/>
  <c r="Q18" i="33"/>
  <c r="P18" i="33"/>
  <c r="N19" i="33"/>
  <c r="N20" i="33"/>
  <c r="N21" i="33"/>
  <c r="N22" i="33"/>
  <c r="N18" i="33"/>
  <c r="K19" i="33"/>
  <c r="L19" i="33"/>
  <c r="K20" i="33"/>
  <c r="L20" i="33"/>
  <c r="K21" i="33"/>
  <c r="L21" i="33"/>
  <c r="K22" i="33"/>
  <c r="L22" i="33"/>
  <c r="L18" i="33"/>
  <c r="K18" i="33"/>
  <c r="I19" i="33"/>
  <c r="I20" i="33"/>
  <c r="I21" i="33"/>
  <c r="I22" i="33"/>
  <c r="I18" i="33"/>
  <c r="AE7" i="33"/>
  <c r="AF7" i="33"/>
  <c r="AG7" i="33"/>
  <c r="AH7" i="33"/>
  <c r="AE8" i="33"/>
  <c r="AF8" i="33"/>
  <c r="AG8" i="33"/>
  <c r="AH8" i="33"/>
  <c r="AE9" i="33"/>
  <c r="AF9" i="33"/>
  <c r="AG9" i="33"/>
  <c r="AH9" i="33"/>
  <c r="AE10" i="33"/>
  <c r="AF10" i="33"/>
  <c r="AG10" i="33"/>
  <c r="AH10" i="33"/>
  <c r="AE11" i="33"/>
  <c r="AF11" i="33"/>
  <c r="AG11" i="33"/>
  <c r="AH11" i="33"/>
  <c r="AE12" i="33"/>
  <c r="AF12" i="33"/>
  <c r="AG12" i="33"/>
  <c r="AH12" i="33"/>
  <c r="AE13" i="33"/>
  <c r="AF13" i="33"/>
  <c r="AG13" i="33"/>
  <c r="AH13" i="33"/>
  <c r="AE14" i="33"/>
  <c r="AF14" i="33"/>
  <c r="AG14" i="33"/>
  <c r="AH14" i="33"/>
  <c r="AE15" i="33"/>
  <c r="AF15" i="33"/>
  <c r="AG15" i="33"/>
  <c r="AH15" i="33"/>
  <c r="AE16" i="33"/>
  <c r="AF16" i="33"/>
  <c r="AG16" i="33"/>
  <c r="AH16" i="33"/>
  <c r="AE17" i="33"/>
  <c r="AF17" i="33"/>
  <c r="AG17" i="33"/>
  <c r="AH17" i="33"/>
  <c r="AH6" i="33"/>
  <c r="AG6" i="33"/>
  <c r="AF6" i="33"/>
  <c r="AE6" i="33"/>
  <c r="Z7" i="33"/>
  <c r="AA7" i="33"/>
  <c r="AB7" i="33"/>
  <c r="AC7" i="33"/>
  <c r="Z8" i="33"/>
  <c r="AA8" i="33"/>
  <c r="AB8" i="33"/>
  <c r="AC8" i="33"/>
  <c r="Z9" i="33"/>
  <c r="AA9" i="33"/>
  <c r="AB9" i="33"/>
  <c r="AC9" i="33"/>
  <c r="Z10" i="33"/>
  <c r="AA10" i="33"/>
  <c r="AB10" i="33"/>
  <c r="AC10" i="33"/>
  <c r="Z11" i="33"/>
  <c r="AA11" i="33"/>
  <c r="AB11" i="33"/>
  <c r="AC11" i="33"/>
  <c r="Z12" i="33"/>
  <c r="AA12" i="33"/>
  <c r="AB12" i="33"/>
  <c r="AC12" i="33"/>
  <c r="Z13" i="33"/>
  <c r="AA13" i="33"/>
  <c r="AB13" i="33"/>
  <c r="AC13" i="33"/>
  <c r="Z14" i="33"/>
  <c r="AA14" i="33"/>
  <c r="AB14" i="33"/>
  <c r="AC14" i="33"/>
  <c r="Z15" i="33"/>
  <c r="AA15" i="33"/>
  <c r="AB15" i="33"/>
  <c r="AC15" i="33"/>
  <c r="Z16" i="33"/>
  <c r="AA16" i="33"/>
  <c r="AB16" i="33"/>
  <c r="AC16" i="33"/>
  <c r="Z17" i="33"/>
  <c r="AA17" i="33"/>
  <c r="AB17" i="33"/>
  <c r="AC17" i="33"/>
  <c r="AC6" i="33"/>
  <c r="AB6" i="33"/>
  <c r="AA6" i="33"/>
  <c r="Z6" i="33"/>
  <c r="U7" i="33"/>
  <c r="V7" i="33"/>
  <c r="W7" i="33"/>
  <c r="X7" i="33"/>
  <c r="U8" i="33"/>
  <c r="V8" i="33"/>
  <c r="W8" i="33"/>
  <c r="X8" i="33"/>
  <c r="U9" i="33"/>
  <c r="V9" i="33"/>
  <c r="W9" i="33"/>
  <c r="X9" i="33"/>
  <c r="U10" i="33"/>
  <c r="V10" i="33"/>
  <c r="W10" i="33"/>
  <c r="X10" i="33"/>
  <c r="U11" i="33"/>
  <c r="V11" i="33"/>
  <c r="W11" i="33"/>
  <c r="X11" i="33"/>
  <c r="U12" i="33"/>
  <c r="V12" i="33"/>
  <c r="W12" i="33"/>
  <c r="X12" i="33"/>
  <c r="U13" i="33"/>
  <c r="V13" i="33"/>
  <c r="W13" i="33"/>
  <c r="X13" i="33"/>
  <c r="U14" i="33"/>
  <c r="V14" i="33"/>
  <c r="W14" i="33"/>
  <c r="X14" i="33"/>
  <c r="U15" i="33"/>
  <c r="V15" i="33"/>
  <c r="W15" i="33"/>
  <c r="X15" i="33"/>
  <c r="U16" i="33"/>
  <c r="V16" i="33"/>
  <c r="W16" i="33"/>
  <c r="X16" i="33"/>
  <c r="U17" i="33"/>
  <c r="V17" i="33"/>
  <c r="W17" i="33"/>
  <c r="X17" i="33"/>
  <c r="X6" i="33"/>
  <c r="W6" i="33"/>
  <c r="V6" i="33"/>
  <c r="U6" i="33"/>
  <c r="P7" i="33"/>
  <c r="Q7" i="33"/>
  <c r="R7" i="33"/>
  <c r="S7" i="33"/>
  <c r="P8" i="33"/>
  <c r="Q8" i="33"/>
  <c r="R8" i="33"/>
  <c r="S8" i="33"/>
  <c r="P9" i="33"/>
  <c r="Q9" i="33"/>
  <c r="R9" i="33"/>
  <c r="S9" i="33"/>
  <c r="P10" i="33"/>
  <c r="Q10" i="33"/>
  <c r="R10" i="33"/>
  <c r="S10" i="33"/>
  <c r="P11" i="33"/>
  <c r="Q11" i="33"/>
  <c r="R11" i="33"/>
  <c r="S11" i="33"/>
  <c r="P12" i="33"/>
  <c r="Q12" i="33"/>
  <c r="R12" i="33"/>
  <c r="S12" i="33"/>
  <c r="P13" i="33"/>
  <c r="Q13" i="33"/>
  <c r="R13" i="33"/>
  <c r="S13" i="33"/>
  <c r="P14" i="33"/>
  <c r="Q14" i="33"/>
  <c r="R14" i="33"/>
  <c r="S14" i="33"/>
  <c r="P15" i="33"/>
  <c r="Q15" i="33"/>
  <c r="R15" i="33"/>
  <c r="S15" i="33"/>
  <c r="P16" i="33"/>
  <c r="Q16" i="33"/>
  <c r="R16" i="33"/>
  <c r="S16" i="33"/>
  <c r="P17" i="33"/>
  <c r="Q17" i="33"/>
  <c r="R17" i="33"/>
  <c r="S17" i="33"/>
  <c r="S6" i="33"/>
  <c r="R6" i="33"/>
  <c r="Q6" i="33"/>
  <c r="P6" i="33"/>
  <c r="K7" i="33"/>
  <c r="L7" i="33"/>
  <c r="M7" i="33"/>
  <c r="N7" i="33"/>
  <c r="K8" i="33"/>
  <c r="L8" i="33"/>
  <c r="M8" i="33"/>
  <c r="N8" i="33"/>
  <c r="K9" i="33"/>
  <c r="L9" i="33"/>
  <c r="M9" i="33"/>
  <c r="N9" i="33"/>
  <c r="K10" i="33"/>
  <c r="L10" i="33"/>
  <c r="M10" i="33"/>
  <c r="N10" i="33"/>
  <c r="K11" i="33"/>
  <c r="L11" i="33"/>
  <c r="M11" i="33"/>
  <c r="N11" i="33"/>
  <c r="K12" i="33"/>
  <c r="L12" i="33"/>
  <c r="M12" i="33"/>
  <c r="N12" i="33"/>
  <c r="K13" i="33"/>
  <c r="L13" i="33"/>
  <c r="M13" i="33"/>
  <c r="N13" i="33"/>
  <c r="K14" i="33"/>
  <c r="L14" i="33"/>
  <c r="M14" i="33"/>
  <c r="N14" i="33"/>
  <c r="K15" i="33"/>
  <c r="L15" i="33"/>
  <c r="M15" i="33"/>
  <c r="N15" i="33"/>
  <c r="K16" i="33"/>
  <c r="L16" i="33"/>
  <c r="M16" i="33"/>
  <c r="N16" i="33"/>
  <c r="K17" i="33"/>
  <c r="L17" i="33"/>
  <c r="M17" i="33"/>
  <c r="N17" i="33"/>
  <c r="N6" i="33"/>
  <c r="M6" i="33"/>
  <c r="L6" i="33"/>
  <c r="K6" i="33"/>
  <c r="I7" i="33"/>
  <c r="I8" i="33"/>
  <c r="I9" i="33"/>
  <c r="I10" i="33"/>
  <c r="I11" i="33"/>
  <c r="I12" i="33"/>
  <c r="I13" i="33"/>
  <c r="I14" i="33"/>
  <c r="I15" i="33"/>
  <c r="I16" i="33"/>
  <c r="I17" i="33"/>
  <c r="I6" i="33"/>
  <c r="I20" i="32" l="1"/>
  <c r="A109" i="12" l="1"/>
  <c r="E109" i="12" s="1"/>
  <c r="A108" i="12"/>
  <c r="E108" i="12" s="1"/>
  <c r="A107" i="12"/>
  <c r="E107" i="12" s="1"/>
  <c r="A106" i="12"/>
  <c r="A105" i="12"/>
  <c r="E105" i="12" s="1"/>
  <c r="A104" i="12"/>
  <c r="A102" i="12"/>
  <c r="A100" i="12"/>
  <c r="E100" i="12" s="1"/>
  <c r="A99" i="12"/>
  <c r="E34" i="32"/>
  <c r="F34" i="32"/>
  <c r="G34" i="32"/>
  <c r="H34" i="32"/>
  <c r="I34" i="32"/>
  <c r="J34" i="32"/>
  <c r="M34" i="32"/>
  <c r="O34" i="32"/>
  <c r="R34" i="32"/>
  <c r="T34" i="32"/>
  <c r="W34" i="32"/>
  <c r="Y34" i="32"/>
  <c r="AD34" i="32"/>
  <c r="AI34" i="32"/>
  <c r="E35" i="32"/>
  <c r="F35" i="32"/>
  <c r="G35" i="32"/>
  <c r="H35" i="32"/>
  <c r="I35" i="32"/>
  <c r="J35" i="32"/>
  <c r="M35" i="32"/>
  <c r="O35" i="32"/>
  <c r="R35" i="32"/>
  <c r="T35" i="32"/>
  <c r="W35" i="32"/>
  <c r="Y35" i="32"/>
  <c r="AD35" i="32"/>
  <c r="AI35" i="32"/>
  <c r="E36" i="32"/>
  <c r="F36" i="32"/>
  <c r="G36" i="32"/>
  <c r="H36" i="32"/>
  <c r="I36" i="32"/>
  <c r="J36" i="32"/>
  <c r="M36" i="32"/>
  <c r="O36" i="32"/>
  <c r="R36" i="32"/>
  <c r="T36" i="32"/>
  <c r="W36" i="32"/>
  <c r="Y36" i="32"/>
  <c r="AD36" i="32"/>
  <c r="AI36" i="32"/>
  <c r="E37" i="32"/>
  <c r="F37" i="32"/>
  <c r="G37" i="32"/>
  <c r="H37" i="32"/>
  <c r="I37" i="32"/>
  <c r="J37" i="32"/>
  <c r="M37" i="32"/>
  <c r="O37" i="32"/>
  <c r="R37" i="32"/>
  <c r="T37" i="32"/>
  <c r="W37" i="32"/>
  <c r="Y37" i="32"/>
  <c r="AD37" i="32"/>
  <c r="AI37" i="32"/>
  <c r="E38" i="32"/>
  <c r="F38" i="32"/>
  <c r="G38" i="32"/>
  <c r="H38" i="32"/>
  <c r="I38" i="32"/>
  <c r="J38" i="32"/>
  <c r="M38" i="32"/>
  <c r="O38" i="32"/>
  <c r="R38" i="32"/>
  <c r="T38" i="32"/>
  <c r="W38" i="32"/>
  <c r="Y38" i="32"/>
  <c r="AD38" i="32"/>
  <c r="AI38" i="32"/>
  <c r="D38" i="32"/>
  <c r="D37" i="32"/>
  <c r="D36" i="32"/>
  <c r="D35" i="32"/>
  <c r="D34" i="32"/>
  <c r="E25" i="32"/>
  <c r="F25" i="32"/>
  <c r="G25" i="32"/>
  <c r="H25" i="32"/>
  <c r="I25" i="32"/>
  <c r="J25" i="32"/>
  <c r="K25" i="32"/>
  <c r="L25" i="32"/>
  <c r="M25" i="32"/>
  <c r="N25" i="32"/>
  <c r="O25" i="32"/>
  <c r="P25" i="32"/>
  <c r="Q25" i="32"/>
  <c r="R25" i="32"/>
  <c r="S25" i="32"/>
  <c r="T25" i="32"/>
  <c r="U25" i="32"/>
  <c r="V25" i="32"/>
  <c r="W25" i="32"/>
  <c r="X25" i="32"/>
  <c r="Y25" i="32"/>
  <c r="AD25" i="32"/>
  <c r="AI25" i="32"/>
  <c r="E26" i="32"/>
  <c r="F26" i="32"/>
  <c r="G26" i="32"/>
  <c r="H26" i="32"/>
  <c r="I26" i="32"/>
  <c r="J26" i="32"/>
  <c r="K26" i="32"/>
  <c r="L26" i="32"/>
  <c r="M26" i="32"/>
  <c r="N26" i="32"/>
  <c r="O26" i="32"/>
  <c r="P26" i="32"/>
  <c r="Q26" i="32"/>
  <c r="R26" i="32"/>
  <c r="S26" i="32"/>
  <c r="T26" i="32"/>
  <c r="U26" i="32"/>
  <c r="V26" i="32"/>
  <c r="W26" i="32"/>
  <c r="X26" i="32"/>
  <c r="Y26" i="32"/>
  <c r="AD26" i="32"/>
  <c r="AI26" i="32"/>
  <c r="E27" i="32"/>
  <c r="F27" i="32"/>
  <c r="G27" i="32"/>
  <c r="H27" i="32"/>
  <c r="I27" i="32"/>
  <c r="J27" i="32"/>
  <c r="M27" i="32"/>
  <c r="O27" i="32"/>
  <c r="R27" i="32"/>
  <c r="T27" i="32"/>
  <c r="W27" i="32"/>
  <c r="Y27" i="32"/>
  <c r="AD27" i="32"/>
  <c r="AI27" i="32"/>
  <c r="E28" i="32"/>
  <c r="F28" i="32"/>
  <c r="G28" i="32"/>
  <c r="H28" i="32"/>
  <c r="I28" i="32"/>
  <c r="J28" i="32"/>
  <c r="M28" i="32"/>
  <c r="O28" i="32"/>
  <c r="R28" i="32"/>
  <c r="T28" i="32"/>
  <c r="W28" i="32"/>
  <c r="Y28" i="32"/>
  <c r="AD28" i="32"/>
  <c r="AI28" i="32"/>
  <c r="E31" i="32"/>
  <c r="F31" i="32"/>
  <c r="G31" i="32"/>
  <c r="H31" i="32"/>
  <c r="I31" i="32"/>
  <c r="J31" i="32"/>
  <c r="K31" i="32"/>
  <c r="L31" i="32"/>
  <c r="M31" i="32"/>
  <c r="N31" i="32"/>
  <c r="O31" i="32"/>
  <c r="P31" i="32"/>
  <c r="Q31" i="32"/>
  <c r="R31" i="32"/>
  <c r="S31" i="32"/>
  <c r="T31" i="32"/>
  <c r="U31" i="32"/>
  <c r="V31" i="32"/>
  <c r="W31" i="32"/>
  <c r="X31" i="32"/>
  <c r="Y31" i="32"/>
  <c r="AD31" i="32"/>
  <c r="AI31" i="32"/>
  <c r="E32" i="32"/>
  <c r="F32" i="32"/>
  <c r="G32" i="32"/>
  <c r="H32" i="32"/>
  <c r="I32" i="32"/>
  <c r="J32" i="32"/>
  <c r="K32" i="32"/>
  <c r="L32" i="32"/>
  <c r="M32" i="32"/>
  <c r="N32" i="32"/>
  <c r="O32" i="32"/>
  <c r="P32" i="32"/>
  <c r="Q32" i="32"/>
  <c r="R32" i="32"/>
  <c r="S32" i="32"/>
  <c r="T32" i="32"/>
  <c r="U32" i="32"/>
  <c r="V32" i="32"/>
  <c r="W32" i="32"/>
  <c r="X32" i="32"/>
  <c r="Y32" i="32"/>
  <c r="AD32" i="32"/>
  <c r="AI32" i="32"/>
  <c r="E33" i="32"/>
  <c r="F33" i="32"/>
  <c r="G33" i="32"/>
  <c r="H33" i="32"/>
  <c r="I33" i="32"/>
  <c r="J33" i="32"/>
  <c r="K33" i="32"/>
  <c r="L33" i="32"/>
  <c r="M33" i="32"/>
  <c r="N33" i="32"/>
  <c r="O33" i="32"/>
  <c r="P33" i="32"/>
  <c r="Q33" i="32"/>
  <c r="R33" i="32"/>
  <c r="S33" i="32"/>
  <c r="T33" i="32"/>
  <c r="U33" i="32"/>
  <c r="V33" i="32"/>
  <c r="W33" i="32"/>
  <c r="X33" i="32"/>
  <c r="Y33" i="32"/>
  <c r="AD33" i="32"/>
  <c r="AI33" i="32"/>
  <c r="D33" i="32"/>
  <c r="D32" i="32"/>
  <c r="D31" i="32"/>
  <c r="D28" i="32"/>
  <c r="D27" i="32"/>
  <c r="D26" i="32"/>
  <c r="D25" i="32"/>
  <c r="O22" i="32"/>
  <c r="R22" i="32"/>
  <c r="T22" i="32"/>
  <c r="W22" i="32"/>
  <c r="Y22" i="32"/>
  <c r="AD22" i="32"/>
  <c r="AI22" i="32"/>
  <c r="O21" i="32"/>
  <c r="R21" i="32"/>
  <c r="T21" i="32"/>
  <c r="W21" i="32"/>
  <c r="Y21" i="32"/>
  <c r="AD21" i="32"/>
  <c r="AI21" i="32"/>
  <c r="E19" i="32"/>
  <c r="F19" i="32"/>
  <c r="G19" i="32"/>
  <c r="H19" i="32"/>
  <c r="I19" i="32"/>
  <c r="J19" i="32"/>
  <c r="M19" i="32"/>
  <c r="O19" i="32"/>
  <c r="R19" i="32"/>
  <c r="T19" i="32"/>
  <c r="W19" i="32"/>
  <c r="Y19" i="32"/>
  <c r="AD19" i="32"/>
  <c r="AI19" i="32"/>
  <c r="D19" i="32"/>
  <c r="E18" i="32"/>
  <c r="F18" i="32"/>
  <c r="G18" i="32"/>
  <c r="H18" i="32"/>
  <c r="I18" i="32"/>
  <c r="J18" i="32"/>
  <c r="M18" i="32"/>
  <c r="O18" i="32"/>
  <c r="R18" i="32"/>
  <c r="T18" i="32"/>
  <c r="W18" i="32"/>
  <c r="Y18" i="32"/>
  <c r="AD18" i="32"/>
  <c r="AI18" i="32"/>
  <c r="D18" i="32"/>
  <c r="D3" i="32" l="1"/>
  <c r="A129" i="9"/>
  <c r="E129" i="9" s="1"/>
  <c r="A128" i="9"/>
  <c r="E128" i="9" s="1"/>
  <c r="E3" i="32"/>
  <c r="F3" i="32"/>
  <c r="G3" i="32"/>
  <c r="H3" i="32"/>
  <c r="I3" i="32"/>
  <c r="J3" i="32"/>
  <c r="M3" i="32"/>
  <c r="O3" i="32"/>
  <c r="R3" i="32"/>
  <c r="T3" i="32"/>
  <c r="W3" i="32"/>
  <c r="Y3" i="32"/>
  <c r="AD3" i="32"/>
  <c r="AI3" i="32"/>
  <c r="A127" i="9" l="1"/>
  <c r="E127" i="9" s="1"/>
  <c r="A130" i="10" l="1"/>
  <c r="E130" i="10" s="1"/>
  <c r="A134" i="10"/>
  <c r="E134" i="10" s="1"/>
  <c r="A133" i="10"/>
  <c r="E133" i="10" s="1"/>
  <c r="A132" i="10"/>
  <c r="E132" i="10" s="1"/>
  <c r="A131" i="10"/>
  <c r="E131" i="10" s="1"/>
  <c r="A129" i="10"/>
  <c r="E129" i="10" s="1"/>
  <c r="A128" i="10"/>
  <c r="E128" i="10" s="1"/>
  <c r="A127" i="10"/>
  <c r="E127" i="10" s="1"/>
  <c r="A126" i="10"/>
  <c r="E126" i="10" s="1"/>
  <c r="A125" i="10"/>
  <c r="E125" i="10" s="1"/>
  <c r="A124" i="10"/>
  <c r="E124" i="10" s="1"/>
  <c r="E7" i="32"/>
  <c r="F7" i="32"/>
  <c r="G7" i="32"/>
  <c r="H7" i="32"/>
  <c r="I7" i="32"/>
  <c r="J7" i="32"/>
  <c r="M7" i="32"/>
  <c r="O7" i="32"/>
  <c r="R7" i="32"/>
  <c r="T7" i="32"/>
  <c r="W7" i="32"/>
  <c r="Y7" i="32"/>
  <c r="AD7" i="32"/>
  <c r="AI7" i="32"/>
  <c r="E8" i="32"/>
  <c r="F8" i="32"/>
  <c r="G8" i="32"/>
  <c r="H8" i="32"/>
  <c r="I8" i="32"/>
  <c r="J8" i="32"/>
  <c r="M8" i="32"/>
  <c r="O8" i="32"/>
  <c r="R8" i="32"/>
  <c r="T8" i="32"/>
  <c r="W8" i="32"/>
  <c r="Y8" i="32"/>
  <c r="AD8" i="32"/>
  <c r="AI8" i="32"/>
  <c r="E9" i="32"/>
  <c r="F9" i="32"/>
  <c r="G9" i="32"/>
  <c r="H9" i="32"/>
  <c r="I9" i="32"/>
  <c r="J9" i="32"/>
  <c r="M9" i="32"/>
  <c r="O9" i="32"/>
  <c r="R9" i="32"/>
  <c r="T9" i="32"/>
  <c r="W9" i="32"/>
  <c r="Y9" i="32"/>
  <c r="AD9" i="32"/>
  <c r="AI9" i="32"/>
  <c r="E10" i="32"/>
  <c r="E16" i="32" s="1"/>
  <c r="F10" i="32"/>
  <c r="F16" i="32" s="1"/>
  <c r="G10" i="32"/>
  <c r="G16" i="32" s="1"/>
  <c r="H10" i="32"/>
  <c r="H16" i="32" s="1"/>
  <c r="I10" i="32"/>
  <c r="I16" i="32" s="1"/>
  <c r="J10" i="32"/>
  <c r="J16" i="32" s="1"/>
  <c r="M10" i="32"/>
  <c r="M16" i="32" s="1"/>
  <c r="O10" i="32"/>
  <c r="O16" i="32" s="1"/>
  <c r="R10" i="32"/>
  <c r="R16" i="32" s="1"/>
  <c r="T10" i="32"/>
  <c r="T16" i="32" s="1"/>
  <c r="W10" i="32"/>
  <c r="W16" i="32" s="1"/>
  <c r="Y10" i="32"/>
  <c r="Y16" i="32" s="1"/>
  <c r="AD10" i="32"/>
  <c r="AD16" i="32" s="1"/>
  <c r="AI10" i="32"/>
  <c r="AI16" i="32" s="1"/>
  <c r="E11" i="32"/>
  <c r="F11" i="32"/>
  <c r="G11" i="32"/>
  <c r="H11" i="32"/>
  <c r="I11" i="32"/>
  <c r="J11" i="32"/>
  <c r="M11" i="32"/>
  <c r="O11" i="32"/>
  <c r="R11" i="32"/>
  <c r="T11" i="32"/>
  <c r="W11" i="32"/>
  <c r="Y11" i="32"/>
  <c r="AD11" i="32"/>
  <c r="AI11" i="32"/>
  <c r="E12" i="32"/>
  <c r="F12" i="32"/>
  <c r="G12" i="32"/>
  <c r="H12" i="32"/>
  <c r="I12" i="32"/>
  <c r="J12" i="32"/>
  <c r="M12" i="32"/>
  <c r="O12" i="32"/>
  <c r="R12" i="32"/>
  <c r="T12" i="32"/>
  <c r="W12" i="32"/>
  <c r="Y12" i="32"/>
  <c r="AD12" i="32"/>
  <c r="AI12" i="32"/>
  <c r="E13" i="32"/>
  <c r="F13" i="32"/>
  <c r="G13" i="32"/>
  <c r="H13" i="32"/>
  <c r="I13" i="32"/>
  <c r="J13" i="32"/>
  <c r="M13" i="32"/>
  <c r="O13" i="32"/>
  <c r="R13" i="32"/>
  <c r="T13" i="32"/>
  <c r="W13" i="32"/>
  <c r="Y13" i="32"/>
  <c r="AD13" i="32"/>
  <c r="AI13" i="32"/>
  <c r="E14" i="32"/>
  <c r="F14" i="32"/>
  <c r="G14" i="32"/>
  <c r="H14" i="32"/>
  <c r="I14" i="32"/>
  <c r="J14" i="32"/>
  <c r="M14" i="32"/>
  <c r="O14" i="32"/>
  <c r="R14" i="32"/>
  <c r="T14" i="32"/>
  <c r="W14" i="32"/>
  <c r="Y14" i="32"/>
  <c r="AD14" i="32"/>
  <c r="AI14" i="32"/>
  <c r="E15" i="32"/>
  <c r="F15" i="32"/>
  <c r="G15" i="32"/>
  <c r="H15" i="32"/>
  <c r="I15" i="32"/>
  <c r="J15" i="32"/>
  <c r="M15" i="32"/>
  <c r="O15" i="32"/>
  <c r="R15" i="32"/>
  <c r="T15" i="32"/>
  <c r="W15" i="32"/>
  <c r="Y15" i="32"/>
  <c r="AD15" i="32"/>
  <c r="AI15" i="32"/>
  <c r="E17" i="32"/>
  <c r="F17" i="32"/>
  <c r="G17" i="32"/>
  <c r="H17" i="32"/>
  <c r="I17" i="32"/>
  <c r="J17" i="32"/>
  <c r="M17" i="32"/>
  <c r="O17" i="32"/>
  <c r="R17" i="32"/>
  <c r="T17" i="32"/>
  <c r="W17" i="32"/>
  <c r="Y17" i="32"/>
  <c r="AD17" i="32"/>
  <c r="AI17" i="32"/>
  <c r="D17" i="32"/>
  <c r="D15" i="32"/>
  <c r="D14" i="32"/>
  <c r="D13" i="32"/>
  <c r="D12" i="32"/>
  <c r="D11" i="32"/>
  <c r="D10" i="32"/>
  <c r="D16" i="32" s="1"/>
  <c r="D9" i="32"/>
  <c r="D8" i="32"/>
  <c r="D7" i="32"/>
  <c r="E6" i="32"/>
  <c r="F6" i="32"/>
  <c r="G6" i="32"/>
  <c r="H6" i="32"/>
  <c r="I6" i="32"/>
  <c r="J6" i="32"/>
  <c r="M6" i="32"/>
  <c r="O6" i="32"/>
  <c r="R6" i="32"/>
  <c r="T6" i="32"/>
  <c r="W6" i="32"/>
  <c r="Y6" i="32"/>
  <c r="AD6" i="32"/>
  <c r="AI6" i="32"/>
  <c r="D6" i="32"/>
  <c r="E5" i="32" l="1"/>
  <c r="F5" i="32"/>
  <c r="G5" i="32"/>
  <c r="H5" i="32"/>
  <c r="I5" i="32"/>
  <c r="J5" i="32"/>
  <c r="M5" i="32"/>
  <c r="O5" i="32"/>
  <c r="R5" i="32"/>
  <c r="T5" i="32"/>
  <c r="W5" i="32"/>
  <c r="Y5" i="32"/>
  <c r="AD5" i="32"/>
  <c r="AI5" i="32"/>
  <c r="D5" i="32"/>
  <c r="D46" i="33"/>
  <c r="D47" i="32" s="1"/>
  <c r="D23" i="33"/>
  <c r="D22" i="32" l="1"/>
  <c r="D21" i="32"/>
  <c r="F23" i="33"/>
  <c r="F21" i="32" s="1"/>
  <c r="E23" i="33"/>
  <c r="E21" i="32" s="1"/>
  <c r="N23" i="33"/>
  <c r="M23" i="33"/>
  <c r="M21" i="32" s="1"/>
  <c r="L23" i="33"/>
  <c r="K23" i="33"/>
  <c r="I23" i="33"/>
  <c r="I21" i="32" s="1"/>
  <c r="H23" i="33"/>
  <c r="H21" i="32" s="1"/>
  <c r="G23" i="33"/>
  <c r="G21" i="32" s="1"/>
  <c r="D23" i="32"/>
  <c r="J23" i="33"/>
  <c r="J21" i="32" s="1"/>
  <c r="D32" i="30"/>
  <c r="C32" i="30"/>
  <c r="D8" i="30"/>
  <c r="D53" i="30" s="1"/>
  <c r="C8" i="30"/>
  <c r="C53" i="30" s="1"/>
  <c r="B89" i="9"/>
  <c r="B85" i="9"/>
  <c r="B81" i="9"/>
  <c r="B77" i="9"/>
  <c r="AD280" i="17"/>
  <c r="AC280" i="17"/>
  <c r="AB280" i="17"/>
  <c r="AA280" i="17"/>
  <c r="Z280" i="17"/>
  <c r="Y280" i="17"/>
  <c r="X280" i="17"/>
  <c r="W280" i="17"/>
  <c r="V280" i="17"/>
  <c r="AD272" i="17"/>
  <c r="AC272" i="17"/>
  <c r="AB272" i="17"/>
  <c r="AA272" i="17"/>
  <c r="Z272" i="17"/>
  <c r="Y272" i="17"/>
  <c r="X272" i="17"/>
  <c r="W272" i="17"/>
  <c r="V272" i="17"/>
  <c r="W264" i="17"/>
  <c r="X264" i="17"/>
  <c r="Y264" i="17"/>
  <c r="Z264" i="17"/>
  <c r="AA264" i="17"/>
  <c r="AB264" i="17"/>
  <c r="AC264" i="17"/>
  <c r="AD264" i="17"/>
  <c r="V264" i="17"/>
  <c r="W238" i="17"/>
  <c r="X238" i="17"/>
  <c r="Y238" i="17"/>
  <c r="Z238" i="17"/>
  <c r="AA238" i="17"/>
  <c r="AB238" i="17"/>
  <c r="AC238" i="17"/>
  <c r="AD238" i="17"/>
  <c r="V238" i="17"/>
  <c r="I23" i="32" l="1"/>
  <c r="I22" i="32"/>
  <c r="M23" i="32"/>
  <c r="M22" i="32"/>
  <c r="G23" i="32"/>
  <c r="G22" i="32"/>
  <c r="J23" i="32"/>
  <c r="J22" i="32"/>
  <c r="H23" i="32"/>
  <c r="H22" i="32"/>
  <c r="E23" i="32"/>
  <c r="E22" i="32"/>
  <c r="F23" i="32"/>
  <c r="F22" i="32"/>
  <c r="D13" i="30"/>
  <c r="C37" i="30"/>
  <c r="D37" i="30"/>
  <c r="B39" i="30"/>
  <c r="C41" i="30"/>
  <c r="D41" i="30"/>
  <c r="C45" i="30"/>
  <c r="D45" i="30"/>
  <c r="C49" i="30"/>
  <c r="D49" i="30"/>
  <c r="B51" i="30"/>
  <c r="B42" i="30"/>
  <c r="D55" i="30"/>
  <c r="B43" i="30"/>
  <c r="B54" i="30"/>
  <c r="D54" i="30"/>
  <c r="E99" i="26" s="1"/>
  <c r="B55" i="30"/>
  <c r="B34" i="30"/>
  <c r="B35" i="30"/>
  <c r="B46" i="30"/>
  <c r="B47" i="30"/>
  <c r="B50" i="30"/>
  <c r="B38" i="30"/>
  <c r="C13" i="30"/>
  <c r="C17" i="30"/>
  <c r="B30" i="30"/>
  <c r="D17" i="30"/>
  <c r="C21" i="30"/>
  <c r="B22" i="30"/>
  <c r="D21" i="30"/>
  <c r="C25" i="30"/>
  <c r="D25" i="30"/>
  <c r="C29" i="30"/>
  <c r="B14" i="30"/>
  <c r="D29" i="30"/>
  <c r="B15" i="30"/>
  <c r="B23" i="30"/>
  <c r="B31" i="30"/>
  <c r="B10" i="30"/>
  <c r="B18" i="30"/>
  <c r="B26" i="30"/>
  <c r="B11" i="30"/>
  <c r="B19" i="30"/>
  <c r="B27" i="30"/>
  <c r="BJ122" i="17"/>
  <c r="BE122" i="17"/>
  <c r="AZ122" i="17"/>
  <c r="AX122" i="17"/>
  <c r="AU122" i="17"/>
  <c r="AS122" i="17"/>
  <c r="AP122" i="17"/>
  <c r="AN122" i="17"/>
  <c r="AK122" i="17"/>
  <c r="AJ122" i="17"/>
  <c r="AI122" i="17"/>
  <c r="AH122" i="17"/>
  <c r="AG122" i="17"/>
  <c r="AF122" i="17"/>
  <c r="AE122" i="17"/>
  <c r="AD122" i="17"/>
  <c r="AC122" i="17"/>
  <c r="AB122" i="17"/>
  <c r="AA122" i="17"/>
  <c r="Z122" i="17"/>
  <c r="Y122" i="17"/>
  <c r="X122" i="17"/>
  <c r="W122" i="17"/>
  <c r="V122" i="17"/>
  <c r="U122" i="17"/>
  <c r="T122" i="17"/>
  <c r="S122" i="17"/>
  <c r="R122" i="17"/>
  <c r="Q122" i="17"/>
  <c r="P122" i="17"/>
  <c r="O122" i="17"/>
  <c r="N122" i="17"/>
  <c r="M122" i="17"/>
  <c r="L122" i="17"/>
  <c r="K122" i="17"/>
  <c r="J122" i="17"/>
  <c r="I122" i="17"/>
  <c r="H122" i="17"/>
  <c r="G122" i="17"/>
  <c r="F122" i="17"/>
  <c r="E122" i="17"/>
  <c r="D122" i="17"/>
  <c r="C122" i="17"/>
  <c r="B122" i="17"/>
  <c r="AR121" i="17"/>
  <c r="AQ121" i="17"/>
  <c r="AO121" i="17"/>
  <c r="AL121" i="17"/>
  <c r="AM121" i="17" s="1"/>
  <c r="BI120" i="17"/>
  <c r="BH120" i="17"/>
  <c r="BG120" i="17"/>
  <c r="BF120" i="17"/>
  <c r="BD120" i="17"/>
  <c r="BC120" i="17"/>
  <c r="BB120" i="17"/>
  <c r="BA120" i="17"/>
  <c r="AY120" i="17"/>
  <c r="AW120" i="17"/>
  <c r="AV120" i="17"/>
  <c r="AT120" i="17"/>
  <c r="AR120" i="17"/>
  <c r="AQ120" i="17"/>
  <c r="AO120" i="17"/>
  <c r="AL120" i="17"/>
  <c r="AM120" i="17" s="1"/>
  <c r="AL119" i="17"/>
  <c r="AM119" i="17" s="1"/>
  <c r="AL118" i="17"/>
  <c r="AM118" i="17" s="1"/>
  <c r="BI117" i="17"/>
  <c r="BH117" i="17"/>
  <c r="BG117" i="17"/>
  <c r="BF117" i="17"/>
  <c r="BD117" i="17"/>
  <c r="BC117" i="17"/>
  <c r="BB117" i="17"/>
  <c r="BA117" i="17"/>
  <c r="AY117" i="17"/>
  <c r="AW117" i="17"/>
  <c r="AV117" i="17"/>
  <c r="AT117" i="17"/>
  <c r="AR117" i="17"/>
  <c r="AQ117" i="17"/>
  <c r="AO117" i="17"/>
  <c r="AL117" i="17"/>
  <c r="AM117" i="17" s="1"/>
  <c r="BI115" i="17"/>
  <c r="BH115" i="17"/>
  <c r="BG115" i="17"/>
  <c r="BF115" i="17"/>
  <c r="BD115" i="17"/>
  <c r="BC115" i="17"/>
  <c r="BB115" i="17"/>
  <c r="BA115" i="17"/>
  <c r="AY115" i="17"/>
  <c r="AW115" i="17"/>
  <c r="AV115" i="17"/>
  <c r="AT115" i="17"/>
  <c r="AR115" i="17"/>
  <c r="AQ115" i="17"/>
  <c r="AO115" i="17"/>
  <c r="AL115" i="17"/>
  <c r="AM115" i="17" s="1"/>
  <c r="BI114" i="17"/>
  <c r="BH114" i="17"/>
  <c r="BG114" i="17"/>
  <c r="BF114" i="17"/>
  <c r="BD114" i="17"/>
  <c r="BC114" i="17"/>
  <c r="BB114" i="17"/>
  <c r="BA114" i="17"/>
  <c r="AY114" i="17"/>
  <c r="AW114" i="17"/>
  <c r="AV114" i="17"/>
  <c r="AT114" i="17"/>
  <c r="AR114" i="17"/>
  <c r="AQ114" i="17"/>
  <c r="AO114" i="17"/>
  <c r="AL114" i="17"/>
  <c r="AM114" i="17" s="1"/>
  <c r="BI112" i="17"/>
  <c r="BH112" i="17"/>
  <c r="BG112" i="17"/>
  <c r="BF112" i="17"/>
  <c r="BD112" i="17"/>
  <c r="BC112" i="17"/>
  <c r="BB112" i="17"/>
  <c r="BA112" i="17"/>
  <c r="AY112" i="17"/>
  <c r="AW112" i="17"/>
  <c r="AV112" i="17"/>
  <c r="AT112" i="17"/>
  <c r="AR112" i="17"/>
  <c r="AQ112" i="17"/>
  <c r="AO112" i="17"/>
  <c r="AL112" i="17"/>
  <c r="AM112" i="17" s="1"/>
  <c r="BI111" i="17"/>
  <c r="BH111" i="17"/>
  <c r="BG111" i="17"/>
  <c r="BF111" i="17"/>
  <c r="BD111" i="17"/>
  <c r="BC111" i="17"/>
  <c r="BB111" i="17"/>
  <c r="BA111" i="17"/>
  <c r="AY111" i="17"/>
  <c r="AW111" i="17"/>
  <c r="AV111" i="17"/>
  <c r="AT111" i="17"/>
  <c r="AR111" i="17"/>
  <c r="AQ111" i="17"/>
  <c r="AO111" i="17"/>
  <c r="AL111" i="17"/>
  <c r="AM111" i="17" s="1"/>
  <c r="BI110" i="17"/>
  <c r="BH110" i="17"/>
  <c r="BG110" i="17"/>
  <c r="BF110" i="17"/>
  <c r="BD110" i="17"/>
  <c r="BC110" i="17"/>
  <c r="BB110" i="17"/>
  <c r="BA110" i="17"/>
  <c r="AY110" i="17"/>
  <c r="AW110" i="17"/>
  <c r="AV110" i="17"/>
  <c r="AT110" i="17"/>
  <c r="AR110" i="17"/>
  <c r="AQ110" i="17"/>
  <c r="AO110" i="17"/>
  <c r="AL110" i="17"/>
  <c r="AM110" i="17" s="1"/>
  <c r="BI107" i="17"/>
  <c r="BH107" i="17"/>
  <c r="BG107" i="17"/>
  <c r="BF107" i="17"/>
  <c r="BD107" i="17"/>
  <c r="BC107" i="17"/>
  <c r="BB107" i="17"/>
  <c r="BA107" i="17"/>
  <c r="AY107" i="17"/>
  <c r="AW107" i="17"/>
  <c r="AV107" i="17"/>
  <c r="AT107" i="17"/>
  <c r="AR107" i="17"/>
  <c r="AQ107" i="17"/>
  <c r="AO107" i="17"/>
  <c r="AL107" i="17"/>
  <c r="AM107" i="17" s="1"/>
  <c r="C103" i="17"/>
  <c r="D103" i="17"/>
  <c r="E103" i="17"/>
  <c r="F103" i="17"/>
  <c r="G103" i="17"/>
  <c r="H103" i="17"/>
  <c r="I103" i="17"/>
  <c r="J103" i="17"/>
  <c r="K103" i="17"/>
  <c r="L103" i="17"/>
  <c r="M103" i="17"/>
  <c r="N103" i="17"/>
  <c r="O103" i="17"/>
  <c r="P103" i="17"/>
  <c r="Q103" i="17"/>
  <c r="R103" i="17"/>
  <c r="S103" i="17"/>
  <c r="T103" i="17"/>
  <c r="U103" i="17"/>
  <c r="V103" i="17"/>
  <c r="W103" i="17"/>
  <c r="X103" i="17"/>
  <c r="Y103" i="17"/>
  <c r="Z103" i="17"/>
  <c r="AA103" i="17"/>
  <c r="AB103" i="17"/>
  <c r="AC103" i="17"/>
  <c r="AD103" i="17"/>
  <c r="AE103" i="17"/>
  <c r="AF103" i="17"/>
  <c r="AG103" i="17"/>
  <c r="AH103" i="17"/>
  <c r="AI103" i="17"/>
  <c r="AJ103" i="17"/>
  <c r="AK103" i="17"/>
  <c r="AK83" i="17" s="1"/>
  <c r="AN103" i="17"/>
  <c r="AN83" i="17" s="1"/>
  <c r="AP103" i="17"/>
  <c r="AP83" i="17" s="1"/>
  <c r="AS103" i="17"/>
  <c r="AS83" i="17" s="1"/>
  <c r="AU103" i="17"/>
  <c r="AU83" i="17" s="1"/>
  <c r="AX103" i="17"/>
  <c r="AX83" i="17" s="1"/>
  <c r="AZ103" i="17"/>
  <c r="AZ83" i="17" s="1"/>
  <c r="BE103" i="17"/>
  <c r="BE83" i="17" s="1"/>
  <c r="BE8" i="17" s="1"/>
  <c r="BJ103" i="17"/>
  <c r="BJ83" i="17" s="1"/>
  <c r="BJ8" i="17" s="1"/>
  <c r="B103" i="17"/>
  <c r="AO102" i="17"/>
  <c r="AO101" i="17"/>
  <c r="AO98" i="17"/>
  <c r="AO96" i="17"/>
  <c r="AO95" i="17"/>
  <c r="AO93" i="17"/>
  <c r="AO92" i="17"/>
  <c r="AO91" i="17"/>
  <c r="AO88" i="17"/>
  <c r="AR102" i="17"/>
  <c r="AQ102" i="17"/>
  <c r="AL102" i="17"/>
  <c r="AM102" i="17" s="1"/>
  <c r="BI101" i="17"/>
  <c r="BH101" i="17"/>
  <c r="BG101" i="17"/>
  <c r="BF101" i="17"/>
  <c r="BD101" i="17"/>
  <c r="BC101" i="17"/>
  <c r="BB101" i="17"/>
  <c r="BA101" i="17"/>
  <c r="AY101" i="17"/>
  <c r="AW101" i="17"/>
  <c r="AV101" i="17"/>
  <c r="AT101" i="17"/>
  <c r="AR101" i="17"/>
  <c r="AQ101" i="17"/>
  <c r="AL101" i="17"/>
  <c r="AM101" i="17" s="1"/>
  <c r="BI98" i="17"/>
  <c r="BH98" i="17"/>
  <c r="BG98" i="17"/>
  <c r="BF98" i="17"/>
  <c r="BD98" i="17"/>
  <c r="BC98" i="17"/>
  <c r="BB98" i="17"/>
  <c r="BA98" i="17"/>
  <c r="AY98" i="17"/>
  <c r="AW98" i="17"/>
  <c r="AV98" i="17"/>
  <c r="AT98" i="17"/>
  <c r="AR98" i="17"/>
  <c r="AQ98" i="17"/>
  <c r="AL98" i="17"/>
  <c r="AM98" i="17" s="1"/>
  <c r="BI96" i="17"/>
  <c r="BH96" i="17"/>
  <c r="BG96" i="17"/>
  <c r="BF96" i="17"/>
  <c r="BD96" i="17"/>
  <c r="BC96" i="17"/>
  <c r="BB96" i="17"/>
  <c r="BA96" i="17"/>
  <c r="AY96" i="17"/>
  <c r="AW96" i="17"/>
  <c r="AV96" i="17"/>
  <c r="AT96" i="17"/>
  <c r="AR96" i="17"/>
  <c r="AQ96" i="17"/>
  <c r="AL96" i="17"/>
  <c r="AM96" i="17" s="1"/>
  <c r="BI95" i="17"/>
  <c r="BH95" i="17"/>
  <c r="BG95" i="17"/>
  <c r="BF95" i="17"/>
  <c r="BD95" i="17"/>
  <c r="BC95" i="17"/>
  <c r="BB95" i="17"/>
  <c r="BA95" i="17"/>
  <c r="AY95" i="17"/>
  <c r="AW95" i="17"/>
  <c r="AV95" i="17"/>
  <c r="AT95" i="17"/>
  <c r="AR95" i="17"/>
  <c r="AQ95" i="17"/>
  <c r="AL95" i="17"/>
  <c r="AM95" i="17" s="1"/>
  <c r="BI93" i="17"/>
  <c r="BH93" i="17"/>
  <c r="BG93" i="17"/>
  <c r="BF93" i="17"/>
  <c r="BD93" i="17"/>
  <c r="BC93" i="17"/>
  <c r="BB93" i="17"/>
  <c r="BA93" i="17"/>
  <c r="AY93" i="17"/>
  <c r="AW93" i="17"/>
  <c r="AV93" i="17"/>
  <c r="AT93" i="17"/>
  <c r="AR93" i="17"/>
  <c r="AQ93" i="17"/>
  <c r="AL93" i="17"/>
  <c r="AM93" i="17" s="1"/>
  <c r="BI92" i="17"/>
  <c r="BH92" i="17"/>
  <c r="BG92" i="17"/>
  <c r="BF92" i="17"/>
  <c r="BD92" i="17"/>
  <c r="BC92" i="17"/>
  <c r="BB92" i="17"/>
  <c r="BA92" i="17"/>
  <c r="AY92" i="17"/>
  <c r="AW92" i="17"/>
  <c r="AV92" i="17"/>
  <c r="AT92" i="17"/>
  <c r="AR92" i="17"/>
  <c r="AQ92" i="17"/>
  <c r="AL92" i="17"/>
  <c r="AM92" i="17" s="1"/>
  <c r="BI91" i="17"/>
  <c r="BH91" i="17"/>
  <c r="BG91" i="17"/>
  <c r="BF91" i="17"/>
  <c r="BD91" i="17"/>
  <c r="BC91" i="17"/>
  <c r="BB91" i="17"/>
  <c r="BA91" i="17"/>
  <c r="AY91" i="17"/>
  <c r="AW91" i="17"/>
  <c r="AV91" i="17"/>
  <c r="AT91" i="17"/>
  <c r="AR91" i="17"/>
  <c r="AQ91" i="17"/>
  <c r="AL91" i="17"/>
  <c r="AM91" i="17" s="1"/>
  <c r="BI88" i="17"/>
  <c r="BH88" i="17"/>
  <c r="BG88" i="17"/>
  <c r="BF88" i="17"/>
  <c r="BD88" i="17"/>
  <c r="BC88" i="17"/>
  <c r="BB88" i="17"/>
  <c r="BA88" i="17"/>
  <c r="AY88" i="17"/>
  <c r="AW88" i="17"/>
  <c r="AV88" i="17"/>
  <c r="AT88" i="17"/>
  <c r="AR88" i="17"/>
  <c r="AQ88" i="17"/>
  <c r="AL88" i="17"/>
  <c r="AM88" i="17" s="1"/>
  <c r="BJ62" i="17"/>
  <c r="BE62" i="17"/>
  <c r="AZ62" i="17"/>
  <c r="AX62" i="17"/>
  <c r="AU62" i="17"/>
  <c r="AS62" i="17"/>
  <c r="AP62" i="17"/>
  <c r="AN62" i="17"/>
  <c r="AK62" i="17"/>
  <c r="BI61" i="17"/>
  <c r="BH61" i="17"/>
  <c r="BG61" i="17"/>
  <c r="BF61" i="17"/>
  <c r="BD61" i="17"/>
  <c r="BC61" i="17"/>
  <c r="BB61" i="17"/>
  <c r="BA61" i="17"/>
  <c r="AY61" i="17"/>
  <c r="AW61" i="17"/>
  <c r="AV61" i="17"/>
  <c r="AT61" i="17"/>
  <c r="AR61" i="17"/>
  <c r="AQ61" i="17"/>
  <c r="AO61" i="17"/>
  <c r="AL61" i="17"/>
  <c r="AM61" i="17" s="1"/>
  <c r="BI60" i="17"/>
  <c r="BH60" i="17"/>
  <c r="BG60" i="17"/>
  <c r="BF60" i="17"/>
  <c r="BD60" i="17"/>
  <c r="BC60" i="17"/>
  <c r="BB60" i="17"/>
  <c r="BA60" i="17"/>
  <c r="AY60" i="17"/>
  <c r="AW60" i="17"/>
  <c r="AV60" i="17"/>
  <c r="AT60" i="17"/>
  <c r="AR60" i="17"/>
  <c r="AQ60" i="17"/>
  <c r="AO60" i="17"/>
  <c r="AL60" i="17"/>
  <c r="AM60" i="17" s="1"/>
  <c r="BI59" i="17"/>
  <c r="BH59" i="17"/>
  <c r="BG59" i="17"/>
  <c r="BF59" i="17"/>
  <c r="BD59" i="17"/>
  <c r="BC59" i="17"/>
  <c r="BB59" i="17"/>
  <c r="BA59" i="17"/>
  <c r="AY59" i="17"/>
  <c r="AW59" i="17"/>
  <c r="AV59" i="17"/>
  <c r="AT59" i="17"/>
  <c r="AR59" i="17"/>
  <c r="AQ59" i="17"/>
  <c r="AO59" i="17"/>
  <c r="AL59" i="17"/>
  <c r="AM59" i="17" s="1"/>
  <c r="BI58" i="17"/>
  <c r="BH58" i="17"/>
  <c r="BG58" i="17"/>
  <c r="BF58" i="17"/>
  <c r="BD58" i="17"/>
  <c r="BC58" i="17"/>
  <c r="BB58" i="17"/>
  <c r="BA58" i="17"/>
  <c r="AY58" i="17"/>
  <c r="AW58" i="17"/>
  <c r="AV58" i="17"/>
  <c r="AT58" i="17"/>
  <c r="AR58" i="17"/>
  <c r="AQ58" i="17"/>
  <c r="AO58" i="17"/>
  <c r="AL58" i="17"/>
  <c r="AM58" i="17" s="1"/>
  <c r="BI57" i="17"/>
  <c r="BH57" i="17"/>
  <c r="BG57" i="17"/>
  <c r="BF57" i="17"/>
  <c r="BD57" i="17"/>
  <c r="BC57" i="17"/>
  <c r="BB57" i="17"/>
  <c r="BA57" i="17"/>
  <c r="AY57" i="17"/>
  <c r="AW57" i="17"/>
  <c r="AV57" i="17"/>
  <c r="AT57" i="17"/>
  <c r="AR57" i="17"/>
  <c r="AQ57" i="17"/>
  <c r="AO57" i="17"/>
  <c r="AL57" i="17"/>
  <c r="AM57" i="17" s="1"/>
  <c r="BI56" i="17"/>
  <c r="BH56" i="17"/>
  <c r="BG56" i="17"/>
  <c r="BF56" i="17"/>
  <c r="BD56" i="17"/>
  <c r="BC56" i="17"/>
  <c r="BB56" i="17"/>
  <c r="BA56" i="17"/>
  <c r="AY56" i="17"/>
  <c r="AW56" i="17"/>
  <c r="AV56" i="17"/>
  <c r="AT56" i="17"/>
  <c r="AR56" i="17"/>
  <c r="AQ56" i="17"/>
  <c r="AO56" i="17"/>
  <c r="AL56" i="17"/>
  <c r="AM56" i="17" s="1"/>
  <c r="BI55" i="17"/>
  <c r="BH55" i="17"/>
  <c r="BG55" i="17"/>
  <c r="BF55" i="17"/>
  <c r="BD55" i="17"/>
  <c r="BC55" i="17"/>
  <c r="BB55" i="17"/>
  <c r="BA55" i="17"/>
  <c r="AY55" i="17"/>
  <c r="AW55" i="17"/>
  <c r="AV55" i="17"/>
  <c r="AT55" i="17"/>
  <c r="AR55" i="17"/>
  <c r="AQ55" i="17"/>
  <c r="AO55" i="17"/>
  <c r="AL55" i="17"/>
  <c r="AM55" i="17" s="1"/>
  <c r="BI54" i="17"/>
  <c r="BH54" i="17"/>
  <c r="BG54" i="17"/>
  <c r="BF54" i="17"/>
  <c r="BD54" i="17"/>
  <c r="BC54" i="17"/>
  <c r="BB54" i="17"/>
  <c r="BA54" i="17"/>
  <c r="AY54" i="17"/>
  <c r="AW54" i="17"/>
  <c r="AV54" i="17"/>
  <c r="AT54" i="17"/>
  <c r="AR54" i="17"/>
  <c r="AQ54" i="17"/>
  <c r="AO54" i="17"/>
  <c r="AL54" i="17"/>
  <c r="AM54" i="17" s="1"/>
  <c r="BI53" i="17"/>
  <c r="BH53" i="17"/>
  <c r="BG53" i="17"/>
  <c r="BF53" i="17"/>
  <c r="BD53" i="17"/>
  <c r="BC53" i="17"/>
  <c r="BB53" i="17"/>
  <c r="BA53" i="17"/>
  <c r="AY53" i="17"/>
  <c r="AW53" i="17"/>
  <c r="AV53" i="17"/>
  <c r="AT53" i="17"/>
  <c r="AR53" i="17"/>
  <c r="AQ53" i="17"/>
  <c r="AO53" i="17"/>
  <c r="AL53" i="17"/>
  <c r="AM53" i="17" s="1"/>
  <c r="AN49" i="17"/>
  <c r="AN35" i="17" s="1"/>
  <c r="AN7" i="17" s="1"/>
  <c r="AP49" i="17"/>
  <c r="AP35" i="17" s="1"/>
  <c r="AP7" i="17" s="1"/>
  <c r="AS49" i="17"/>
  <c r="AS35" i="17" s="1"/>
  <c r="AS7" i="17" s="1"/>
  <c r="AU49" i="17"/>
  <c r="AU35" i="17" s="1"/>
  <c r="AU7" i="17" s="1"/>
  <c r="AX49" i="17"/>
  <c r="AX35" i="17" s="1"/>
  <c r="AZ49" i="17"/>
  <c r="AZ35" i="17" s="1"/>
  <c r="BE49" i="17"/>
  <c r="BE35" i="17" s="1"/>
  <c r="BJ49" i="17"/>
  <c r="BJ35" i="17" s="1"/>
  <c r="AK49" i="17"/>
  <c r="AK35" i="17" s="1"/>
  <c r="BI48" i="17"/>
  <c r="BH48" i="17"/>
  <c r="BG48" i="17"/>
  <c r="BF48" i="17"/>
  <c r="BD48" i="17"/>
  <c r="BC48" i="17"/>
  <c r="BB48" i="17"/>
  <c r="BA48" i="17"/>
  <c r="AY48" i="17"/>
  <c r="AW48" i="17"/>
  <c r="AV48" i="17"/>
  <c r="AT48" i="17"/>
  <c r="AR48" i="17"/>
  <c r="AQ48" i="17"/>
  <c r="AO48" i="17"/>
  <c r="AL48" i="17"/>
  <c r="AM48" i="17" s="1"/>
  <c r="BI47" i="17"/>
  <c r="BH47" i="17"/>
  <c r="BG47" i="17"/>
  <c r="BF47" i="17"/>
  <c r="BD47" i="17"/>
  <c r="BC47" i="17"/>
  <c r="BB47" i="17"/>
  <c r="BA47" i="17"/>
  <c r="AY47" i="17"/>
  <c r="AW47" i="17"/>
  <c r="AV47" i="17"/>
  <c r="AT47" i="17"/>
  <c r="AR47" i="17"/>
  <c r="AQ47" i="17"/>
  <c r="AO47" i="17"/>
  <c r="AL47" i="17"/>
  <c r="AM47" i="17" s="1"/>
  <c r="BI46" i="17"/>
  <c r="BH46" i="17"/>
  <c r="BG46" i="17"/>
  <c r="BF46" i="17"/>
  <c r="BD46" i="17"/>
  <c r="BC46" i="17"/>
  <c r="BB46" i="17"/>
  <c r="BA46" i="17"/>
  <c r="AY46" i="17"/>
  <c r="AW46" i="17"/>
  <c r="AV46" i="17"/>
  <c r="AT46" i="17"/>
  <c r="AR46" i="17"/>
  <c r="AQ46" i="17"/>
  <c r="AO46" i="17"/>
  <c r="AL46" i="17"/>
  <c r="AM46" i="17" s="1"/>
  <c r="BI45" i="17"/>
  <c r="BH45" i="17"/>
  <c r="BG45" i="17"/>
  <c r="BF45" i="17"/>
  <c r="BD45" i="17"/>
  <c r="BC45" i="17"/>
  <c r="BB45" i="17"/>
  <c r="BA45" i="17"/>
  <c r="AY45" i="17"/>
  <c r="AW45" i="17"/>
  <c r="AV45" i="17"/>
  <c r="AT45" i="17"/>
  <c r="AR45" i="17"/>
  <c r="AQ45" i="17"/>
  <c r="AO45" i="17"/>
  <c r="AL45" i="17"/>
  <c r="AM45" i="17" s="1"/>
  <c r="BI44" i="17"/>
  <c r="BH44" i="17"/>
  <c r="BG44" i="17"/>
  <c r="BF44" i="17"/>
  <c r="BD44" i="17"/>
  <c r="BC44" i="17"/>
  <c r="BB44" i="17"/>
  <c r="BA44" i="17"/>
  <c r="AY44" i="17"/>
  <c r="AW44" i="17"/>
  <c r="AV44" i="17"/>
  <c r="AT44" i="17"/>
  <c r="AR44" i="17"/>
  <c r="AQ44" i="17"/>
  <c r="AO44" i="17"/>
  <c r="AL44" i="17"/>
  <c r="AM44" i="17" s="1"/>
  <c r="BI43" i="17"/>
  <c r="BH43" i="17"/>
  <c r="BG43" i="17"/>
  <c r="BF43" i="17"/>
  <c r="BD43" i="17"/>
  <c r="BC43" i="17"/>
  <c r="BB43" i="17"/>
  <c r="BA43" i="17"/>
  <c r="AY43" i="17"/>
  <c r="AW43" i="17"/>
  <c r="AV43" i="17"/>
  <c r="AT43" i="17"/>
  <c r="AR43" i="17"/>
  <c r="AQ43" i="17"/>
  <c r="AO43" i="17"/>
  <c r="AL43" i="17"/>
  <c r="AM43" i="17" s="1"/>
  <c r="BI42" i="17"/>
  <c r="BH42" i="17"/>
  <c r="BG42" i="17"/>
  <c r="BF42" i="17"/>
  <c r="BD42" i="17"/>
  <c r="BC42" i="17"/>
  <c r="BB42" i="17"/>
  <c r="BA42" i="17"/>
  <c r="AY42" i="17"/>
  <c r="AW42" i="17"/>
  <c r="AV42" i="17"/>
  <c r="AT42" i="17"/>
  <c r="AR42" i="17"/>
  <c r="AQ42" i="17"/>
  <c r="AO42" i="17"/>
  <c r="AL42" i="17"/>
  <c r="AM42" i="17" s="1"/>
  <c r="BI41" i="17"/>
  <c r="BH41" i="17"/>
  <c r="BG41" i="17"/>
  <c r="BF41" i="17"/>
  <c r="BD41" i="17"/>
  <c r="BC41" i="17"/>
  <c r="BB41" i="17"/>
  <c r="BA41" i="17"/>
  <c r="AY41" i="17"/>
  <c r="AW41" i="17"/>
  <c r="AV41" i="17"/>
  <c r="AT41" i="17"/>
  <c r="AR41" i="17"/>
  <c r="AQ41" i="17"/>
  <c r="AO41" i="17"/>
  <c r="AL41" i="17"/>
  <c r="AM41" i="17" s="1"/>
  <c r="BI40" i="17"/>
  <c r="BH40" i="17"/>
  <c r="BG40" i="17"/>
  <c r="BF40" i="17"/>
  <c r="BD40" i="17"/>
  <c r="BC40" i="17"/>
  <c r="BB40" i="17"/>
  <c r="BA40" i="17"/>
  <c r="AY40" i="17"/>
  <c r="AW40" i="17"/>
  <c r="AV40" i="17"/>
  <c r="AT40" i="17"/>
  <c r="AR40" i="17"/>
  <c r="AQ40" i="17"/>
  <c r="AO40" i="17"/>
  <c r="AL40" i="17"/>
  <c r="AM40" i="17" s="1"/>
  <c r="BI215" i="17"/>
  <c r="BH215" i="17"/>
  <c r="BG215" i="17"/>
  <c r="BF215" i="17"/>
  <c r="BI214" i="17"/>
  <c r="BH214" i="17"/>
  <c r="BG214" i="17"/>
  <c r="BF214" i="17"/>
  <c r="BI213" i="17"/>
  <c r="BH213" i="17"/>
  <c r="BG213" i="17"/>
  <c r="BF213" i="17"/>
  <c r="BI212" i="17"/>
  <c r="BH212" i="17"/>
  <c r="BG212" i="17"/>
  <c r="BF212" i="17"/>
  <c r="BI211" i="17"/>
  <c r="BH211" i="17"/>
  <c r="BG211" i="17"/>
  <c r="BF211" i="17"/>
  <c r="BI210" i="17"/>
  <c r="BH210" i="17"/>
  <c r="BG210" i="17"/>
  <c r="BF210" i="17"/>
  <c r="BI209" i="17"/>
  <c r="BH209" i="17"/>
  <c r="BG209" i="17"/>
  <c r="BF209" i="17"/>
  <c r="BI208" i="17"/>
  <c r="BH208" i="17"/>
  <c r="BG208" i="17"/>
  <c r="BF208" i="17"/>
  <c r="BD215" i="17"/>
  <c r="BC215" i="17"/>
  <c r="BB215" i="17"/>
  <c r="BA215" i="17"/>
  <c r="BD214" i="17"/>
  <c r="BC214" i="17"/>
  <c r="BB214" i="17"/>
  <c r="BA214" i="17"/>
  <c r="BD213" i="17"/>
  <c r="BC213" i="17"/>
  <c r="BB213" i="17"/>
  <c r="BA213" i="17"/>
  <c r="BD212" i="17"/>
  <c r="BC212" i="17"/>
  <c r="BB212" i="17"/>
  <c r="BA212" i="17"/>
  <c r="BD211" i="17"/>
  <c r="BC211" i="17"/>
  <c r="BB211" i="17"/>
  <c r="BA211" i="17"/>
  <c r="BD210" i="17"/>
  <c r="BC210" i="17"/>
  <c r="BB210" i="17"/>
  <c r="BA210" i="17"/>
  <c r="BD209" i="17"/>
  <c r="BC209" i="17"/>
  <c r="BB209" i="17"/>
  <c r="BA209" i="17"/>
  <c r="BD208" i="17"/>
  <c r="BC208" i="17"/>
  <c r="BB208" i="17"/>
  <c r="BA208" i="17"/>
  <c r="AY215" i="17"/>
  <c r="AY214" i="17"/>
  <c r="AY213" i="17"/>
  <c r="AY212" i="17"/>
  <c r="AY211" i="17"/>
  <c r="AY210" i="17"/>
  <c r="AY209" i="17"/>
  <c r="AY208" i="17"/>
  <c r="AT215" i="17"/>
  <c r="AT214" i="17"/>
  <c r="AT213" i="17"/>
  <c r="AT212" i="17"/>
  <c r="AT211" i="17"/>
  <c r="AT210" i="17"/>
  <c r="AT209" i="17"/>
  <c r="AT208" i="17"/>
  <c r="AW215" i="17"/>
  <c r="AV215" i="17"/>
  <c r="AW214" i="17"/>
  <c r="AV214" i="17"/>
  <c r="AW213" i="17"/>
  <c r="AV213" i="17"/>
  <c r="AW212" i="17"/>
  <c r="AV212" i="17"/>
  <c r="AW211" i="17"/>
  <c r="AV211" i="17"/>
  <c r="AW210" i="17"/>
  <c r="AV210" i="17"/>
  <c r="AW209" i="17"/>
  <c r="AV209" i="17"/>
  <c r="AW208" i="17"/>
  <c r="AV208" i="17"/>
  <c r="AR215" i="17"/>
  <c r="AQ215" i="17"/>
  <c r="AR214" i="17"/>
  <c r="AQ214" i="17"/>
  <c r="AR213" i="17"/>
  <c r="AQ213" i="17"/>
  <c r="AR212" i="17"/>
  <c r="AQ212" i="17"/>
  <c r="AR211" i="17"/>
  <c r="AQ211" i="17"/>
  <c r="AR210" i="17"/>
  <c r="AQ210" i="17"/>
  <c r="AR209" i="17"/>
  <c r="AQ209" i="17"/>
  <c r="AR208" i="17"/>
  <c r="AQ208" i="17"/>
  <c r="BI204" i="17"/>
  <c r="BI13" i="17" s="1"/>
  <c r="BH204" i="17"/>
  <c r="BH13" i="17" s="1"/>
  <c r="BG204" i="17"/>
  <c r="BG13" i="17" s="1"/>
  <c r="BF204" i="17"/>
  <c r="BF13" i="17" s="1"/>
  <c r="BI203" i="17"/>
  <c r="BH203" i="17"/>
  <c r="BG203" i="17"/>
  <c r="BF203" i="17"/>
  <c r="BI202" i="17"/>
  <c r="AH12" i="32" s="1"/>
  <c r="BH202" i="17"/>
  <c r="AG12" i="32" s="1"/>
  <c r="BG202" i="17"/>
  <c r="AF12" i="32" s="1"/>
  <c r="BF202" i="17"/>
  <c r="AE12" i="32" s="1"/>
  <c r="BI201" i="17"/>
  <c r="BH201" i="17"/>
  <c r="BG201" i="17"/>
  <c r="BF201" i="17"/>
  <c r="BI200" i="17"/>
  <c r="BH200" i="17"/>
  <c r="BG200" i="17"/>
  <c r="BF200" i="17"/>
  <c r="BI198" i="17"/>
  <c r="BI12" i="17" s="1"/>
  <c r="BH198" i="17"/>
  <c r="BH12" i="17" s="1"/>
  <c r="BG198" i="17"/>
  <c r="BG12" i="17" s="1"/>
  <c r="BF198" i="17"/>
  <c r="BF12" i="17" s="1"/>
  <c r="BI197" i="17"/>
  <c r="BH197" i="17"/>
  <c r="BG197" i="17"/>
  <c r="BF197" i="17"/>
  <c r="BI196" i="17"/>
  <c r="AH11" i="32" s="1"/>
  <c r="BH196" i="17"/>
  <c r="AG11" i="32" s="1"/>
  <c r="BG196" i="17"/>
  <c r="AF11" i="32" s="1"/>
  <c r="BF196" i="17"/>
  <c r="AE11" i="32" s="1"/>
  <c r="BI195" i="17"/>
  <c r="BH195" i="17"/>
  <c r="BG195" i="17"/>
  <c r="BF195" i="17"/>
  <c r="BI194" i="17"/>
  <c r="BH194" i="17"/>
  <c r="BG194" i="17"/>
  <c r="BF194" i="17"/>
  <c r="BI193" i="17"/>
  <c r="AH17" i="32" s="1"/>
  <c r="BH193" i="17"/>
  <c r="AG17" i="32" s="1"/>
  <c r="BG193" i="17"/>
  <c r="AF17" i="32" s="1"/>
  <c r="BF193" i="17"/>
  <c r="AE17" i="32" s="1"/>
  <c r="BI192" i="17"/>
  <c r="AH10" i="32" s="1"/>
  <c r="AH16" i="32" s="1"/>
  <c r="BH192" i="17"/>
  <c r="AG10" i="32" s="1"/>
  <c r="AG16" i="32" s="1"/>
  <c r="BG192" i="17"/>
  <c r="AF10" i="32" s="1"/>
  <c r="AF16" i="32" s="1"/>
  <c r="BF192" i="17"/>
  <c r="AE10" i="32" s="1"/>
  <c r="AE16" i="32" s="1"/>
  <c r="BI191" i="17"/>
  <c r="AH6" i="32" s="1"/>
  <c r="BH191" i="17"/>
  <c r="AG6" i="32" s="1"/>
  <c r="BG191" i="17"/>
  <c r="AF6" i="32" s="1"/>
  <c r="BF191" i="17"/>
  <c r="AE6" i="32" s="1"/>
  <c r="BI190" i="17"/>
  <c r="BH190" i="17"/>
  <c r="BG190" i="17"/>
  <c r="BF190" i="17"/>
  <c r="BI189" i="17"/>
  <c r="BH189" i="17"/>
  <c r="BG189" i="17"/>
  <c r="BF189" i="17"/>
  <c r="BI188" i="17"/>
  <c r="BH188" i="17"/>
  <c r="BG188" i="17"/>
  <c r="BF188" i="17"/>
  <c r="BI187" i="17"/>
  <c r="BH187" i="17"/>
  <c r="BG187" i="17"/>
  <c r="BF187" i="17"/>
  <c r="BI186" i="17"/>
  <c r="BH186" i="17"/>
  <c r="BG186" i="17"/>
  <c r="BF186" i="17"/>
  <c r="BI185" i="17"/>
  <c r="BH185" i="17"/>
  <c r="BG185" i="17"/>
  <c r="BF185" i="17"/>
  <c r="BI184" i="17"/>
  <c r="BH184" i="17"/>
  <c r="BG184" i="17"/>
  <c r="BF184" i="17"/>
  <c r="BI183" i="17"/>
  <c r="BH183" i="17"/>
  <c r="BG183" i="17"/>
  <c r="BF183" i="17"/>
  <c r="BI182" i="17"/>
  <c r="BH182" i="17"/>
  <c r="BG182" i="17"/>
  <c r="BF182" i="17"/>
  <c r="BI181" i="17"/>
  <c r="BH181" i="17"/>
  <c r="BG181" i="17"/>
  <c r="BF181" i="17"/>
  <c r="BI180" i="17"/>
  <c r="BH180" i="17"/>
  <c r="BG180" i="17"/>
  <c r="BF180" i="17"/>
  <c r="BI179" i="17"/>
  <c r="BH179" i="17"/>
  <c r="BG179" i="17"/>
  <c r="BF179" i="17"/>
  <c r="BI178" i="17"/>
  <c r="BH178" i="17"/>
  <c r="BG178" i="17"/>
  <c r="BF178" i="17"/>
  <c r="BI177" i="17"/>
  <c r="BH177" i="17"/>
  <c r="BG177" i="17"/>
  <c r="BF177" i="17"/>
  <c r="BI176" i="17"/>
  <c r="BH176" i="17"/>
  <c r="BG176" i="17"/>
  <c r="BF176" i="17"/>
  <c r="BI175" i="17"/>
  <c r="BH175" i="17"/>
  <c r="BG175" i="17"/>
  <c r="BF175" i="17"/>
  <c r="BI174" i="17"/>
  <c r="BH174" i="17"/>
  <c r="BG174" i="17"/>
  <c r="BF174" i="17"/>
  <c r="BI173" i="17"/>
  <c r="BH173" i="17"/>
  <c r="BG173" i="17"/>
  <c r="BF173" i="17"/>
  <c r="BI172" i="17"/>
  <c r="BH172" i="17"/>
  <c r="BG172" i="17"/>
  <c r="BF172" i="17"/>
  <c r="BI171" i="17"/>
  <c r="BH171" i="17"/>
  <c r="BG171" i="17"/>
  <c r="BF171" i="17"/>
  <c r="BI170" i="17"/>
  <c r="BH170" i="17"/>
  <c r="BG170" i="17"/>
  <c r="BF170" i="17"/>
  <c r="BD204" i="17"/>
  <c r="BD13" i="17" s="1"/>
  <c r="BC204" i="17"/>
  <c r="BC13" i="17" s="1"/>
  <c r="BB204" i="17"/>
  <c r="BB13" i="17" s="1"/>
  <c r="BA204" i="17"/>
  <c r="BA13" i="17" s="1"/>
  <c r="BD203" i="17"/>
  <c r="BC203" i="17"/>
  <c r="BB203" i="17"/>
  <c r="BA203" i="17"/>
  <c r="BD202" i="17"/>
  <c r="AC12" i="32" s="1"/>
  <c r="BC202" i="17"/>
  <c r="AB12" i="32" s="1"/>
  <c r="BB202" i="17"/>
  <c r="AA12" i="32" s="1"/>
  <c r="BA202" i="17"/>
  <c r="Z12" i="32" s="1"/>
  <c r="BD201" i="17"/>
  <c r="BC201" i="17"/>
  <c r="BB201" i="17"/>
  <c r="BA201" i="17"/>
  <c r="BD200" i="17"/>
  <c r="BC200" i="17"/>
  <c r="BB200" i="17"/>
  <c r="BA200" i="17"/>
  <c r="BD198" i="17"/>
  <c r="BD12" i="17" s="1"/>
  <c r="BC198" i="17"/>
  <c r="BC12" i="17" s="1"/>
  <c r="BB198" i="17"/>
  <c r="BB12" i="17" s="1"/>
  <c r="BA198" i="17"/>
  <c r="BA12" i="17" s="1"/>
  <c r="BD197" i="17"/>
  <c r="BC197" i="17"/>
  <c r="BB197" i="17"/>
  <c r="BA197" i="17"/>
  <c r="BD196" i="17"/>
  <c r="AC11" i="32" s="1"/>
  <c r="BC196" i="17"/>
  <c r="AB11" i="32" s="1"/>
  <c r="BB196" i="17"/>
  <c r="AA11" i="32" s="1"/>
  <c r="BA196" i="17"/>
  <c r="Z11" i="32" s="1"/>
  <c r="BD195" i="17"/>
  <c r="BC195" i="17"/>
  <c r="BB195" i="17"/>
  <c r="BA195" i="17"/>
  <c r="BD194" i="17"/>
  <c r="BC194" i="17"/>
  <c r="BB194" i="17"/>
  <c r="BA194" i="17"/>
  <c r="BD193" i="17"/>
  <c r="AC17" i="32" s="1"/>
  <c r="BC193" i="17"/>
  <c r="AB17" i="32" s="1"/>
  <c r="BB193" i="17"/>
  <c r="AA17" i="32" s="1"/>
  <c r="BA193" i="17"/>
  <c r="Z17" i="32" s="1"/>
  <c r="BD192" i="17"/>
  <c r="AC10" i="32" s="1"/>
  <c r="AC16" i="32" s="1"/>
  <c r="BC192" i="17"/>
  <c r="AB10" i="32" s="1"/>
  <c r="AB16" i="32" s="1"/>
  <c r="BB192" i="17"/>
  <c r="AA10" i="32" s="1"/>
  <c r="AA16" i="32" s="1"/>
  <c r="BA192" i="17"/>
  <c r="Z10" i="32" s="1"/>
  <c r="Z16" i="32" s="1"/>
  <c r="BD191" i="17"/>
  <c r="AC6" i="32" s="1"/>
  <c r="BC191" i="17"/>
  <c r="AB6" i="32" s="1"/>
  <c r="BB191" i="17"/>
  <c r="AA6" i="32" s="1"/>
  <c r="BA191" i="17"/>
  <c r="Z6" i="32" s="1"/>
  <c r="BD190" i="17"/>
  <c r="BC190" i="17"/>
  <c r="BB190" i="17"/>
  <c r="BA190" i="17"/>
  <c r="BD189" i="17"/>
  <c r="BC189" i="17"/>
  <c r="BB189" i="17"/>
  <c r="BA189" i="17"/>
  <c r="BD188" i="17"/>
  <c r="BC188" i="17"/>
  <c r="BB188" i="17"/>
  <c r="BA188" i="17"/>
  <c r="BD187" i="17"/>
  <c r="BC187" i="17"/>
  <c r="BB187" i="17"/>
  <c r="BA187" i="17"/>
  <c r="BD186" i="17"/>
  <c r="BC186" i="17"/>
  <c r="BB186" i="17"/>
  <c r="BA186" i="17"/>
  <c r="BD185" i="17"/>
  <c r="BC185" i="17"/>
  <c r="BB185" i="17"/>
  <c r="BA185" i="17"/>
  <c r="BD184" i="17"/>
  <c r="BC184" i="17"/>
  <c r="BB184" i="17"/>
  <c r="BA184" i="17"/>
  <c r="BD183" i="17"/>
  <c r="BC183" i="17"/>
  <c r="BB183" i="17"/>
  <c r="BA183" i="17"/>
  <c r="BD182" i="17"/>
  <c r="BC182" i="17"/>
  <c r="BB182" i="17"/>
  <c r="BA182" i="17"/>
  <c r="BD181" i="17"/>
  <c r="BC181" i="17"/>
  <c r="BB181" i="17"/>
  <c r="BA181" i="17"/>
  <c r="BD180" i="17"/>
  <c r="BC180" i="17"/>
  <c r="BB180" i="17"/>
  <c r="BA180" i="17"/>
  <c r="BD179" i="17"/>
  <c r="BC179" i="17"/>
  <c r="BB179" i="17"/>
  <c r="BA179" i="17"/>
  <c r="BD178" i="17"/>
  <c r="BC178" i="17"/>
  <c r="BB178" i="17"/>
  <c r="BA178" i="17"/>
  <c r="BD177" i="17"/>
  <c r="BC177" i="17"/>
  <c r="BB177" i="17"/>
  <c r="BA177" i="17"/>
  <c r="BD176" i="17"/>
  <c r="BC176" i="17"/>
  <c r="BB176" i="17"/>
  <c r="BA176" i="17"/>
  <c r="BD175" i="17"/>
  <c r="BC175" i="17"/>
  <c r="BB175" i="17"/>
  <c r="BA175" i="17"/>
  <c r="BD174" i="17"/>
  <c r="BC174" i="17"/>
  <c r="BB174" i="17"/>
  <c r="BA174" i="17"/>
  <c r="BD173" i="17"/>
  <c r="BC173" i="17"/>
  <c r="BB173" i="17"/>
  <c r="BA173" i="17"/>
  <c r="BD172" i="17"/>
  <c r="BC172" i="17"/>
  <c r="BB172" i="17"/>
  <c r="BA172" i="17"/>
  <c r="BD171" i="17"/>
  <c r="BC171" i="17"/>
  <c r="BB171" i="17"/>
  <c r="BA171" i="17"/>
  <c r="BD170" i="17"/>
  <c r="BC170" i="17"/>
  <c r="BB170" i="17"/>
  <c r="BA170" i="17"/>
  <c r="AY203" i="17"/>
  <c r="AY202" i="17"/>
  <c r="X12" i="32" s="1"/>
  <c r="AY201" i="17"/>
  <c r="AY200" i="17"/>
  <c r="AY196" i="17"/>
  <c r="X11" i="32" s="1"/>
  <c r="AY195" i="17"/>
  <c r="AY194" i="17"/>
  <c r="AY193" i="17"/>
  <c r="X17" i="32" s="1"/>
  <c r="AY192" i="17"/>
  <c r="X10" i="32" s="1"/>
  <c r="X16" i="32" s="1"/>
  <c r="AY190" i="17"/>
  <c r="AY189" i="17"/>
  <c r="AY188" i="17"/>
  <c r="AY184" i="17"/>
  <c r="X9" i="32" s="1"/>
  <c r="AY181" i="17"/>
  <c r="AY179" i="17"/>
  <c r="AY178" i="17"/>
  <c r="AY177" i="17"/>
  <c r="AY176" i="17"/>
  <c r="AY175" i="17"/>
  <c r="AY174" i="17"/>
  <c r="AY173" i="17"/>
  <c r="AY172" i="17"/>
  <c r="AY171" i="17"/>
  <c r="AY170" i="17"/>
  <c r="AT203" i="17"/>
  <c r="AT202" i="17"/>
  <c r="S12" i="32" s="1"/>
  <c r="AT201" i="17"/>
  <c r="AT200" i="17"/>
  <c r="AT196" i="17"/>
  <c r="S11" i="32" s="1"/>
  <c r="AT195" i="17"/>
  <c r="AT194" i="17"/>
  <c r="AT193" i="17"/>
  <c r="S17" i="32" s="1"/>
  <c r="AT192" i="17"/>
  <c r="S10" i="32" s="1"/>
  <c r="S16" i="32" s="1"/>
  <c r="AT190" i="17"/>
  <c r="AT189" i="17"/>
  <c r="AT188" i="17"/>
  <c r="AT184" i="17"/>
  <c r="S9" i="32" s="1"/>
  <c r="AT181" i="17"/>
  <c r="AT179" i="17"/>
  <c r="AT178" i="17"/>
  <c r="AT177" i="17"/>
  <c r="AT176" i="17"/>
  <c r="AT175" i="17"/>
  <c r="AT174" i="17"/>
  <c r="AT173" i="17"/>
  <c r="AT172" i="17"/>
  <c r="AT171" i="17"/>
  <c r="AT170" i="17"/>
  <c r="AW203" i="17"/>
  <c r="AV203" i="17"/>
  <c r="AW202" i="17"/>
  <c r="V12" i="32" s="1"/>
  <c r="AV202" i="17"/>
  <c r="U12" i="32" s="1"/>
  <c r="AW201" i="17"/>
  <c r="AV201" i="17"/>
  <c r="AW200" i="17"/>
  <c r="AV200" i="17"/>
  <c r="AW196" i="17"/>
  <c r="V11" i="32" s="1"/>
  <c r="AV196" i="17"/>
  <c r="U11" i="32" s="1"/>
  <c r="AW195" i="17"/>
  <c r="AV195" i="17"/>
  <c r="AW194" i="17"/>
  <c r="AV194" i="17"/>
  <c r="AW193" i="17"/>
  <c r="V17" i="32" s="1"/>
  <c r="AV193" i="17"/>
  <c r="U17" i="32" s="1"/>
  <c r="AW192" i="17"/>
  <c r="V10" i="32" s="1"/>
  <c r="V16" i="32" s="1"/>
  <c r="AV192" i="17"/>
  <c r="U10" i="32" s="1"/>
  <c r="U16" i="32" s="1"/>
  <c r="AW190" i="17"/>
  <c r="AV190" i="17"/>
  <c r="AW189" i="17"/>
  <c r="AV189" i="17"/>
  <c r="AW188" i="17"/>
  <c r="AV188" i="17"/>
  <c r="AW184" i="17"/>
  <c r="V9" i="32" s="1"/>
  <c r="AV184" i="17"/>
  <c r="U9" i="32" s="1"/>
  <c r="AW181" i="17"/>
  <c r="AV181" i="17"/>
  <c r="AW179" i="17"/>
  <c r="AV179" i="17"/>
  <c r="AW178" i="17"/>
  <c r="AV178" i="17"/>
  <c r="AW177" i="17"/>
  <c r="AV177" i="17"/>
  <c r="AW176" i="17"/>
  <c r="AV176" i="17"/>
  <c r="AW175" i="17"/>
  <c r="AV175" i="17"/>
  <c r="AW174" i="17"/>
  <c r="AV174" i="17"/>
  <c r="AW173" i="17"/>
  <c r="AV173" i="17"/>
  <c r="AW172" i="17"/>
  <c r="AV172" i="17"/>
  <c r="AW171" i="17"/>
  <c r="AV171" i="17"/>
  <c r="AW170" i="17"/>
  <c r="AV170" i="17"/>
  <c r="AR203" i="17"/>
  <c r="AQ203" i="17"/>
  <c r="AR202" i="17"/>
  <c r="Q12" i="32" s="1"/>
  <c r="AQ202" i="17"/>
  <c r="P12" i="32" s="1"/>
  <c r="AR201" i="17"/>
  <c r="AQ201" i="17"/>
  <c r="AR200" i="17"/>
  <c r="AQ200" i="17"/>
  <c r="AR196" i="17"/>
  <c r="Q11" i="32" s="1"/>
  <c r="AQ196" i="17"/>
  <c r="P11" i="32" s="1"/>
  <c r="AR195" i="17"/>
  <c r="AQ195" i="17"/>
  <c r="AR194" i="17"/>
  <c r="AQ194" i="17"/>
  <c r="AR193" i="17"/>
  <c r="Q17" i="32" s="1"/>
  <c r="AQ193" i="17"/>
  <c r="P17" i="32" s="1"/>
  <c r="AR192" i="17"/>
  <c r="Q10" i="32" s="1"/>
  <c r="Q16" i="32" s="1"/>
  <c r="AQ192" i="17"/>
  <c r="P10" i="32" s="1"/>
  <c r="P16" i="32" s="1"/>
  <c r="AR190" i="17"/>
  <c r="AQ190" i="17"/>
  <c r="AR189" i="17"/>
  <c r="AQ189" i="17"/>
  <c r="AR188" i="17"/>
  <c r="AQ188" i="17"/>
  <c r="AR184" i="17"/>
  <c r="Q9" i="32" s="1"/>
  <c r="AQ184" i="17"/>
  <c r="P9" i="32" s="1"/>
  <c r="AR181" i="17"/>
  <c r="AQ181" i="17"/>
  <c r="AR179" i="17"/>
  <c r="AQ179" i="17"/>
  <c r="AR178" i="17"/>
  <c r="AQ178" i="17"/>
  <c r="AR177" i="17"/>
  <c r="AQ177" i="17"/>
  <c r="AR176" i="17"/>
  <c r="AQ176" i="17"/>
  <c r="AR175" i="17"/>
  <c r="AQ175" i="17"/>
  <c r="AR174" i="17"/>
  <c r="AQ174" i="17"/>
  <c r="AR173" i="17"/>
  <c r="AQ173" i="17"/>
  <c r="AR172" i="17"/>
  <c r="AQ172" i="17"/>
  <c r="AR171" i="17"/>
  <c r="AQ171" i="17"/>
  <c r="AR170" i="17"/>
  <c r="AQ170" i="17"/>
  <c r="AH24" i="32"/>
  <c r="AG24" i="32"/>
  <c r="AF24" i="32"/>
  <c r="AE24" i="32"/>
  <c r="BI164" i="17"/>
  <c r="BH164" i="17"/>
  <c r="BG164" i="17"/>
  <c r="BF164" i="17"/>
  <c r="BI162" i="17"/>
  <c r="BH162" i="17"/>
  <c r="BG162" i="17"/>
  <c r="BF162" i="17"/>
  <c r="BI161" i="17"/>
  <c r="BH161" i="17"/>
  <c r="BG161" i="17"/>
  <c r="BF161" i="17"/>
  <c r="BI160" i="17"/>
  <c r="BH160" i="17"/>
  <c r="BG160" i="17"/>
  <c r="BF160" i="17"/>
  <c r="BI159" i="17"/>
  <c r="BH159" i="17"/>
  <c r="BG159" i="17"/>
  <c r="BF159" i="17"/>
  <c r="BI158" i="17"/>
  <c r="BH158" i="17"/>
  <c r="BG158" i="17"/>
  <c r="BF158" i="17"/>
  <c r="BI156" i="17"/>
  <c r="BH156" i="17"/>
  <c r="BG156" i="17"/>
  <c r="BF156" i="17"/>
  <c r="BI155" i="17"/>
  <c r="AH20" i="32" s="1"/>
  <c r="BH155" i="17"/>
  <c r="AG20" i="32" s="1"/>
  <c r="BG155" i="17"/>
  <c r="AF20" i="32" s="1"/>
  <c r="BF155" i="17"/>
  <c r="AE20" i="32" s="1"/>
  <c r="BI154" i="17"/>
  <c r="AH19" i="32" s="1"/>
  <c r="BH154" i="17"/>
  <c r="AG19" i="32" s="1"/>
  <c r="BG154" i="17"/>
  <c r="AF19" i="32" s="1"/>
  <c r="BF154" i="17"/>
  <c r="AE19" i="32" s="1"/>
  <c r="BI153" i="17"/>
  <c r="BH153" i="17"/>
  <c r="BG153" i="17"/>
  <c r="BF153" i="17"/>
  <c r="AC24" i="32"/>
  <c r="AB24" i="32"/>
  <c r="AA24" i="32"/>
  <c r="Z24" i="32"/>
  <c r="BD164" i="17"/>
  <c r="BC164" i="17"/>
  <c r="BB164" i="17"/>
  <c r="BA164" i="17"/>
  <c r="BD162" i="17"/>
  <c r="BC162" i="17"/>
  <c r="BB162" i="17"/>
  <c r="BA162" i="17"/>
  <c r="BD161" i="17"/>
  <c r="BC161" i="17"/>
  <c r="BB161" i="17"/>
  <c r="BA161" i="17"/>
  <c r="BD160" i="17"/>
  <c r="BC160" i="17"/>
  <c r="BB160" i="17"/>
  <c r="BA160" i="17"/>
  <c r="BD159" i="17"/>
  <c r="BC159" i="17"/>
  <c r="BB159" i="17"/>
  <c r="BA159" i="17"/>
  <c r="BD158" i="17"/>
  <c r="BC158" i="17"/>
  <c r="BB158" i="17"/>
  <c r="BA158" i="17"/>
  <c r="BD156" i="17"/>
  <c r="BC156" i="17"/>
  <c r="BB156" i="17"/>
  <c r="BA156" i="17"/>
  <c r="BD155" i="17"/>
  <c r="AC20" i="32" s="1"/>
  <c r="BC155" i="17"/>
  <c r="AB20" i="32" s="1"/>
  <c r="BB155" i="17"/>
  <c r="AA20" i="32" s="1"/>
  <c r="BA155" i="17"/>
  <c r="Z20" i="32" s="1"/>
  <c r="BD154" i="17"/>
  <c r="AC19" i="32" s="1"/>
  <c r="BC154" i="17"/>
  <c r="AB19" i="32" s="1"/>
  <c r="BB154" i="17"/>
  <c r="AA19" i="32" s="1"/>
  <c r="BA154" i="17"/>
  <c r="Z19" i="32" s="1"/>
  <c r="BD153" i="17"/>
  <c r="BC153" i="17"/>
  <c r="BB153" i="17"/>
  <c r="BA153" i="17"/>
  <c r="AW162" i="17"/>
  <c r="AV162" i="17"/>
  <c r="AW161" i="17"/>
  <c r="AV161" i="17"/>
  <c r="AW160" i="17"/>
  <c r="AV160" i="17"/>
  <c r="AW159" i="17"/>
  <c r="AV159" i="17"/>
  <c r="AW158" i="17"/>
  <c r="AV158" i="17"/>
  <c r="AW156" i="17"/>
  <c r="AV156" i="17"/>
  <c r="AW155" i="17"/>
  <c r="V20" i="32" s="1"/>
  <c r="AV155" i="17"/>
  <c r="U20" i="32" s="1"/>
  <c r="AW154" i="17"/>
  <c r="V19" i="32" s="1"/>
  <c r="AV154" i="17"/>
  <c r="U19" i="32" s="1"/>
  <c r="AW153" i="17"/>
  <c r="AV153" i="17"/>
  <c r="AQ162" i="17"/>
  <c r="AQ161" i="17"/>
  <c r="AQ160" i="17"/>
  <c r="AQ159" i="17"/>
  <c r="AQ158" i="17"/>
  <c r="AQ156" i="17"/>
  <c r="Q20" i="32"/>
  <c r="AQ155" i="17"/>
  <c r="P20" i="32" s="1"/>
  <c r="Q19" i="32"/>
  <c r="AQ154" i="17"/>
  <c r="P19" i="32" s="1"/>
  <c r="AR153" i="17"/>
  <c r="AR157" i="17" s="1"/>
  <c r="AQ153" i="17"/>
  <c r="AY162" i="17"/>
  <c r="AY161" i="17"/>
  <c r="AY160" i="17"/>
  <c r="AY159" i="17"/>
  <c r="AY158" i="17"/>
  <c r="AY156" i="17"/>
  <c r="AY155" i="17"/>
  <c r="X20" i="32" s="1"/>
  <c r="AY154" i="17"/>
  <c r="X19" i="32" s="1"/>
  <c r="AY153" i="17"/>
  <c r="AT162" i="17"/>
  <c r="AT161" i="17"/>
  <c r="AT160" i="17"/>
  <c r="AT159" i="17"/>
  <c r="AT158" i="17"/>
  <c r="AT156" i="17"/>
  <c r="AT155" i="17"/>
  <c r="S20" i="32" s="1"/>
  <c r="AT154" i="17"/>
  <c r="S19" i="32" s="1"/>
  <c r="AT153" i="17"/>
  <c r="BI149" i="17"/>
  <c r="BI10" i="17" s="1"/>
  <c r="BH149" i="17"/>
  <c r="BH10" i="17" s="1"/>
  <c r="BG149" i="17"/>
  <c r="BG10" i="17" s="1"/>
  <c r="BF149" i="17"/>
  <c r="BF10" i="17" s="1"/>
  <c r="BI147" i="17"/>
  <c r="BH147" i="17"/>
  <c r="BG147" i="17"/>
  <c r="BF147" i="17"/>
  <c r="BI146" i="17"/>
  <c r="BH146" i="17"/>
  <c r="BG146" i="17"/>
  <c r="BF146" i="17"/>
  <c r="BI145" i="17"/>
  <c r="BH145" i="17"/>
  <c r="BG145" i="17"/>
  <c r="BF145" i="17"/>
  <c r="BI144" i="17"/>
  <c r="BH144" i="17"/>
  <c r="BG144" i="17"/>
  <c r="BF144" i="17"/>
  <c r="BI143" i="17"/>
  <c r="BH143" i="17"/>
  <c r="BG143" i="17"/>
  <c r="BF143" i="17"/>
  <c r="BI142" i="17"/>
  <c r="BH142" i="17"/>
  <c r="BG142" i="17"/>
  <c r="BF142" i="17"/>
  <c r="BI141" i="17"/>
  <c r="BH141" i="17"/>
  <c r="BG141" i="17"/>
  <c r="BF141" i="17"/>
  <c r="BI140" i="17"/>
  <c r="BH140" i="17"/>
  <c r="BG140" i="17"/>
  <c r="BF140" i="17"/>
  <c r="BI139" i="17"/>
  <c r="BH139" i="17"/>
  <c r="BG139" i="17"/>
  <c r="BF139" i="17"/>
  <c r="BI138" i="17"/>
  <c r="BH138" i="17"/>
  <c r="BG138" i="17"/>
  <c r="BF138" i="17"/>
  <c r="BI137" i="17"/>
  <c r="BH137" i="17"/>
  <c r="BG137" i="17"/>
  <c r="BF137" i="17"/>
  <c r="BI136" i="17"/>
  <c r="BH136" i="17"/>
  <c r="BG136" i="17"/>
  <c r="BF136" i="17"/>
  <c r="BI135" i="17"/>
  <c r="BH135" i="17"/>
  <c r="BG135" i="17"/>
  <c r="BF135" i="17"/>
  <c r="BD149" i="17"/>
  <c r="BD10" i="17" s="1"/>
  <c r="BC149" i="17"/>
  <c r="BC10" i="17" s="1"/>
  <c r="BB149" i="17"/>
  <c r="BB10" i="17" s="1"/>
  <c r="BA149" i="17"/>
  <c r="BA10" i="17" s="1"/>
  <c r="BD147" i="17"/>
  <c r="BC147" i="17"/>
  <c r="BB147" i="17"/>
  <c r="BA147" i="17"/>
  <c r="BD146" i="17"/>
  <c r="BC146" i="17"/>
  <c r="BB146" i="17"/>
  <c r="BA146" i="17"/>
  <c r="BD145" i="17"/>
  <c r="BC145" i="17"/>
  <c r="BB145" i="17"/>
  <c r="BA145" i="17"/>
  <c r="BD144" i="17"/>
  <c r="BC144" i="17"/>
  <c r="BB144" i="17"/>
  <c r="BA144" i="17"/>
  <c r="BD143" i="17"/>
  <c r="BC143" i="17"/>
  <c r="BB143" i="17"/>
  <c r="BA143" i="17"/>
  <c r="BD142" i="17"/>
  <c r="BC142" i="17"/>
  <c r="BB142" i="17"/>
  <c r="BA142" i="17"/>
  <c r="BD141" i="17"/>
  <c r="BC141" i="17"/>
  <c r="BB141" i="17"/>
  <c r="BA141" i="17"/>
  <c r="BD140" i="17"/>
  <c r="BC140" i="17"/>
  <c r="BB140" i="17"/>
  <c r="BA140" i="17"/>
  <c r="BD139" i="17"/>
  <c r="BC139" i="17"/>
  <c r="BB139" i="17"/>
  <c r="BA139" i="17"/>
  <c r="BD138" i="17"/>
  <c r="BC138" i="17"/>
  <c r="BB138" i="17"/>
  <c r="BA138" i="17"/>
  <c r="BD137" i="17"/>
  <c r="BC137" i="17"/>
  <c r="BB137" i="17"/>
  <c r="BA137" i="17"/>
  <c r="BD136" i="17"/>
  <c r="BC136" i="17"/>
  <c r="BB136" i="17"/>
  <c r="BA136" i="17"/>
  <c r="BD135" i="17"/>
  <c r="BC135" i="17"/>
  <c r="BB135" i="17"/>
  <c r="BA135" i="17"/>
  <c r="AW147" i="17"/>
  <c r="AV147" i="17"/>
  <c r="AW146" i="17"/>
  <c r="AV146" i="17"/>
  <c r="AW145" i="17"/>
  <c r="AV145" i="17"/>
  <c r="AW144" i="17"/>
  <c r="AV144" i="17"/>
  <c r="AW143" i="17"/>
  <c r="AV143" i="17"/>
  <c r="AW141" i="17"/>
  <c r="AV141" i="17"/>
  <c r="AW140" i="17"/>
  <c r="AV140" i="17"/>
  <c r="AW139" i="17"/>
  <c r="AV139" i="17"/>
  <c r="AW138" i="17"/>
  <c r="AV138" i="17"/>
  <c r="AW137" i="17"/>
  <c r="AV137" i="17"/>
  <c r="AW136" i="17"/>
  <c r="AV136" i="17"/>
  <c r="AW135" i="17"/>
  <c r="AV135" i="17"/>
  <c r="AR147" i="17"/>
  <c r="AQ147" i="17"/>
  <c r="AR146" i="17"/>
  <c r="AQ146" i="17"/>
  <c r="AR145" i="17"/>
  <c r="AQ145" i="17"/>
  <c r="AR144" i="17"/>
  <c r="AQ144" i="17"/>
  <c r="AR143" i="17"/>
  <c r="AQ143" i="17"/>
  <c r="AR141" i="17"/>
  <c r="AQ141" i="17"/>
  <c r="AR140" i="17"/>
  <c r="AQ140" i="17"/>
  <c r="AR139" i="17"/>
  <c r="AQ139" i="17"/>
  <c r="AR138" i="17"/>
  <c r="AQ138" i="17"/>
  <c r="AR137" i="17"/>
  <c r="AQ137" i="17"/>
  <c r="AR136" i="17"/>
  <c r="AQ136" i="17"/>
  <c r="AR135" i="17"/>
  <c r="AQ135" i="17"/>
  <c r="AT147" i="17"/>
  <c r="AT146" i="17"/>
  <c r="AT145" i="17"/>
  <c r="AT144" i="17"/>
  <c r="AT143" i="17"/>
  <c r="AT141" i="17"/>
  <c r="AT140" i="17"/>
  <c r="AT139" i="17"/>
  <c r="AT138" i="17"/>
  <c r="AT137" i="17"/>
  <c r="AT136" i="17"/>
  <c r="AT135" i="17"/>
  <c r="AY147" i="17"/>
  <c r="AY146" i="17"/>
  <c r="AY145" i="17"/>
  <c r="AY144" i="17"/>
  <c r="AY143" i="17"/>
  <c r="AY141" i="17"/>
  <c r="AY140" i="17"/>
  <c r="AY139" i="17"/>
  <c r="AY138" i="17"/>
  <c r="AY137" i="17"/>
  <c r="AY136" i="17"/>
  <c r="AY135" i="17"/>
  <c r="L5" i="32"/>
  <c r="K5" i="32"/>
  <c r="BI131" i="17"/>
  <c r="BH131" i="17"/>
  <c r="BG131" i="17"/>
  <c r="BF131" i="17"/>
  <c r="BI130" i="17"/>
  <c r="AH43" i="32" s="1"/>
  <c r="BH130" i="17"/>
  <c r="AG43" i="32" s="1"/>
  <c r="BG130" i="17"/>
  <c r="AF43" i="32" s="1"/>
  <c r="BF130" i="17"/>
  <c r="AE43" i="32" s="1"/>
  <c r="BI129" i="17"/>
  <c r="BH129" i="17"/>
  <c r="BG129" i="17"/>
  <c r="BF129" i="17"/>
  <c r="BI128" i="17"/>
  <c r="BH128" i="17"/>
  <c r="BG128" i="17"/>
  <c r="BF128" i="17"/>
  <c r="BI127" i="17"/>
  <c r="AH41" i="32" s="1"/>
  <c r="BH127" i="17"/>
  <c r="AG41" i="32" s="1"/>
  <c r="BG127" i="17"/>
  <c r="AF41" i="32" s="1"/>
  <c r="BF127" i="17"/>
  <c r="AE41" i="32" s="1"/>
  <c r="BD131" i="17"/>
  <c r="BC131" i="17"/>
  <c r="BB131" i="17"/>
  <c r="BA131" i="17"/>
  <c r="BD130" i="17"/>
  <c r="AC43" i="32" s="1"/>
  <c r="BC130" i="17"/>
  <c r="AB43" i="32" s="1"/>
  <c r="BB130" i="17"/>
  <c r="AA43" i="32" s="1"/>
  <c r="BA130" i="17"/>
  <c r="Z43" i="32" s="1"/>
  <c r="BD129" i="17"/>
  <c r="BC129" i="17"/>
  <c r="BB129" i="17"/>
  <c r="BA129" i="17"/>
  <c r="BD128" i="17"/>
  <c r="BC128" i="17"/>
  <c r="BB128" i="17"/>
  <c r="BA128" i="17"/>
  <c r="BD127" i="17"/>
  <c r="AC41" i="32" s="1"/>
  <c r="BC127" i="17"/>
  <c r="AB41" i="32" s="1"/>
  <c r="BB127" i="17"/>
  <c r="AA41" i="32" s="1"/>
  <c r="BA127" i="17"/>
  <c r="Z41" i="32" s="1"/>
  <c r="AW130" i="17"/>
  <c r="V43" i="32" s="1"/>
  <c r="AV130" i="17"/>
  <c r="U43" i="32" s="1"/>
  <c r="AW129" i="17"/>
  <c r="AV129" i="17"/>
  <c r="AW128" i="17"/>
  <c r="AV128" i="17"/>
  <c r="AW127" i="17"/>
  <c r="V41" i="32" s="1"/>
  <c r="AV127" i="17"/>
  <c r="U41" i="32" s="1"/>
  <c r="AR130" i="17"/>
  <c r="Q43" i="32" s="1"/>
  <c r="AQ130" i="17"/>
  <c r="P43" i="32" s="1"/>
  <c r="AR129" i="17"/>
  <c r="AQ129" i="17"/>
  <c r="AR128" i="17"/>
  <c r="AQ128" i="17"/>
  <c r="AR127" i="17"/>
  <c r="Q41" i="32" s="1"/>
  <c r="AQ127" i="17"/>
  <c r="P41" i="32" s="1"/>
  <c r="AY130" i="17"/>
  <c r="X43" i="32" s="1"/>
  <c r="AY129" i="17"/>
  <c r="AY128" i="17"/>
  <c r="AY127" i="17"/>
  <c r="X41" i="32" s="1"/>
  <c r="AT130" i="17"/>
  <c r="S43" i="32" s="1"/>
  <c r="AT129" i="17"/>
  <c r="AT128" i="17"/>
  <c r="AT127" i="17"/>
  <c r="S41" i="32" s="1"/>
  <c r="BI81" i="17"/>
  <c r="AH38" i="32" s="1"/>
  <c r="BH81" i="17"/>
  <c r="AG38" i="32" s="1"/>
  <c r="BG81" i="17"/>
  <c r="AF38" i="32" s="1"/>
  <c r="BF81" i="17"/>
  <c r="AE38" i="32" s="1"/>
  <c r="BI80" i="17"/>
  <c r="AH27" i="32" s="1"/>
  <c r="BH80" i="17"/>
  <c r="AG27" i="32" s="1"/>
  <c r="BG80" i="17"/>
  <c r="AF27" i="32" s="1"/>
  <c r="BF80" i="17"/>
  <c r="AE27" i="32" s="1"/>
  <c r="AH32" i="32"/>
  <c r="AG32" i="32"/>
  <c r="AF32" i="32"/>
  <c r="AE32" i="32"/>
  <c r="AH25" i="32"/>
  <c r="AG25" i="32"/>
  <c r="AF25" i="32"/>
  <c r="AE25" i="32"/>
  <c r="BI77" i="17"/>
  <c r="AH36" i="32" s="1"/>
  <c r="BH77" i="17"/>
  <c r="AG36" i="32" s="1"/>
  <c r="BG77" i="17"/>
  <c r="AF36" i="32" s="1"/>
  <c r="BF77" i="17"/>
  <c r="AE36" i="32" s="1"/>
  <c r="AH26" i="32"/>
  <c r="AG26" i="32"/>
  <c r="AF26" i="32"/>
  <c r="AE26" i="32"/>
  <c r="BI75" i="17"/>
  <c r="BH75" i="17"/>
  <c r="BG75" i="17"/>
  <c r="BF75" i="17"/>
  <c r="BI74" i="17"/>
  <c r="BH74" i="17"/>
  <c r="BG74" i="17"/>
  <c r="BF74" i="17"/>
  <c r="AH31" i="32"/>
  <c r="AG31" i="32"/>
  <c r="AF31" i="32"/>
  <c r="AE31" i="32"/>
  <c r="BI72" i="17"/>
  <c r="AH39" i="32" s="1"/>
  <c r="BH72" i="17"/>
  <c r="AG39" i="32" s="1"/>
  <c r="BG72" i="17"/>
  <c r="AF39" i="32" s="1"/>
  <c r="BF72" i="17"/>
  <c r="AE39" i="32" s="1"/>
  <c r="BI71" i="17"/>
  <c r="AH35" i="32" s="1"/>
  <c r="BH71" i="17"/>
  <c r="AG35" i="32" s="1"/>
  <c r="BG71" i="17"/>
  <c r="AF35" i="32" s="1"/>
  <c r="BF71" i="17"/>
  <c r="AE35" i="32" s="1"/>
  <c r="BI70" i="17"/>
  <c r="AH40" i="32" s="1"/>
  <c r="BH70" i="17"/>
  <c r="AG40" i="32" s="1"/>
  <c r="BG70" i="17"/>
  <c r="AF40" i="32" s="1"/>
  <c r="BF70" i="17"/>
  <c r="AE40" i="32" s="1"/>
  <c r="AH33" i="32"/>
  <c r="AG33" i="32"/>
  <c r="AF33" i="32"/>
  <c r="AE33" i="32"/>
  <c r="BI67" i="17"/>
  <c r="BH67" i="17"/>
  <c r="BG67" i="17"/>
  <c r="BF67" i="17"/>
  <c r="BD81" i="17"/>
  <c r="AC38" i="32" s="1"/>
  <c r="BC81" i="17"/>
  <c r="AB38" i="32" s="1"/>
  <c r="BB81" i="17"/>
  <c r="AA38" i="32" s="1"/>
  <c r="BA81" i="17"/>
  <c r="Z38" i="32" s="1"/>
  <c r="BD80" i="17"/>
  <c r="AC27" i="32" s="1"/>
  <c r="BC80" i="17"/>
  <c r="AB27" i="32" s="1"/>
  <c r="BB80" i="17"/>
  <c r="AA27" i="32" s="1"/>
  <c r="BA80" i="17"/>
  <c r="Z27" i="32" s="1"/>
  <c r="AC32" i="32"/>
  <c r="AB32" i="32"/>
  <c r="AA32" i="32"/>
  <c r="Z32" i="32"/>
  <c r="AC25" i="32"/>
  <c r="AB25" i="32"/>
  <c r="AA25" i="32"/>
  <c r="Z25" i="32"/>
  <c r="BD77" i="17"/>
  <c r="AC36" i="32" s="1"/>
  <c r="BC77" i="17"/>
  <c r="AB36" i="32" s="1"/>
  <c r="BB77" i="17"/>
  <c r="AA36" i="32" s="1"/>
  <c r="BA77" i="17"/>
  <c r="Z36" i="32" s="1"/>
  <c r="AC26" i="32"/>
  <c r="AB26" i="32"/>
  <c r="AA26" i="32"/>
  <c r="Z26" i="32"/>
  <c r="BD75" i="17"/>
  <c r="BC75" i="17"/>
  <c r="BB75" i="17"/>
  <c r="BA75" i="17"/>
  <c r="BD74" i="17"/>
  <c r="BC74" i="17"/>
  <c r="BB74" i="17"/>
  <c r="BA74" i="17"/>
  <c r="AC31" i="32"/>
  <c r="AB31" i="32"/>
  <c r="AA31" i="32"/>
  <c r="Z31" i="32"/>
  <c r="BD72" i="17"/>
  <c r="AC39" i="32" s="1"/>
  <c r="BC72" i="17"/>
  <c r="AB39" i="32" s="1"/>
  <c r="BB72" i="17"/>
  <c r="AA39" i="32" s="1"/>
  <c r="BA72" i="17"/>
  <c r="Z39" i="32" s="1"/>
  <c r="BD71" i="17"/>
  <c r="AC35" i="32" s="1"/>
  <c r="BC71" i="17"/>
  <c r="AB35" i="32" s="1"/>
  <c r="BB71" i="17"/>
  <c r="AA35" i="32" s="1"/>
  <c r="BA71" i="17"/>
  <c r="Z35" i="32" s="1"/>
  <c r="BD70" i="17"/>
  <c r="AC40" i="32" s="1"/>
  <c r="BC70" i="17"/>
  <c r="AB40" i="32" s="1"/>
  <c r="BB70" i="17"/>
  <c r="AA40" i="32" s="1"/>
  <c r="BA70" i="17"/>
  <c r="Z40" i="32" s="1"/>
  <c r="AC33" i="32"/>
  <c r="AB33" i="32"/>
  <c r="AA33" i="32"/>
  <c r="Z33" i="32"/>
  <c r="BD67" i="17"/>
  <c r="BC67" i="17"/>
  <c r="BB67" i="17"/>
  <c r="BA67" i="17"/>
  <c r="AY81" i="17"/>
  <c r="X38" i="32" s="1"/>
  <c r="AY80" i="17"/>
  <c r="X27" i="32" s="1"/>
  <c r="AY77" i="17"/>
  <c r="X36" i="32" s="1"/>
  <c r="AY75" i="17"/>
  <c r="AY74" i="17"/>
  <c r="AY72" i="17"/>
  <c r="X39" i="32" s="1"/>
  <c r="AY71" i="17"/>
  <c r="X35" i="32" s="1"/>
  <c r="AY70" i="17"/>
  <c r="X40" i="32" s="1"/>
  <c r="AY67" i="17"/>
  <c r="AT81" i="17"/>
  <c r="S38" i="32" s="1"/>
  <c r="AT80" i="17"/>
  <c r="S27" i="32" s="1"/>
  <c r="AT77" i="17"/>
  <c r="S36" i="32" s="1"/>
  <c r="AT75" i="17"/>
  <c r="AT74" i="17"/>
  <c r="AT72" i="17"/>
  <c r="S39" i="32" s="1"/>
  <c r="AT71" i="17"/>
  <c r="S35" i="32" s="1"/>
  <c r="AT70" i="17"/>
  <c r="S40" i="32" s="1"/>
  <c r="AT67" i="17"/>
  <c r="AW81" i="17"/>
  <c r="V38" i="32" s="1"/>
  <c r="AV81" i="17"/>
  <c r="U38" i="32" s="1"/>
  <c r="AW80" i="17"/>
  <c r="V27" i="32" s="1"/>
  <c r="AV80" i="17"/>
  <c r="U27" i="32" s="1"/>
  <c r="AW77" i="17"/>
  <c r="V36" i="32" s="1"/>
  <c r="AV77" i="17"/>
  <c r="U36" i="32" s="1"/>
  <c r="AW75" i="17"/>
  <c r="AV75" i="17"/>
  <c r="AW74" i="17"/>
  <c r="AV74" i="17"/>
  <c r="AW72" i="17"/>
  <c r="V39" i="32" s="1"/>
  <c r="AV72" i="17"/>
  <c r="U39" i="32" s="1"/>
  <c r="AW71" i="17"/>
  <c r="V35" i="32" s="1"/>
  <c r="AV71" i="17"/>
  <c r="U35" i="32" s="1"/>
  <c r="AW70" i="17"/>
  <c r="V40" i="32" s="1"/>
  <c r="AV70" i="17"/>
  <c r="U40" i="32" s="1"/>
  <c r="AW67" i="17"/>
  <c r="AV67" i="17"/>
  <c r="AR81" i="17"/>
  <c r="Q38" i="32" s="1"/>
  <c r="AQ81" i="17"/>
  <c r="P38" i="32" s="1"/>
  <c r="AR80" i="17"/>
  <c r="Q27" i="32" s="1"/>
  <c r="AQ80" i="17"/>
  <c r="P27" i="32" s="1"/>
  <c r="AR77" i="17"/>
  <c r="Q36" i="32" s="1"/>
  <c r="AQ77" i="17"/>
  <c r="P36" i="32" s="1"/>
  <c r="AR75" i="17"/>
  <c r="AQ75" i="17"/>
  <c r="AR74" i="17"/>
  <c r="AQ74" i="17"/>
  <c r="AR72" i="17"/>
  <c r="Q39" i="32" s="1"/>
  <c r="AQ72" i="17"/>
  <c r="P39" i="32" s="1"/>
  <c r="AR71" i="17"/>
  <c r="Q35" i="32" s="1"/>
  <c r="AQ71" i="17"/>
  <c r="P35" i="32" s="1"/>
  <c r="AR70" i="17"/>
  <c r="Q40" i="32" s="1"/>
  <c r="AQ70" i="17"/>
  <c r="P40" i="32" s="1"/>
  <c r="AR67" i="17"/>
  <c r="AQ67" i="17"/>
  <c r="BI33" i="17"/>
  <c r="AH49" i="32" s="1"/>
  <c r="BH33" i="17"/>
  <c r="AG49" i="32" s="1"/>
  <c r="BG33" i="17"/>
  <c r="AF49" i="32" s="1"/>
  <c r="BF33" i="17"/>
  <c r="AE49" i="32" s="1"/>
  <c r="BI32" i="17"/>
  <c r="BH32" i="17"/>
  <c r="BG32" i="17"/>
  <c r="BF32" i="17"/>
  <c r="BI31" i="17"/>
  <c r="AH48" i="32" s="1"/>
  <c r="BH31" i="17"/>
  <c r="AG48" i="32" s="1"/>
  <c r="BG31" i="17"/>
  <c r="AF48" i="32" s="1"/>
  <c r="BF31" i="17"/>
  <c r="AE48" i="32" s="1"/>
  <c r="BI30" i="17"/>
  <c r="BH30" i="17"/>
  <c r="BG30" i="17"/>
  <c r="BF30" i="17"/>
  <c r="BI29" i="17"/>
  <c r="BH29" i="17"/>
  <c r="BG29" i="17"/>
  <c r="BF29" i="17"/>
  <c r="BI28" i="17"/>
  <c r="AH47" i="32" s="1"/>
  <c r="BH28" i="17"/>
  <c r="AG47" i="32" s="1"/>
  <c r="BG28" i="17"/>
  <c r="AF47" i="32" s="1"/>
  <c r="BF28" i="17"/>
  <c r="AE47" i="32" s="1"/>
  <c r="BI27" i="17"/>
  <c r="AH46" i="32" s="1"/>
  <c r="BH27" i="17"/>
  <c r="AG46" i="32" s="1"/>
  <c r="BG27" i="17"/>
  <c r="AF46" i="32" s="1"/>
  <c r="BF27" i="17"/>
  <c r="AE46" i="32" s="1"/>
  <c r="BI26" i="17"/>
  <c r="AH45" i="32" s="1"/>
  <c r="BH26" i="17"/>
  <c r="AG45" i="32" s="1"/>
  <c r="BG26" i="17"/>
  <c r="AF45" i="32" s="1"/>
  <c r="BF26" i="17"/>
  <c r="AE45" i="32" s="1"/>
  <c r="BI25" i="17"/>
  <c r="BH25" i="17"/>
  <c r="BG25" i="17"/>
  <c r="BF25" i="17"/>
  <c r="BD33" i="17"/>
  <c r="AC49" i="32" s="1"/>
  <c r="BC33" i="17"/>
  <c r="AB49" i="32" s="1"/>
  <c r="BB33" i="17"/>
  <c r="AA49" i="32" s="1"/>
  <c r="BA33" i="17"/>
  <c r="Z49" i="32" s="1"/>
  <c r="BD32" i="17"/>
  <c r="BC32" i="17"/>
  <c r="BB32" i="17"/>
  <c r="BA32" i="17"/>
  <c r="BD31" i="17"/>
  <c r="AC48" i="32" s="1"/>
  <c r="BC31" i="17"/>
  <c r="AB48" i="32" s="1"/>
  <c r="BB31" i="17"/>
  <c r="AA48" i="32" s="1"/>
  <c r="BA31" i="17"/>
  <c r="Z48" i="32" s="1"/>
  <c r="BD30" i="17"/>
  <c r="BC30" i="17"/>
  <c r="BB30" i="17"/>
  <c r="BA30" i="17"/>
  <c r="BD29" i="17"/>
  <c r="BC29" i="17"/>
  <c r="BB29" i="17"/>
  <c r="BA29" i="17"/>
  <c r="BD28" i="17"/>
  <c r="AC47" i="32" s="1"/>
  <c r="BC28" i="17"/>
  <c r="AB47" i="32" s="1"/>
  <c r="BB28" i="17"/>
  <c r="AA47" i="32" s="1"/>
  <c r="BA28" i="17"/>
  <c r="Z47" i="32" s="1"/>
  <c r="BD27" i="17"/>
  <c r="AC46" i="32" s="1"/>
  <c r="BC27" i="17"/>
  <c r="AB46" i="32" s="1"/>
  <c r="BB27" i="17"/>
  <c r="AA46" i="32" s="1"/>
  <c r="BA27" i="17"/>
  <c r="Z46" i="32" s="1"/>
  <c r="BD26" i="17"/>
  <c r="AC45" i="32" s="1"/>
  <c r="BC26" i="17"/>
  <c r="AB45" i="32" s="1"/>
  <c r="BB26" i="17"/>
  <c r="AA45" i="32" s="1"/>
  <c r="BA26" i="17"/>
  <c r="Z45" i="32" s="1"/>
  <c r="BD25" i="17"/>
  <c r="BC25" i="17"/>
  <c r="BB25" i="17"/>
  <c r="BA25" i="17"/>
  <c r="AY33" i="17"/>
  <c r="X49" i="32" s="1"/>
  <c r="AY32" i="17"/>
  <c r="AY31" i="17"/>
  <c r="X48" i="32" s="1"/>
  <c r="AY30" i="17"/>
  <c r="AY29" i="17"/>
  <c r="AY28" i="17"/>
  <c r="X47" i="32" s="1"/>
  <c r="AY27" i="17"/>
  <c r="X46" i="32" s="1"/>
  <c r="AY26" i="17"/>
  <c r="X45" i="32" s="1"/>
  <c r="AY25" i="17"/>
  <c r="AT33" i="17"/>
  <c r="S49" i="32" s="1"/>
  <c r="AT32" i="17"/>
  <c r="AT31" i="17"/>
  <c r="S48" i="32" s="1"/>
  <c r="AT30" i="17"/>
  <c r="AT29" i="17"/>
  <c r="AT28" i="17"/>
  <c r="S47" i="32" s="1"/>
  <c r="AT27" i="17"/>
  <c r="S46" i="32" s="1"/>
  <c r="AT26" i="17"/>
  <c r="S45" i="32" s="1"/>
  <c r="AT25" i="17"/>
  <c r="AW33" i="17"/>
  <c r="V49" i="32" s="1"/>
  <c r="AV33" i="17"/>
  <c r="U49" i="32" s="1"/>
  <c r="AW32" i="17"/>
  <c r="AV32" i="17"/>
  <c r="AW31" i="17"/>
  <c r="V48" i="32" s="1"/>
  <c r="AV31" i="17"/>
  <c r="U48" i="32" s="1"/>
  <c r="AW30" i="17"/>
  <c r="AV30" i="17"/>
  <c r="AW29" i="17"/>
  <c r="AV29" i="17"/>
  <c r="AW28" i="17"/>
  <c r="V47" i="32" s="1"/>
  <c r="AV28" i="17"/>
  <c r="U47" i="32" s="1"/>
  <c r="AW27" i="17"/>
  <c r="V46" i="32" s="1"/>
  <c r="AV27" i="17"/>
  <c r="U46" i="32" s="1"/>
  <c r="AW26" i="17"/>
  <c r="V45" i="32" s="1"/>
  <c r="AV26" i="17"/>
  <c r="U45" i="32" s="1"/>
  <c r="AW25" i="17"/>
  <c r="AV25" i="17"/>
  <c r="AR33" i="17"/>
  <c r="Q49" i="32" s="1"/>
  <c r="AQ33" i="17"/>
  <c r="P49" i="32" s="1"/>
  <c r="AR32" i="17"/>
  <c r="AQ32" i="17"/>
  <c r="AR31" i="17"/>
  <c r="Q48" i="32" s="1"/>
  <c r="AQ31" i="17"/>
  <c r="P48" i="32" s="1"/>
  <c r="AR30" i="17"/>
  <c r="AQ30" i="17"/>
  <c r="AR29" i="17"/>
  <c r="AQ29" i="17"/>
  <c r="AR28" i="17"/>
  <c r="Q47" i="32" s="1"/>
  <c r="AQ28" i="17"/>
  <c r="P47" i="32" s="1"/>
  <c r="AR27" i="17"/>
  <c r="Q46" i="32" s="1"/>
  <c r="AQ27" i="17"/>
  <c r="P46" i="32" s="1"/>
  <c r="AR26" i="17"/>
  <c r="Q45" i="32" s="1"/>
  <c r="AQ26" i="17"/>
  <c r="P45" i="32" s="1"/>
  <c r="AR25" i="17"/>
  <c r="AQ25" i="17"/>
  <c r="BG216" i="17" l="1"/>
  <c r="BG17" i="17" s="1"/>
  <c r="BF216" i="17"/>
  <c r="BF17" i="17" s="1"/>
  <c r="AW148" i="17"/>
  <c r="V5" i="32" s="1"/>
  <c r="BI157" i="17"/>
  <c r="AQ216" i="17"/>
  <c r="AR216" i="17"/>
  <c r="BB216" i="17"/>
  <c r="BB17" i="17" s="1"/>
  <c r="AV148" i="17"/>
  <c r="U5" i="32" s="1"/>
  <c r="BC216" i="17"/>
  <c r="BC17" i="17" s="1"/>
  <c r="BH216" i="17"/>
  <c r="BH17" i="17" s="1"/>
  <c r="BD216" i="17"/>
  <c r="BD17" i="17" s="1"/>
  <c r="BI216" i="17"/>
  <c r="BI17" i="17" s="1"/>
  <c r="AV216" i="17"/>
  <c r="AY216" i="17"/>
  <c r="AW216" i="17"/>
  <c r="BA216" i="17"/>
  <c r="BA17" i="17" s="1"/>
  <c r="AT216" i="17"/>
  <c r="AR34" i="17"/>
  <c r="AU84" i="17"/>
  <c r="AU8" i="17"/>
  <c r="AU14" i="17" s="1"/>
  <c r="V34" i="32"/>
  <c r="AW82" i="17"/>
  <c r="AB34" i="32"/>
  <c r="BC82" i="17"/>
  <c r="AK36" i="17"/>
  <c r="AK7" i="17"/>
  <c r="AS84" i="17"/>
  <c r="AS8" i="17"/>
  <c r="AS14" i="17" s="1"/>
  <c r="Z34" i="32"/>
  <c r="BA82" i="17"/>
  <c r="AA34" i="32"/>
  <c r="BB82" i="17"/>
  <c r="X34" i="32"/>
  <c r="AY82" i="17"/>
  <c r="AC34" i="32"/>
  <c r="BD82" i="17"/>
  <c r="BJ36" i="17"/>
  <c r="BJ7" i="17"/>
  <c r="BJ14" i="17" s="1"/>
  <c r="AP84" i="17"/>
  <c r="AP8" i="17"/>
  <c r="AP14" i="17" s="1"/>
  <c r="BE36" i="17"/>
  <c r="BE7" i="17"/>
  <c r="BE14" i="17" s="1"/>
  <c r="AN8" i="17"/>
  <c r="AN14" i="17" s="1"/>
  <c r="AN84" i="17"/>
  <c r="AT148" i="17"/>
  <c r="S5" i="32" s="1"/>
  <c r="AZ36" i="17"/>
  <c r="AZ7" i="17"/>
  <c r="AK84" i="17"/>
  <c r="AK8" i="17"/>
  <c r="U34" i="32"/>
  <c r="AV82" i="17"/>
  <c r="AX84" i="17"/>
  <c r="AX8" i="17"/>
  <c r="P34" i="32"/>
  <c r="AQ82" i="17"/>
  <c r="S34" i="32"/>
  <c r="AT82" i="17"/>
  <c r="AX36" i="17"/>
  <c r="AX7" i="17"/>
  <c r="AV34" i="17"/>
  <c r="Q34" i="32"/>
  <c r="AR82" i="17"/>
  <c r="BB34" i="17"/>
  <c r="AE34" i="32"/>
  <c r="BF82" i="17"/>
  <c r="AV157" i="17"/>
  <c r="AW34" i="17"/>
  <c r="BI34" i="17"/>
  <c r="AF34" i="32"/>
  <c r="BG82" i="17"/>
  <c r="BD148" i="17"/>
  <c r="AC5" i="32" s="1"/>
  <c r="AW157" i="17"/>
  <c r="AG34" i="32"/>
  <c r="BH82" i="17"/>
  <c r="BF157" i="17"/>
  <c r="AH34" i="32"/>
  <c r="BI82" i="17"/>
  <c r="BG157" i="17"/>
  <c r="AZ84" i="17"/>
  <c r="AZ8" i="17"/>
  <c r="BH157" i="17"/>
  <c r="AG22" i="32"/>
  <c r="BH163" i="17"/>
  <c r="AG21" i="32" s="1"/>
  <c r="AH22" i="32"/>
  <c r="BI163" i="17"/>
  <c r="AH21" i="32" s="1"/>
  <c r="AE22" i="32"/>
  <c r="BF163" i="17"/>
  <c r="AE21" i="32" s="1"/>
  <c r="AF22" i="32"/>
  <c r="BG163" i="17"/>
  <c r="AF21" i="32" s="1"/>
  <c r="AC22" i="32"/>
  <c r="BD163" i="17"/>
  <c r="AC21" i="32" s="1"/>
  <c r="BA157" i="17"/>
  <c r="BB157" i="17"/>
  <c r="BC157" i="17"/>
  <c r="BD157" i="17"/>
  <c r="AB22" i="32"/>
  <c r="BC163" i="17"/>
  <c r="AB21" i="32" s="1"/>
  <c r="Z22" i="32"/>
  <c r="BA163" i="17"/>
  <c r="Z21" i="32" s="1"/>
  <c r="AA22" i="32"/>
  <c r="BB163" i="17"/>
  <c r="AA21" i="32" s="1"/>
  <c r="AY157" i="17"/>
  <c r="X22" i="32"/>
  <c r="AY163" i="17"/>
  <c r="X21" i="32" s="1"/>
  <c r="U22" i="32"/>
  <c r="AV163" i="17"/>
  <c r="U21" i="32" s="1"/>
  <c r="V22" i="32"/>
  <c r="AW163" i="17"/>
  <c r="AT157" i="17"/>
  <c r="S22" i="32"/>
  <c r="AT163" i="17"/>
  <c r="S21" i="32" s="1"/>
  <c r="P22" i="32"/>
  <c r="AQ163" i="17"/>
  <c r="Q22" i="32"/>
  <c r="AQ157" i="17"/>
  <c r="BF148" i="17"/>
  <c r="AE5" i="32" s="1"/>
  <c r="BG148" i="17"/>
  <c r="AF5" i="32" s="1"/>
  <c r="BH148" i="17"/>
  <c r="AG5" i="32" s="1"/>
  <c r="BI148" i="17"/>
  <c r="AH5" i="32" s="1"/>
  <c r="AY148" i="17"/>
  <c r="X5" i="32" s="1"/>
  <c r="BA148" i="17"/>
  <c r="Z5" i="32" s="1"/>
  <c r="BB148" i="17"/>
  <c r="AA5" i="32" s="1"/>
  <c r="BC148" i="17"/>
  <c r="AB5" i="32" s="1"/>
  <c r="AQ148" i="17"/>
  <c r="P5" i="32" s="1"/>
  <c r="AR148" i="17"/>
  <c r="Q5" i="32" s="1"/>
  <c r="AF42" i="32"/>
  <c r="BG9" i="17"/>
  <c r="AG42" i="32"/>
  <c r="BH9" i="17"/>
  <c r="AH42" i="32"/>
  <c r="BI9" i="17"/>
  <c r="AE42" i="32"/>
  <c r="BF9" i="17"/>
  <c r="Z42" i="32"/>
  <c r="BA9" i="17"/>
  <c r="AA42" i="32"/>
  <c r="BB9" i="17"/>
  <c r="AB42" i="32"/>
  <c r="BC9" i="17"/>
  <c r="AC42" i="32"/>
  <c r="BD9" i="17"/>
  <c r="BJ84" i="17"/>
  <c r="BE84" i="17"/>
  <c r="BF34" i="17"/>
  <c r="BG34" i="17"/>
  <c r="BH34" i="17"/>
  <c r="BD34" i="17"/>
  <c r="BA34" i="17"/>
  <c r="BC34" i="17"/>
  <c r="AY34" i="17"/>
  <c r="AT34" i="17"/>
  <c r="AQ34" i="17"/>
  <c r="AS36" i="17"/>
  <c r="AU36" i="17"/>
  <c r="AP36" i="17"/>
  <c r="AN36" i="17"/>
  <c r="AG7" i="32"/>
  <c r="AG8" i="32"/>
  <c r="AC3" i="32"/>
  <c r="AC4" i="32"/>
  <c r="AH3" i="32"/>
  <c r="AH4" i="32"/>
  <c r="AH8" i="32"/>
  <c r="P18" i="32"/>
  <c r="P23" i="32"/>
  <c r="Q18" i="32"/>
  <c r="Q23" i="32"/>
  <c r="X18" i="32"/>
  <c r="X23" i="32"/>
  <c r="P15" i="32"/>
  <c r="U15" i="32"/>
  <c r="P44" i="32"/>
  <c r="P50" i="32"/>
  <c r="P51" i="32"/>
  <c r="U50" i="32"/>
  <c r="U44" i="32"/>
  <c r="U51" i="32"/>
  <c r="Q15" i="32"/>
  <c r="V15" i="32"/>
  <c r="Q51" i="32"/>
  <c r="Q50" i="32"/>
  <c r="Q44" i="32"/>
  <c r="V50" i="32"/>
  <c r="V51" i="32"/>
  <c r="V44" i="32"/>
  <c r="S18" i="32"/>
  <c r="S23" i="32"/>
  <c r="Z18" i="32"/>
  <c r="Z23" i="32"/>
  <c r="AE18" i="32"/>
  <c r="AE23" i="32"/>
  <c r="AA18" i="32"/>
  <c r="AA23" i="32"/>
  <c r="AF18" i="32"/>
  <c r="AF23" i="32"/>
  <c r="S51" i="32"/>
  <c r="S50" i="32"/>
  <c r="S44" i="32"/>
  <c r="X50" i="32"/>
  <c r="X44" i="32"/>
  <c r="X51" i="32"/>
  <c r="Z50" i="32"/>
  <c r="Z44" i="32"/>
  <c r="Z51" i="32"/>
  <c r="AE50" i="32"/>
  <c r="AE44" i="32"/>
  <c r="AE51" i="32"/>
  <c r="AB18" i="32"/>
  <c r="AB23" i="32"/>
  <c r="AG18" i="32"/>
  <c r="AG23" i="32"/>
  <c r="AA44" i="32"/>
  <c r="AA50" i="32"/>
  <c r="AA51" i="32"/>
  <c r="AF51" i="32"/>
  <c r="AF50" i="32"/>
  <c r="AF44" i="32"/>
  <c r="AC18" i="32"/>
  <c r="AC23" i="32"/>
  <c r="AH18" i="32"/>
  <c r="AH23" i="32"/>
  <c r="AB44" i="32"/>
  <c r="AB50" i="32"/>
  <c r="AB51" i="32"/>
  <c r="AG50" i="32"/>
  <c r="AG44" i="32"/>
  <c r="AG51" i="32"/>
  <c r="Z3" i="32"/>
  <c r="Z4" i="32"/>
  <c r="AE3" i="32"/>
  <c r="AE4" i="32"/>
  <c r="U18" i="32"/>
  <c r="U23" i="32"/>
  <c r="AC51" i="32"/>
  <c r="AC50" i="32"/>
  <c r="AC44" i="32"/>
  <c r="AH44" i="32"/>
  <c r="AH50" i="32"/>
  <c r="AH51" i="32"/>
  <c r="AA3" i="32"/>
  <c r="AA4" i="32"/>
  <c r="AF3" i="32"/>
  <c r="AF4" i="32"/>
  <c r="V18" i="32"/>
  <c r="V23" i="32"/>
  <c r="AB3" i="32"/>
  <c r="AB4" i="32"/>
  <c r="AG3" i="32"/>
  <c r="AG4" i="32"/>
  <c r="D39" i="30"/>
  <c r="D38" i="30"/>
  <c r="E95" i="26" s="1"/>
  <c r="AF7" i="32"/>
  <c r="AF8" i="32"/>
  <c r="Z15" i="32"/>
  <c r="Z9" i="32"/>
  <c r="AB15" i="32"/>
  <c r="AC15" i="32"/>
  <c r="AC9" i="32"/>
  <c r="P8" i="32"/>
  <c r="S8" i="32"/>
  <c r="X8" i="32"/>
  <c r="AA37" i="32"/>
  <c r="AA28" i="32"/>
  <c r="AF37" i="32"/>
  <c r="AF28" i="32"/>
  <c r="Z13" i="32"/>
  <c r="Z14" i="32"/>
  <c r="AE7" i="32"/>
  <c r="AE8" i="32"/>
  <c r="AB28" i="32"/>
  <c r="AB37" i="32"/>
  <c r="AG37" i="32"/>
  <c r="AG28" i="32"/>
  <c r="S15" i="32"/>
  <c r="X15" i="32"/>
  <c r="AA13" i="32"/>
  <c r="AA14" i="32"/>
  <c r="AC28" i="32"/>
  <c r="AC37" i="32"/>
  <c r="AH37" i="32"/>
  <c r="AH28" i="32"/>
  <c r="AB13" i="32"/>
  <c r="AB14" i="32"/>
  <c r="P28" i="32"/>
  <c r="P37" i="32"/>
  <c r="U37" i="32"/>
  <c r="U28" i="32"/>
  <c r="AC13" i="32"/>
  <c r="AC14" i="32"/>
  <c r="AH7" i="32"/>
  <c r="Q28" i="32"/>
  <c r="Q37" i="32"/>
  <c r="V37" i="32"/>
  <c r="V28" i="32"/>
  <c r="P14" i="32"/>
  <c r="P13" i="32"/>
  <c r="U14" i="32"/>
  <c r="U13" i="32"/>
  <c r="AE14" i="32"/>
  <c r="AE13" i="32"/>
  <c r="Q13" i="32"/>
  <c r="Q14" i="32"/>
  <c r="V13" i="32"/>
  <c r="V14" i="32"/>
  <c r="AA15" i="32"/>
  <c r="AA9" i="32"/>
  <c r="AF14" i="32"/>
  <c r="AF13" i="32"/>
  <c r="S14" i="32"/>
  <c r="S13" i="32"/>
  <c r="X14" i="32"/>
  <c r="X13" i="32"/>
  <c r="AB9" i="32"/>
  <c r="AG14" i="32"/>
  <c r="AG13" i="32"/>
  <c r="AH13" i="32"/>
  <c r="AH14" i="32"/>
  <c r="P7" i="32"/>
  <c r="U7" i="32"/>
  <c r="U8" i="32"/>
  <c r="S7" i="32"/>
  <c r="X7" i="32"/>
  <c r="Z7" i="32"/>
  <c r="Z8" i="32"/>
  <c r="AE15" i="32"/>
  <c r="AE9" i="32"/>
  <c r="Q7" i="32"/>
  <c r="Q8" i="32"/>
  <c r="V7" i="32"/>
  <c r="V8" i="32"/>
  <c r="AA7" i="32"/>
  <c r="AA8" i="32"/>
  <c r="AF15" i="32"/>
  <c r="AF9" i="32"/>
  <c r="AB7" i="32"/>
  <c r="AB8" i="32"/>
  <c r="AG15" i="32"/>
  <c r="AG9" i="32"/>
  <c r="S28" i="32"/>
  <c r="S37" i="32"/>
  <c r="X37" i="32"/>
  <c r="X28" i="32"/>
  <c r="Z37" i="32"/>
  <c r="Z28" i="32"/>
  <c r="AE28" i="32"/>
  <c r="AE37" i="32"/>
  <c r="AC7" i="32"/>
  <c r="AC8" i="32"/>
  <c r="AH15" i="32"/>
  <c r="AH9" i="32"/>
  <c r="D42" i="30"/>
  <c r="E96" i="26" s="1"/>
  <c r="D33" i="30"/>
  <c r="D9" i="30"/>
  <c r="D43" i="30"/>
  <c r="D47" i="30"/>
  <c r="C9" i="30"/>
  <c r="C33" i="30"/>
  <c r="D46" i="30"/>
  <c r="E97" i="26" s="1"/>
  <c r="D50" i="30"/>
  <c r="E98" i="26" s="1"/>
  <c r="D51" i="30"/>
  <c r="D23" i="30"/>
  <c r="D22" i="30"/>
  <c r="D31" i="30"/>
  <c r="D30" i="30"/>
  <c r="D19" i="30"/>
  <c r="D18" i="30"/>
  <c r="D27" i="30"/>
  <c r="D26" i="30"/>
  <c r="BF122" i="17"/>
  <c r="BC122" i="17"/>
  <c r="AL122" i="17"/>
  <c r="BG122" i="17"/>
  <c r="AQ103" i="17"/>
  <c r="AQ122" i="17"/>
  <c r="BH122" i="17"/>
  <c r="AR122" i="17"/>
  <c r="BI122" i="17"/>
  <c r="AT122" i="17"/>
  <c r="BD122" i="17"/>
  <c r="AV122" i="17"/>
  <c r="AM122" i="17"/>
  <c r="AY122" i="17"/>
  <c r="AO122" i="17"/>
  <c r="BA122" i="17"/>
  <c r="AW122" i="17"/>
  <c r="BB122" i="17"/>
  <c r="BD103" i="17"/>
  <c r="AL103" i="17"/>
  <c r="AL83" i="17" s="1"/>
  <c r="AO103" i="17"/>
  <c r="AW103" i="17"/>
  <c r="AM103" i="17"/>
  <c r="AM83" i="17" s="1"/>
  <c r="AM8" i="17" s="1"/>
  <c r="AR103" i="17"/>
  <c r="AR83" i="17" s="1"/>
  <c r="AR8" i="17" s="1"/>
  <c r="AT103" i="17"/>
  <c r="AT83" i="17" s="1"/>
  <c r="AT8" i="17" s="1"/>
  <c r="AV103" i="17"/>
  <c r="AY103" i="17"/>
  <c r="BA103" i="17"/>
  <c r="BB103" i="17"/>
  <c r="BC103" i="17"/>
  <c r="BG103" i="17"/>
  <c r="BH103" i="17"/>
  <c r="BH83" i="17" s="1"/>
  <c r="BH8" i="17" s="1"/>
  <c r="BI103" i="17"/>
  <c r="BF103" i="17"/>
  <c r="BD49" i="17"/>
  <c r="BF49" i="17"/>
  <c r="BG49" i="17"/>
  <c r="BG35" i="17" s="1"/>
  <c r="BG7" i="17" s="1"/>
  <c r="BH49" i="17"/>
  <c r="BH35" i="17" s="1"/>
  <c r="BH7" i="17" s="1"/>
  <c r="AR49" i="17"/>
  <c r="AT49" i="17"/>
  <c r="AL49" i="17"/>
  <c r="AL35" i="17" s="1"/>
  <c r="AV49" i="17"/>
  <c r="AM49" i="17"/>
  <c r="AW49" i="17"/>
  <c r="AW35" i="17" s="1"/>
  <c r="AO49" i="17"/>
  <c r="BA49" i="17"/>
  <c r="AY49" i="17"/>
  <c r="AY35" i="17" s="1"/>
  <c r="AY7" i="17" s="1"/>
  <c r="AQ49" i="17"/>
  <c r="BB49" i="17"/>
  <c r="BI49" i="17"/>
  <c r="BI35" i="17" s="1"/>
  <c r="BI7" i="17" s="1"/>
  <c r="BC49" i="17"/>
  <c r="BC35" i="17" s="1"/>
  <c r="BC7" i="17" s="1"/>
  <c r="AM62" i="17"/>
  <c r="AL62" i="17"/>
  <c r="AO62" i="17"/>
  <c r="BF62" i="17"/>
  <c r="BG62" i="17"/>
  <c r="BH62" i="17"/>
  <c r="BI62" i="17"/>
  <c r="BC62" i="17"/>
  <c r="BD62" i="17"/>
  <c r="BA62" i="17"/>
  <c r="BB62" i="17"/>
  <c r="AV62" i="17"/>
  <c r="AY62" i="17"/>
  <c r="AW62" i="17"/>
  <c r="AQ62" i="17"/>
  <c r="AR62" i="17"/>
  <c r="AT62" i="17"/>
  <c r="AY131" i="17"/>
  <c r="AV131" i="17"/>
  <c r="AW131" i="17"/>
  <c r="AQ17" i="17"/>
  <c r="AW17" i="17"/>
  <c r="AQ131" i="17"/>
  <c r="AR131" i="17"/>
  <c r="AQ197" i="17"/>
  <c r="AV197" i="17"/>
  <c r="AT131" i="17"/>
  <c r="AR197" i="17"/>
  <c r="AW197" i="17"/>
  <c r="AR17" i="17"/>
  <c r="AV17" i="17"/>
  <c r="AY17" i="17"/>
  <c r="AT17" i="17"/>
  <c r="AQ204" i="17"/>
  <c r="AQ13" i="17" s="1"/>
  <c r="AV204" i="17"/>
  <c r="AV13" i="17" s="1"/>
  <c r="AR204" i="17"/>
  <c r="AR13" i="17" s="1"/>
  <c r="AW204" i="17"/>
  <c r="AW13" i="17" s="1"/>
  <c r="AT204" i="17"/>
  <c r="AT13" i="17" s="1"/>
  <c r="AY204" i="17"/>
  <c r="AY13" i="17" s="1"/>
  <c r="AQ191" i="17"/>
  <c r="P6" i="32" s="1"/>
  <c r="AV191" i="17"/>
  <c r="U6" i="32" s="1"/>
  <c r="AT191" i="17"/>
  <c r="S6" i="32" s="1"/>
  <c r="AY191" i="17"/>
  <c r="X6" i="32" s="1"/>
  <c r="AR191" i="17"/>
  <c r="Q6" i="32" s="1"/>
  <c r="AW191" i="17"/>
  <c r="V6" i="32" s="1"/>
  <c r="AT197" i="17"/>
  <c r="AY197" i="17"/>
  <c r="P21" i="32"/>
  <c r="V21" i="32"/>
  <c r="Q21" i="32"/>
  <c r="AQ142" i="17"/>
  <c r="P4" i="32" s="1"/>
  <c r="AR142" i="17"/>
  <c r="Q4" i="32" s="1"/>
  <c r="AT142" i="17"/>
  <c r="S4" i="32" s="1"/>
  <c r="AV142" i="17"/>
  <c r="U4" i="32" s="1"/>
  <c r="AY142" i="17"/>
  <c r="X4" i="32" s="1"/>
  <c r="AW142" i="17"/>
  <c r="V4" i="32" s="1"/>
  <c r="BI166" i="17" l="1"/>
  <c r="BI11" i="17" s="1"/>
  <c r="AY83" i="17"/>
  <c r="AY8" i="17" s="1"/>
  <c r="BF35" i="17"/>
  <c r="BF7" i="17" s="1"/>
  <c r="BG83" i="17"/>
  <c r="BG84" i="17" s="1"/>
  <c r="AW83" i="17"/>
  <c r="AW8" i="17" s="1"/>
  <c r="BB83" i="17"/>
  <c r="BB8" i="17" s="1"/>
  <c r="BH166" i="17"/>
  <c r="BH11" i="17" s="1"/>
  <c r="BH14" i="17" s="1"/>
  <c r="AN16" i="17"/>
  <c r="AN18" i="17" s="1"/>
  <c r="BE16" i="17"/>
  <c r="BE18" i="17" s="1"/>
  <c r="BD83" i="17"/>
  <c r="BD84" i="17" s="1"/>
  <c r="AV35" i="17"/>
  <c r="AV36" i="17" s="1"/>
  <c r="BC83" i="17"/>
  <c r="BC84" i="17" s="1"/>
  <c r="AK14" i="17"/>
  <c r="AK16" i="17" s="1"/>
  <c r="AK18" i="17" s="1"/>
  <c r="AQ83" i="17"/>
  <c r="AQ8" i="17" s="1"/>
  <c r="BA83" i="17"/>
  <c r="BA8" i="17" s="1"/>
  <c r="AX14" i="17"/>
  <c r="AX16" i="17" s="1"/>
  <c r="AX18" i="17" s="1"/>
  <c r="AR35" i="17"/>
  <c r="AR7" i="17" s="1"/>
  <c r="BF83" i="17"/>
  <c r="BF8" i="17" s="1"/>
  <c r="BI83" i="17"/>
  <c r="BI8" i="17" s="1"/>
  <c r="BI14" i="17" s="1"/>
  <c r="BJ16" i="17"/>
  <c r="BJ18" i="17" s="1"/>
  <c r="AU16" i="17"/>
  <c r="AU18" i="17" s="1"/>
  <c r="AS16" i="17"/>
  <c r="AS18" i="17" s="1"/>
  <c r="AP16" i="17"/>
  <c r="AP18" i="17" s="1"/>
  <c r="AL36" i="17"/>
  <c r="AL7" i="17"/>
  <c r="AT35" i="17"/>
  <c r="AT7" i="17" s="1"/>
  <c r="BG8" i="17"/>
  <c r="AZ14" i="17"/>
  <c r="AZ16" i="17" s="1"/>
  <c r="AV83" i="17"/>
  <c r="AQ35" i="17"/>
  <c r="AQ7" i="17" s="1"/>
  <c r="BD166" i="17"/>
  <c r="BD11" i="17" s="1"/>
  <c r="BB35" i="17"/>
  <c r="BB7" i="17" s="1"/>
  <c r="AW36" i="17"/>
  <c r="AW7" i="17"/>
  <c r="AL8" i="17"/>
  <c r="AL84" i="17"/>
  <c r="BG166" i="17"/>
  <c r="BG11" i="17" s="1"/>
  <c r="BF166" i="17"/>
  <c r="BF11" i="17" s="1"/>
  <c r="BC166" i="17"/>
  <c r="BC11" i="17" s="1"/>
  <c r="BB166" i="17"/>
  <c r="BB11" i="17" s="1"/>
  <c r="BA166" i="17"/>
  <c r="BA11" i="17" s="1"/>
  <c r="X42" i="32"/>
  <c r="AY9" i="17"/>
  <c r="V42" i="32"/>
  <c r="AW9" i="17"/>
  <c r="U42" i="32"/>
  <c r="AV9" i="17"/>
  <c r="S42" i="32"/>
  <c r="AT9" i="17"/>
  <c r="Q42" i="32"/>
  <c r="AR9" i="17"/>
  <c r="P42" i="32"/>
  <c r="AQ9" i="17"/>
  <c r="AM84" i="17"/>
  <c r="AY84" i="17"/>
  <c r="BH84" i="17"/>
  <c r="BB84" i="17"/>
  <c r="AT84" i="17"/>
  <c r="AR84" i="17"/>
  <c r="BA35" i="17"/>
  <c r="BD35" i="17"/>
  <c r="BD7" i="17" s="1"/>
  <c r="BH36" i="17"/>
  <c r="BI36" i="17"/>
  <c r="BC36" i="17"/>
  <c r="AY36" i="17"/>
  <c r="BG36" i="17"/>
  <c r="D35" i="30"/>
  <c r="AW149" i="17"/>
  <c r="AW10" i="17" s="1"/>
  <c r="V3" i="32"/>
  <c r="AY149" i="17"/>
  <c r="AY10" i="17" s="1"/>
  <c r="X3" i="32"/>
  <c r="AV149" i="17"/>
  <c r="AV10" i="17" s="1"/>
  <c r="U3" i="32"/>
  <c r="AT149" i="17"/>
  <c r="AT10" i="17" s="1"/>
  <c r="S3" i="32"/>
  <c r="D34" i="30"/>
  <c r="E100" i="26" s="1"/>
  <c r="AQ149" i="17"/>
  <c r="AQ10" i="17" s="1"/>
  <c r="P3" i="32"/>
  <c r="AR149" i="17"/>
  <c r="AR10" i="17" s="1"/>
  <c r="Q3" i="32"/>
  <c r="AQ198" i="17"/>
  <c r="AQ12" i="17" s="1"/>
  <c r="AY198" i="17"/>
  <c r="AY12" i="17" s="1"/>
  <c r="AT198" i="17"/>
  <c r="AT12" i="17" s="1"/>
  <c r="AV198" i="17"/>
  <c r="AV12" i="17" s="1"/>
  <c r="AW198" i="17"/>
  <c r="AW12" i="17" s="1"/>
  <c r="AR198" i="17"/>
  <c r="AR12" i="17" s="1"/>
  <c r="BF36" i="17" l="1"/>
  <c r="BI84" i="17"/>
  <c r="AV7" i="17"/>
  <c r="BC8" i="17"/>
  <c r="BC14" i="17" s="1"/>
  <c r="BC16" i="17" s="1"/>
  <c r="BC18" i="17" s="1"/>
  <c r="AW84" i="17"/>
  <c r="BD8" i="17"/>
  <c r="AQ84" i="17"/>
  <c r="BD36" i="17"/>
  <c r="BF84" i="17"/>
  <c r="BA84" i="17"/>
  <c r="BI16" i="17"/>
  <c r="BI18" i="17" s="1"/>
  <c r="BD14" i="17"/>
  <c r="BB14" i="17"/>
  <c r="BF14" i="17"/>
  <c r="AR36" i="17"/>
  <c r="BG14" i="17"/>
  <c r="BG16" i="17" s="1"/>
  <c r="BG18" i="17" s="1"/>
  <c r="BH16" i="17"/>
  <c r="BH18" i="17" s="1"/>
  <c r="AZ18" i="17"/>
  <c r="D3" i="21"/>
  <c r="E3" i="26"/>
  <c r="BB36" i="17"/>
  <c r="AQ36" i="17"/>
  <c r="AV84" i="17"/>
  <c r="AV8" i="17"/>
  <c r="BA36" i="17"/>
  <c r="BA7" i="17"/>
  <c r="BA14" i="17" s="1"/>
  <c r="AT36" i="17"/>
  <c r="D43" i="24"/>
  <c r="AO128" i="29"/>
  <c r="AO127" i="29"/>
  <c r="AO126" i="29"/>
  <c r="AO125" i="29"/>
  <c r="AO121" i="29"/>
  <c r="AO120" i="29"/>
  <c r="AO119" i="29"/>
  <c r="AO118" i="29"/>
  <c r="AO117" i="29"/>
  <c r="AO95" i="29"/>
  <c r="AO86" i="29"/>
  <c r="AO85" i="29"/>
  <c r="AO84" i="29"/>
  <c r="AO83" i="29"/>
  <c r="AO82" i="29"/>
  <c r="AO80" i="29"/>
  <c r="AO79" i="29"/>
  <c r="AO78" i="29"/>
  <c r="AO77" i="29"/>
  <c r="AO71" i="29"/>
  <c r="AO70" i="29"/>
  <c r="AO69" i="29"/>
  <c r="AO68" i="29"/>
  <c r="AO67" i="29"/>
  <c r="AO62" i="29"/>
  <c r="AO61" i="29"/>
  <c r="AO60" i="29"/>
  <c r="AO59" i="29"/>
  <c r="AO46" i="29"/>
  <c r="AO45" i="29"/>
  <c r="AO44" i="29"/>
  <c r="AO43" i="29"/>
  <c r="AO42" i="29"/>
  <c r="AO41" i="29"/>
  <c r="AO40" i="29"/>
  <c r="AO39" i="29"/>
  <c r="AO38" i="29"/>
  <c r="AO25" i="29"/>
  <c r="AO34" i="29" s="1"/>
  <c r="AO15" i="29"/>
  <c r="AO14" i="29"/>
  <c r="AO13" i="29"/>
  <c r="AO12" i="29"/>
  <c r="AO11" i="29"/>
  <c r="AO10" i="29"/>
  <c r="AO9" i="29"/>
  <c r="AO8" i="29"/>
  <c r="AO7" i="29"/>
  <c r="AO25" i="28"/>
  <c r="AO26" i="28"/>
  <c r="AO27" i="28"/>
  <c r="AO28" i="28"/>
  <c r="AO29" i="28"/>
  <c r="AO30" i="28"/>
  <c r="AO31" i="28"/>
  <c r="AO32" i="28"/>
  <c r="AO33" i="28"/>
  <c r="AO140" i="28"/>
  <c r="AO139" i="28"/>
  <c r="AO138" i="28"/>
  <c r="AO137" i="28"/>
  <c r="AO136" i="28"/>
  <c r="AO135" i="28"/>
  <c r="AO134" i="28"/>
  <c r="AO133" i="28"/>
  <c r="AO86" i="28"/>
  <c r="AO85" i="28"/>
  <c r="AO84" i="28"/>
  <c r="AO83" i="28"/>
  <c r="AO82" i="28"/>
  <c r="AO80" i="28"/>
  <c r="AO79" i="28"/>
  <c r="AO78" i="28"/>
  <c r="AO77" i="28"/>
  <c r="AO71" i="28"/>
  <c r="AO70" i="28"/>
  <c r="AO69" i="28"/>
  <c r="AO68" i="28"/>
  <c r="AO67" i="28"/>
  <c r="AO65" i="28"/>
  <c r="AO64" i="28"/>
  <c r="AO63" i="28"/>
  <c r="AO62" i="28"/>
  <c r="AO61" i="28"/>
  <c r="AO60" i="28"/>
  <c r="AO59" i="28"/>
  <c r="AO54" i="28"/>
  <c r="AO53" i="28"/>
  <c r="AO52" i="28"/>
  <c r="AO51" i="28"/>
  <c r="AO46" i="28"/>
  <c r="AO45" i="28"/>
  <c r="AO44" i="28"/>
  <c r="AO43" i="28"/>
  <c r="AO42" i="28"/>
  <c r="AO41" i="28"/>
  <c r="AO40" i="28"/>
  <c r="AO39" i="28"/>
  <c r="AO38" i="28"/>
  <c r="AO15" i="28"/>
  <c r="AO17" i="28" s="1"/>
  <c r="AO86" i="27"/>
  <c r="AO85" i="27"/>
  <c r="AO84" i="27"/>
  <c r="AO83" i="27"/>
  <c r="AO82" i="27"/>
  <c r="AO80" i="27"/>
  <c r="AO79" i="27"/>
  <c r="AO78" i="27"/>
  <c r="AO77" i="27"/>
  <c r="AO71" i="27"/>
  <c r="AO70" i="27"/>
  <c r="AO69" i="27"/>
  <c r="AO68" i="27"/>
  <c r="AO67" i="27"/>
  <c r="AO65" i="27"/>
  <c r="AO64" i="27"/>
  <c r="AO63" i="27"/>
  <c r="AO62" i="27"/>
  <c r="AO61" i="27"/>
  <c r="AO60" i="27"/>
  <c r="AO59" i="27"/>
  <c r="AO54" i="27"/>
  <c r="AO53" i="27"/>
  <c r="AO52" i="27"/>
  <c r="AO51" i="27"/>
  <c r="AO46" i="27"/>
  <c r="AO45" i="27"/>
  <c r="AO44" i="27"/>
  <c r="AO43" i="27"/>
  <c r="AO42" i="27"/>
  <c r="AO41" i="27"/>
  <c r="AO40" i="27"/>
  <c r="AO39" i="27"/>
  <c r="AO38" i="27"/>
  <c r="AO32" i="27"/>
  <c r="AO31" i="27"/>
  <c r="AO30" i="27"/>
  <c r="AO29" i="27"/>
  <c r="AO28" i="27"/>
  <c r="AO27" i="27"/>
  <c r="AO26" i="27"/>
  <c r="AO25" i="27"/>
  <c r="D2" i="21"/>
  <c r="E2" i="22"/>
  <c r="AA79" i="17"/>
  <c r="AB79" i="17"/>
  <c r="AC79" i="17"/>
  <c r="AD79" i="17"/>
  <c r="AA78" i="17"/>
  <c r="AB78" i="17"/>
  <c r="AC78" i="17"/>
  <c r="AD78" i="17"/>
  <c r="AA76" i="17"/>
  <c r="AB76" i="17"/>
  <c r="AC76" i="17"/>
  <c r="AD76" i="17"/>
  <c r="AA73" i="17"/>
  <c r="AB73" i="17"/>
  <c r="AC73" i="17"/>
  <c r="AD73" i="17"/>
  <c r="AA69" i="17"/>
  <c r="AB69" i="17"/>
  <c r="AC69" i="17"/>
  <c r="AD69" i="17"/>
  <c r="AA68" i="17"/>
  <c r="AB68" i="17"/>
  <c r="AC68" i="17"/>
  <c r="AD68" i="17"/>
  <c r="D90" i="24"/>
  <c r="D88" i="24"/>
  <c r="D87" i="24"/>
  <c r="D86" i="24"/>
  <c r="D85" i="24"/>
  <c r="D84" i="24"/>
  <c r="D83" i="24"/>
  <c r="D82" i="24"/>
  <c r="D81" i="24"/>
  <c r="D77" i="24"/>
  <c r="D74" i="24"/>
  <c r="D73" i="24"/>
  <c r="D72" i="24"/>
  <c r="D71" i="24"/>
  <c r="D67" i="24"/>
  <c r="D66" i="24"/>
  <c r="D65" i="24"/>
  <c r="D64" i="24"/>
  <c r="D63" i="24"/>
  <c r="D60" i="24"/>
  <c r="D59" i="24"/>
  <c r="D57" i="24"/>
  <c r="D56" i="24"/>
  <c r="D55" i="24"/>
  <c r="D53" i="24"/>
  <c r="D52" i="24"/>
  <c r="D51" i="24"/>
  <c r="D48" i="24"/>
  <c r="D47" i="24"/>
  <c r="D46" i="24"/>
  <c r="D45" i="24"/>
  <c r="D44" i="24"/>
  <c r="D42" i="24"/>
  <c r="D40" i="24"/>
  <c r="D34" i="24"/>
  <c r="D32" i="24"/>
  <c r="D30" i="24"/>
  <c r="D28" i="24"/>
  <c r="D26" i="24"/>
  <c r="D25" i="24"/>
  <c r="D23" i="24"/>
  <c r="D22" i="24"/>
  <c r="D21" i="24"/>
  <c r="D18" i="24"/>
  <c r="D17" i="24"/>
  <c r="D13" i="24"/>
  <c r="D12" i="24"/>
  <c r="D11" i="24"/>
  <c r="D10" i="24"/>
  <c r="D3" i="24"/>
  <c r="D8" i="16"/>
  <c r="C8" i="16"/>
  <c r="D8" i="14"/>
  <c r="C8" i="14"/>
  <c r="C69" i="14" s="1"/>
  <c r="AM215" i="17"/>
  <c r="AM214" i="17"/>
  <c r="AM213" i="17"/>
  <c r="AM212" i="17"/>
  <c r="AM211" i="17"/>
  <c r="AM210" i="17"/>
  <c r="AM209" i="17"/>
  <c r="AM208" i="17"/>
  <c r="AO215" i="17"/>
  <c r="AO214" i="17"/>
  <c r="AO213" i="17"/>
  <c r="AO212" i="17"/>
  <c r="AO211" i="17"/>
  <c r="AO210" i="17"/>
  <c r="AO209" i="17"/>
  <c r="AO208" i="17"/>
  <c r="AO203" i="17"/>
  <c r="AO202" i="17"/>
  <c r="N12" i="32" s="1"/>
  <c r="AO201" i="17"/>
  <c r="AO200" i="17"/>
  <c r="AM203" i="17"/>
  <c r="AM201" i="17"/>
  <c r="AM200" i="17"/>
  <c r="AM195" i="17"/>
  <c r="AM194" i="17"/>
  <c r="AM190" i="17"/>
  <c r="AM189" i="17"/>
  <c r="AM188" i="17"/>
  <c r="AO196" i="17"/>
  <c r="N11" i="32" s="1"/>
  <c r="AO195" i="17"/>
  <c r="AO194" i="17"/>
  <c r="AO193" i="17"/>
  <c r="N17" i="32" s="1"/>
  <c r="AO192" i="17"/>
  <c r="N10" i="32" s="1"/>
  <c r="N16" i="32" s="1"/>
  <c r="AO190" i="17"/>
  <c r="AO189" i="17"/>
  <c r="AO188" i="17"/>
  <c r="AM175" i="17"/>
  <c r="AM176" i="17"/>
  <c r="AM177" i="17"/>
  <c r="AM178" i="17"/>
  <c r="AM179" i="17"/>
  <c r="AM181" i="17"/>
  <c r="AM174" i="17"/>
  <c r="AM173" i="17"/>
  <c r="AM172" i="17"/>
  <c r="AM171" i="17"/>
  <c r="AM170" i="17"/>
  <c r="AO181" i="17"/>
  <c r="AO179" i="17"/>
  <c r="AO178" i="17"/>
  <c r="AO177" i="17"/>
  <c r="AO176" i="17"/>
  <c r="AO175" i="17"/>
  <c r="AO174" i="17"/>
  <c r="AO173" i="17"/>
  <c r="AO172" i="17"/>
  <c r="AO171" i="17"/>
  <c r="AO170" i="17"/>
  <c r="AO162" i="17"/>
  <c r="AO161" i="17"/>
  <c r="AO160" i="17"/>
  <c r="AO159" i="17"/>
  <c r="AO158" i="17"/>
  <c r="L20" i="32"/>
  <c r="K20" i="32"/>
  <c r="L19" i="32"/>
  <c r="K19" i="32"/>
  <c r="AO156" i="17"/>
  <c r="AO155" i="17"/>
  <c r="N20" i="32" s="1"/>
  <c r="AO154" i="17"/>
  <c r="N19" i="32" s="1"/>
  <c r="AO153" i="17"/>
  <c r="AO147" i="17"/>
  <c r="AO146" i="17"/>
  <c r="AO145" i="17"/>
  <c r="AO144" i="17"/>
  <c r="AO143" i="17"/>
  <c r="AM141" i="17"/>
  <c r="AO141" i="17"/>
  <c r="AO140" i="17"/>
  <c r="AO139" i="17"/>
  <c r="AO138" i="17"/>
  <c r="AO137" i="17"/>
  <c r="AO136" i="17"/>
  <c r="AO135" i="17"/>
  <c r="L43" i="32"/>
  <c r="K43" i="32"/>
  <c r="L41" i="32"/>
  <c r="K41" i="32"/>
  <c r="AO130" i="17"/>
  <c r="N43" i="32" s="1"/>
  <c r="AO129" i="17"/>
  <c r="AO128" i="17"/>
  <c r="AO127" i="17"/>
  <c r="N41" i="32" s="1"/>
  <c r="AO81" i="17"/>
  <c r="N38" i="32" s="1"/>
  <c r="AO80" i="17"/>
  <c r="N27" i="32" s="1"/>
  <c r="AO77" i="17"/>
  <c r="N36" i="32" s="1"/>
  <c r="AO75" i="17"/>
  <c r="AO74" i="17"/>
  <c r="AO72" i="17"/>
  <c r="N39" i="32" s="1"/>
  <c r="AO71" i="17"/>
  <c r="N35" i="32" s="1"/>
  <c r="AO70" i="17"/>
  <c r="N40" i="32" s="1"/>
  <c r="AO67" i="17"/>
  <c r="L38" i="32"/>
  <c r="K38" i="32"/>
  <c r="L27" i="32"/>
  <c r="K27" i="32"/>
  <c r="L36" i="32"/>
  <c r="K36" i="32"/>
  <c r="L39" i="32"/>
  <c r="K39" i="32"/>
  <c r="L35" i="32"/>
  <c r="K35" i="32"/>
  <c r="L40" i="32"/>
  <c r="K40" i="32"/>
  <c r="L34" i="32"/>
  <c r="K34" i="32"/>
  <c r="L49" i="32"/>
  <c r="K49" i="32"/>
  <c r="L48" i="32"/>
  <c r="K48" i="32"/>
  <c r="L47" i="32"/>
  <c r="K47" i="32"/>
  <c r="L46" i="32"/>
  <c r="K46" i="32"/>
  <c r="L45" i="32"/>
  <c r="K45" i="32"/>
  <c r="AO33" i="17"/>
  <c r="N49" i="32" s="1"/>
  <c r="AO32" i="17"/>
  <c r="AO31" i="17"/>
  <c r="N48" i="32" s="1"/>
  <c r="AO30" i="17"/>
  <c r="AO29" i="17"/>
  <c r="AO28" i="17"/>
  <c r="N47" i="32" s="1"/>
  <c r="AO27" i="17"/>
  <c r="N46" i="32" s="1"/>
  <c r="AO26" i="17"/>
  <c r="N45" i="32" s="1"/>
  <c r="AO25" i="17"/>
  <c r="D8" i="12"/>
  <c r="C8" i="12"/>
  <c r="C98" i="12" s="1"/>
  <c r="D8" i="13"/>
  <c r="C8" i="13"/>
  <c r="D8" i="11"/>
  <c r="C8" i="11"/>
  <c r="D8" i="10"/>
  <c r="D13" i="10" s="1"/>
  <c r="C8" i="10"/>
  <c r="C13" i="10" s="1"/>
  <c r="D16" i="9"/>
  <c r="C16" i="9"/>
  <c r="D9" i="9"/>
  <c r="C9" i="9"/>
  <c r="D98" i="12" l="1"/>
  <c r="D41" i="12"/>
  <c r="D53" i="12"/>
  <c r="D49" i="12"/>
  <c r="D69" i="12"/>
  <c r="D37" i="12"/>
  <c r="D61" i="12"/>
  <c r="D57" i="12"/>
  <c r="D45" i="12"/>
  <c r="D65" i="12"/>
  <c r="D33" i="12"/>
  <c r="D25" i="12"/>
  <c r="D21" i="12"/>
  <c r="D17" i="12"/>
  <c r="D13" i="12"/>
  <c r="D29" i="12"/>
  <c r="D69" i="14"/>
  <c r="D45" i="14"/>
  <c r="D13" i="14"/>
  <c r="D29" i="14"/>
  <c r="D17" i="14"/>
  <c r="D41" i="14"/>
  <c r="D25" i="14"/>
  <c r="D21" i="14"/>
  <c r="D37" i="14"/>
  <c r="D33" i="14"/>
  <c r="BF16" i="17"/>
  <c r="BF18" i="17" s="1"/>
  <c r="AM216" i="17"/>
  <c r="BD16" i="17"/>
  <c r="BD18" i="17" s="1"/>
  <c r="AO216" i="17"/>
  <c r="BB16" i="17"/>
  <c r="BB18" i="17" s="1"/>
  <c r="BA16" i="17"/>
  <c r="BA18" i="17" s="1"/>
  <c r="K11" i="32"/>
  <c r="AM196" i="17"/>
  <c r="L11" i="32" s="1"/>
  <c r="AO148" i="17"/>
  <c r="N5" i="32" s="1"/>
  <c r="N34" i="32"/>
  <c r="AO82" i="17"/>
  <c r="AO83" i="17" s="1"/>
  <c r="K12" i="32"/>
  <c r="AM202" i="17"/>
  <c r="L12" i="32" s="1"/>
  <c r="K17" i="32"/>
  <c r="AM193" i="17"/>
  <c r="L17" i="32" s="1"/>
  <c r="K10" i="32"/>
  <c r="K16" i="32" s="1"/>
  <c r="AM192" i="17"/>
  <c r="L10" i="32" s="1"/>
  <c r="L16" i="32" s="1"/>
  <c r="AO87" i="27"/>
  <c r="AO81" i="29"/>
  <c r="AO17" i="29"/>
  <c r="AO141" i="28"/>
  <c r="AO157" i="17"/>
  <c r="N22" i="32"/>
  <c r="AO163" i="17"/>
  <c r="N21" i="32" s="1"/>
  <c r="AO34" i="17"/>
  <c r="AO35" i="17" s="1"/>
  <c r="AM34" i="17"/>
  <c r="L22" i="32"/>
  <c r="AM163" i="17"/>
  <c r="L21" i="32" s="1"/>
  <c r="K22" i="32"/>
  <c r="AM157" i="17"/>
  <c r="AO34" i="27"/>
  <c r="N50" i="32"/>
  <c r="N44" i="32"/>
  <c r="N51" i="32"/>
  <c r="L15" i="32"/>
  <c r="K15" i="32"/>
  <c r="N18" i="32"/>
  <c r="N23" i="32"/>
  <c r="N8" i="32"/>
  <c r="K50" i="32"/>
  <c r="K44" i="32"/>
  <c r="K51" i="32"/>
  <c r="L50" i="32"/>
  <c r="L44" i="32"/>
  <c r="L51" i="32"/>
  <c r="K18" i="32"/>
  <c r="K23" i="32"/>
  <c r="L18" i="32"/>
  <c r="L23" i="32"/>
  <c r="C54" i="13"/>
  <c r="B36" i="13"/>
  <c r="B32" i="13"/>
  <c r="C35" i="13"/>
  <c r="C108" i="12"/>
  <c r="C109" i="12"/>
  <c r="C100" i="12"/>
  <c r="C105" i="12"/>
  <c r="C107" i="12"/>
  <c r="B59" i="11"/>
  <c r="B63" i="11"/>
  <c r="D101" i="12"/>
  <c r="D103" i="12"/>
  <c r="D102" i="12"/>
  <c r="D104" i="12"/>
  <c r="D99" i="12"/>
  <c r="D106" i="12"/>
  <c r="D109" i="12"/>
  <c r="D72" i="14"/>
  <c r="D70" i="14"/>
  <c r="D73" i="14"/>
  <c r="D71" i="14"/>
  <c r="D74" i="14"/>
  <c r="C72" i="14"/>
  <c r="C73" i="14"/>
  <c r="C74" i="14"/>
  <c r="C71" i="14"/>
  <c r="C70" i="14"/>
  <c r="C128" i="9"/>
  <c r="C129" i="9"/>
  <c r="L14" i="32"/>
  <c r="N14" i="32"/>
  <c r="N13" i="32"/>
  <c r="K13" i="32"/>
  <c r="K14" i="32"/>
  <c r="K7" i="32"/>
  <c r="N7" i="32"/>
  <c r="L7" i="32"/>
  <c r="K37" i="32"/>
  <c r="K28" i="32"/>
  <c r="N37" i="32"/>
  <c r="N28" i="32"/>
  <c r="L37" i="32"/>
  <c r="L28" i="32"/>
  <c r="N15" i="32"/>
  <c r="K8" i="32"/>
  <c r="L8" i="32"/>
  <c r="D88" i="9"/>
  <c r="D84" i="9"/>
  <c r="D36" i="11"/>
  <c r="B60" i="11"/>
  <c r="B64" i="11"/>
  <c r="D67" i="9"/>
  <c r="D74" i="9" s="1"/>
  <c r="D129" i="9"/>
  <c r="D128" i="9"/>
  <c r="D127" i="9"/>
  <c r="D35" i="13"/>
  <c r="D31" i="13"/>
  <c r="B37" i="13"/>
  <c r="D29" i="13"/>
  <c r="D54" i="13" s="1"/>
  <c r="D108" i="12"/>
  <c r="D100" i="12"/>
  <c r="D105" i="12"/>
  <c r="D107" i="12"/>
  <c r="D127" i="10"/>
  <c r="D133" i="10"/>
  <c r="D129" i="10"/>
  <c r="D125" i="10"/>
  <c r="D130" i="10"/>
  <c r="D124" i="10"/>
  <c r="D128" i="10"/>
  <c r="D131" i="10"/>
  <c r="D126" i="10"/>
  <c r="D132" i="10"/>
  <c r="D134" i="10"/>
  <c r="C31" i="13"/>
  <c r="C29" i="13"/>
  <c r="C37" i="14"/>
  <c r="C41" i="14"/>
  <c r="C21" i="14"/>
  <c r="C17" i="14"/>
  <c r="C25" i="14"/>
  <c r="C13" i="14"/>
  <c r="C9" i="14"/>
  <c r="C45" i="14"/>
  <c r="C33" i="14"/>
  <c r="C29" i="14"/>
  <c r="C67" i="9"/>
  <c r="C74" i="9" s="1"/>
  <c r="C127" i="9"/>
  <c r="C29" i="16"/>
  <c r="C25" i="16"/>
  <c r="C21" i="16"/>
  <c r="C17" i="16"/>
  <c r="C13" i="16"/>
  <c r="C33" i="16"/>
  <c r="C84" i="9"/>
  <c r="C76" i="9"/>
  <c r="B90" i="9"/>
  <c r="B86" i="9"/>
  <c r="C88" i="9"/>
  <c r="C133" i="10"/>
  <c r="C134" i="10"/>
  <c r="C130" i="10"/>
  <c r="C125" i="10"/>
  <c r="C126" i="10"/>
  <c r="C127" i="10"/>
  <c r="C128" i="10"/>
  <c r="C129" i="10"/>
  <c r="C131" i="10"/>
  <c r="C132" i="10"/>
  <c r="B81" i="10"/>
  <c r="C124" i="10"/>
  <c r="C80" i="10"/>
  <c r="B85" i="10"/>
  <c r="C84" i="10"/>
  <c r="D84" i="10"/>
  <c r="B86" i="10"/>
  <c r="D80" i="10"/>
  <c r="C25" i="13"/>
  <c r="C21" i="13"/>
  <c r="C17" i="13"/>
  <c r="C13" i="13"/>
  <c r="C80" i="9"/>
  <c r="B82" i="9"/>
  <c r="D76" i="9"/>
  <c r="B78" i="9"/>
  <c r="D80" i="9"/>
  <c r="C27" i="9"/>
  <c r="C59" i="9"/>
  <c r="C55" i="9"/>
  <c r="C31" i="9"/>
  <c r="C51" i="9"/>
  <c r="C47" i="9"/>
  <c r="C43" i="9"/>
  <c r="C23" i="9"/>
  <c r="C19" i="9"/>
  <c r="C17" i="12"/>
  <c r="C37" i="12"/>
  <c r="C49" i="12"/>
  <c r="C13" i="12"/>
  <c r="C57" i="12"/>
  <c r="C21" i="12"/>
  <c r="C69" i="12"/>
  <c r="C65" i="12"/>
  <c r="C61" i="12"/>
  <c r="C53" i="12"/>
  <c r="C45" i="12"/>
  <c r="C41" i="12"/>
  <c r="C33" i="12"/>
  <c r="C29" i="12"/>
  <c r="C25" i="12"/>
  <c r="D14" i="11"/>
  <c r="D52" i="11" s="1"/>
  <c r="B82" i="10"/>
  <c r="C74" i="10"/>
  <c r="C70" i="10"/>
  <c r="C31" i="10"/>
  <c r="C62" i="10"/>
  <c r="C58" i="10"/>
  <c r="C54" i="10"/>
  <c r="C43" i="10"/>
  <c r="C39" i="10"/>
  <c r="C23" i="10"/>
  <c r="C19" i="10"/>
  <c r="C27" i="10"/>
  <c r="D58" i="10"/>
  <c r="D23" i="10"/>
  <c r="D54" i="10"/>
  <c r="D19" i="10"/>
  <c r="D70" i="10"/>
  <c r="D39" i="10"/>
  <c r="D31" i="10"/>
  <c r="D27" i="10"/>
  <c r="D43" i="10"/>
  <c r="D74" i="10"/>
  <c r="D62" i="10"/>
  <c r="D25" i="13"/>
  <c r="D17" i="13"/>
  <c r="D13" i="13"/>
  <c r="D21" i="13"/>
  <c r="D47" i="9"/>
  <c r="D55" i="9"/>
  <c r="D27" i="9"/>
  <c r="D23" i="9"/>
  <c r="D51" i="9"/>
  <c r="D19" i="9"/>
  <c r="D43" i="9"/>
  <c r="D31" i="9"/>
  <c r="D59" i="9"/>
  <c r="D33" i="16"/>
  <c r="D29" i="16"/>
  <c r="D25" i="16"/>
  <c r="D17" i="16"/>
  <c r="D13" i="16"/>
  <c r="D21" i="16"/>
  <c r="D50" i="11"/>
  <c r="D56" i="11" s="1"/>
  <c r="D89" i="11" s="1"/>
  <c r="B70" i="11"/>
  <c r="AM184" i="17"/>
  <c r="AO122" i="29"/>
  <c r="AO129" i="29"/>
  <c r="AO66" i="29"/>
  <c r="AO73" i="29" s="1"/>
  <c r="AO81" i="28"/>
  <c r="AO47" i="28"/>
  <c r="AO87" i="28"/>
  <c r="AO55" i="27"/>
  <c r="AO81" i="27"/>
  <c r="AO47" i="27"/>
  <c r="AO66" i="27"/>
  <c r="AO73" i="27" s="1"/>
  <c r="K21" i="32"/>
  <c r="AM17" i="17"/>
  <c r="AO17" i="17"/>
  <c r="AO197" i="17"/>
  <c r="AL216" i="17"/>
  <c r="AL17" i="17" s="1"/>
  <c r="AO184" i="17"/>
  <c r="AM131" i="17"/>
  <c r="AO142" i="17"/>
  <c r="N4" i="32" s="1"/>
  <c r="K4" i="32"/>
  <c r="AL13" i="17"/>
  <c r="AO34" i="28"/>
  <c r="AO47" i="29"/>
  <c r="B23" i="13"/>
  <c r="AO131" i="17"/>
  <c r="AO129" i="27"/>
  <c r="AO55" i="28"/>
  <c r="AO66" i="28"/>
  <c r="AO73" i="28" s="1"/>
  <c r="AM116" i="28"/>
  <c r="AO116" i="28"/>
  <c r="AO116" i="29"/>
  <c r="AO204" i="17"/>
  <c r="AO13" i="17" s="1"/>
  <c r="AO87" i="29"/>
  <c r="AM142" i="17"/>
  <c r="L4" i="32" s="1"/>
  <c r="AO90" i="28"/>
  <c r="AO88" i="28" s="1"/>
  <c r="D48" i="10"/>
  <c r="D78" i="10" s="1"/>
  <c r="D123" i="10" s="1"/>
  <c r="AO90" i="27"/>
  <c r="AO88" i="27" s="1"/>
  <c r="D40" i="9"/>
  <c r="B95" i="9"/>
  <c r="B22" i="13"/>
  <c r="B26" i="16"/>
  <c r="B34" i="16"/>
  <c r="B30" i="16"/>
  <c r="B18" i="13"/>
  <c r="B27" i="16"/>
  <c r="B19" i="16"/>
  <c r="B27" i="13"/>
  <c r="B31" i="16"/>
  <c r="B15" i="13"/>
  <c r="B31" i="12"/>
  <c r="B35" i="16"/>
  <c r="B11" i="16"/>
  <c r="B22" i="16"/>
  <c r="B11" i="13"/>
  <c r="B42" i="13"/>
  <c r="B14" i="13"/>
  <c r="B28" i="9"/>
  <c r="B10" i="12"/>
  <c r="B58" i="12"/>
  <c r="B15" i="12"/>
  <c r="B45" i="10"/>
  <c r="B64" i="10"/>
  <c r="B92" i="10"/>
  <c r="B76" i="10"/>
  <c r="B17" i="10"/>
  <c r="B21" i="10"/>
  <c r="B20" i="10"/>
  <c r="B29" i="10"/>
  <c r="B36" i="10"/>
  <c r="B33" i="10"/>
  <c r="B59" i="10"/>
  <c r="B63" i="10"/>
  <c r="B16" i="10"/>
  <c r="B21" i="9"/>
  <c r="B10" i="13"/>
  <c r="B35" i="12"/>
  <c r="B107" i="9"/>
  <c r="B42" i="12"/>
  <c r="B29" i="9"/>
  <c r="B26" i="13"/>
  <c r="B12" i="9"/>
  <c r="B53" i="9"/>
  <c r="B51" i="10"/>
  <c r="B37" i="10"/>
  <c r="B44" i="9"/>
  <c r="B72" i="10"/>
  <c r="B24" i="9"/>
  <c r="B45" i="9"/>
  <c r="B67" i="10"/>
  <c r="B28" i="10"/>
  <c r="B44" i="10"/>
  <c r="B56" i="10"/>
  <c r="B61" i="9"/>
  <c r="B55" i="10"/>
  <c r="B64" i="9"/>
  <c r="B72" i="9"/>
  <c r="B75" i="10"/>
  <c r="B52" i="10"/>
  <c r="B41" i="10"/>
  <c r="B40" i="10"/>
  <c r="B71" i="10"/>
  <c r="B60" i="10"/>
  <c r="C48" i="10"/>
  <c r="C78" i="10" s="1"/>
  <c r="C123" i="10" s="1"/>
  <c r="B109" i="10"/>
  <c r="B47" i="12"/>
  <c r="B19" i="14"/>
  <c r="B52" i="9"/>
  <c r="B49" i="9"/>
  <c r="B50" i="12"/>
  <c r="B34" i="12"/>
  <c r="B14" i="14"/>
  <c r="B35" i="14"/>
  <c r="B63" i="12"/>
  <c r="B39" i="14"/>
  <c r="B19" i="13"/>
  <c r="B22" i="12"/>
  <c r="B43" i="14"/>
  <c r="B66" i="12"/>
  <c r="B24" i="10"/>
  <c r="B68" i="10"/>
  <c r="B32" i="10"/>
  <c r="B54" i="12"/>
  <c r="B39" i="12"/>
  <c r="B30" i="12"/>
  <c r="B55" i="12"/>
  <c r="B76" i="12"/>
  <c r="B23" i="16"/>
  <c r="B15" i="16"/>
  <c r="B38" i="14"/>
  <c r="B11" i="14"/>
  <c r="B10" i="14"/>
  <c r="C40" i="9"/>
  <c r="B20" i="9"/>
  <c r="B36" i="9"/>
  <c r="B25" i="9"/>
  <c r="B65" i="9"/>
  <c r="C50" i="11"/>
  <c r="C56" i="11" s="1"/>
  <c r="C89" i="11" s="1"/>
  <c r="C36" i="11"/>
  <c r="B26" i="14"/>
  <c r="B23" i="14"/>
  <c r="B34" i="14"/>
  <c r="B47" i="14"/>
  <c r="B18" i="14"/>
  <c r="B18" i="12"/>
  <c r="B46" i="12"/>
  <c r="B14" i="12"/>
  <c r="B27" i="12"/>
  <c r="B14" i="16"/>
  <c r="B10" i="16"/>
  <c r="B42" i="14"/>
  <c r="B31" i="14"/>
  <c r="B27" i="14"/>
  <c r="B51" i="14"/>
  <c r="B56" i="9"/>
  <c r="B71" i="9"/>
  <c r="B33" i="9"/>
  <c r="B13" i="9"/>
  <c r="C14" i="11"/>
  <c r="B62" i="12"/>
  <c r="B43" i="12"/>
  <c r="B23" i="12"/>
  <c r="B11" i="12"/>
  <c r="B18" i="16"/>
  <c r="B15" i="14"/>
  <c r="B22" i="14"/>
  <c r="B48" i="9"/>
  <c r="B32" i="9"/>
  <c r="B57" i="9"/>
  <c r="B19" i="12"/>
  <c r="B26" i="12"/>
  <c r="B51" i="12"/>
  <c r="B59" i="12"/>
  <c r="B30" i="14"/>
  <c r="B46" i="14"/>
  <c r="B60" i="9"/>
  <c r="B37" i="9"/>
  <c r="B10" i="10"/>
  <c r="B25" i="10"/>
  <c r="B67" i="12"/>
  <c r="B71" i="12"/>
  <c r="B70" i="12"/>
  <c r="B38" i="12"/>
  <c r="AM204" i="17" l="1"/>
  <c r="AM13" i="17" s="1"/>
  <c r="AO36" i="17"/>
  <c r="AO7" i="17"/>
  <c r="AM197" i="17"/>
  <c r="L13" i="32"/>
  <c r="AO8" i="17"/>
  <c r="AO84" i="17"/>
  <c r="AO91" i="29"/>
  <c r="N42" i="32"/>
  <c r="AO9" i="17"/>
  <c r="AM35" i="17"/>
  <c r="AL166" i="17"/>
  <c r="AL11" i="17" s="1"/>
  <c r="K42" i="32"/>
  <c r="AL9" i="17"/>
  <c r="L42" i="32"/>
  <c r="AM9" i="17"/>
  <c r="D36" i="13"/>
  <c r="D31" i="16"/>
  <c r="D34" i="16"/>
  <c r="D70" i="21" s="1"/>
  <c r="D50" i="12"/>
  <c r="D15" i="21" s="1"/>
  <c r="D24" i="11"/>
  <c r="D42" i="11"/>
  <c r="D46" i="14"/>
  <c r="D63" i="21" s="1"/>
  <c r="D38" i="11"/>
  <c r="D20" i="11"/>
  <c r="D19" i="16"/>
  <c r="D18" i="16"/>
  <c r="D66" i="21" s="1"/>
  <c r="C56" i="13"/>
  <c r="C55" i="13"/>
  <c r="C57" i="13"/>
  <c r="D38" i="12"/>
  <c r="D13" i="21" s="1"/>
  <c r="D18" i="12"/>
  <c r="D28" i="11"/>
  <c r="C98" i="11"/>
  <c r="C96" i="11"/>
  <c r="C93" i="11"/>
  <c r="C92" i="11"/>
  <c r="C91" i="11"/>
  <c r="C97" i="11"/>
  <c r="C90" i="11"/>
  <c r="D32" i="11"/>
  <c r="D56" i="13"/>
  <c r="D55" i="13"/>
  <c r="D57" i="13"/>
  <c r="D98" i="11"/>
  <c r="D96" i="11"/>
  <c r="D90" i="11"/>
  <c r="D93" i="11"/>
  <c r="D92" i="11"/>
  <c r="D97" i="11"/>
  <c r="D91" i="11"/>
  <c r="C70" i="9"/>
  <c r="C11" i="9" s="1"/>
  <c r="C126" i="9"/>
  <c r="D70" i="9"/>
  <c r="D11" i="9" s="1"/>
  <c r="D126" i="9"/>
  <c r="AM191" i="17"/>
  <c r="L6" i="32" s="1"/>
  <c r="L9" i="32"/>
  <c r="AO191" i="17"/>
  <c r="N6" i="32" s="1"/>
  <c r="N9" i="32"/>
  <c r="AL10" i="17"/>
  <c r="K3" i="32"/>
  <c r="K6" i="32"/>
  <c r="K9" i="32"/>
  <c r="D81" i="10"/>
  <c r="AO149" i="17"/>
  <c r="AO10" i="17" s="1"/>
  <c r="N3" i="32"/>
  <c r="D27" i="16"/>
  <c r="AM149" i="17"/>
  <c r="AM10" i="17" s="1"/>
  <c r="L3" i="32"/>
  <c r="D62" i="11"/>
  <c r="D58" i="11"/>
  <c r="D86" i="9"/>
  <c r="D85" i="9"/>
  <c r="C58" i="11"/>
  <c r="C62" i="11"/>
  <c r="D58" i="12"/>
  <c r="E33" i="26" s="1"/>
  <c r="D90" i="9"/>
  <c r="D89" i="9"/>
  <c r="B33" i="13"/>
  <c r="D37" i="13"/>
  <c r="D33" i="13"/>
  <c r="D32" i="13"/>
  <c r="D82" i="10"/>
  <c r="D85" i="10"/>
  <c r="D86" i="10"/>
  <c r="D82" i="9"/>
  <c r="D81" i="9"/>
  <c r="D78" i="9"/>
  <c r="D77" i="9"/>
  <c r="D22" i="12"/>
  <c r="E23" i="26" s="1"/>
  <c r="D19" i="12"/>
  <c r="D39" i="12"/>
  <c r="C32" i="11"/>
  <c r="C28" i="11"/>
  <c r="C24" i="11"/>
  <c r="C20" i="11"/>
  <c r="C52" i="11"/>
  <c r="C38" i="11"/>
  <c r="C42" i="11"/>
  <c r="D51" i="12"/>
  <c r="D23" i="12"/>
  <c r="D59" i="12"/>
  <c r="D9" i="14"/>
  <c r="D11" i="14" s="1"/>
  <c r="AO91" i="27"/>
  <c r="AO123" i="29"/>
  <c r="D44" i="10"/>
  <c r="E57" i="26" s="1"/>
  <c r="D25" i="10"/>
  <c r="D9" i="16"/>
  <c r="D32" i="9"/>
  <c r="D23" i="13"/>
  <c r="D21" i="9"/>
  <c r="D28" i="10"/>
  <c r="D29" i="21" s="1"/>
  <c r="D9" i="12"/>
  <c r="D24" i="9"/>
  <c r="D60" i="9"/>
  <c r="D9" i="13"/>
  <c r="D27" i="12"/>
  <c r="D26" i="12"/>
  <c r="D63" i="9"/>
  <c r="D56" i="9"/>
  <c r="AO91" i="28"/>
  <c r="D35" i="10"/>
  <c r="D15" i="10" s="1"/>
  <c r="D35" i="9"/>
  <c r="D66" i="10"/>
  <c r="D50" i="10" s="1"/>
  <c r="D64" i="10"/>
  <c r="D26" i="16"/>
  <c r="D68" i="21" s="1"/>
  <c r="D61" i="9"/>
  <c r="D57" i="9"/>
  <c r="D22" i="13"/>
  <c r="D56" i="21" s="1"/>
  <c r="D35" i="16"/>
  <c r="D20" i="9"/>
  <c r="E89" i="26" s="1"/>
  <c r="D54" i="12"/>
  <c r="D55" i="12"/>
  <c r="D63" i="10"/>
  <c r="D37" i="21" s="1"/>
  <c r="D29" i="10"/>
  <c r="D27" i="13"/>
  <c r="D26" i="13"/>
  <c r="D45" i="10"/>
  <c r="D75" i="10"/>
  <c r="D76" i="10"/>
  <c r="D25" i="9"/>
  <c r="D56" i="10"/>
  <c r="D55" i="10"/>
  <c r="D47" i="12"/>
  <c r="D46" i="12"/>
  <c r="D33" i="10"/>
  <c r="D32" i="10"/>
  <c r="D24" i="10"/>
  <c r="D28" i="21" s="1"/>
  <c r="D33" i="9"/>
  <c r="D15" i="14"/>
  <c r="D14" i="14"/>
  <c r="D47" i="14"/>
  <c r="D72" i="10"/>
  <c r="C66" i="10"/>
  <c r="D71" i="10"/>
  <c r="D21" i="10"/>
  <c r="D20" i="10"/>
  <c r="D59" i="10"/>
  <c r="D60" i="10"/>
  <c r="D18" i="13"/>
  <c r="D19" i="13"/>
  <c r="D34" i="12"/>
  <c r="D35" i="12"/>
  <c r="D66" i="12"/>
  <c r="D67" i="12"/>
  <c r="D70" i="12"/>
  <c r="D19" i="21" s="1"/>
  <c r="D71" i="12"/>
  <c r="D30" i="14"/>
  <c r="D31" i="14"/>
  <c r="D18" i="14"/>
  <c r="D19" i="14"/>
  <c r="D38" i="14"/>
  <c r="D39" i="14"/>
  <c r="D22" i="14"/>
  <c r="D61" i="21" s="1"/>
  <c r="D23" i="14"/>
  <c r="C9" i="13"/>
  <c r="D14" i="13"/>
  <c r="D15" i="13"/>
  <c r="D40" i="10"/>
  <c r="E56" i="26" s="1"/>
  <c r="D41" i="10"/>
  <c r="C35" i="10"/>
  <c r="D48" i="9"/>
  <c r="D49" i="9"/>
  <c r="C9" i="16"/>
  <c r="D15" i="16"/>
  <c r="D14" i="16"/>
  <c r="D65" i="21" s="1"/>
  <c r="D35" i="14"/>
  <c r="D34" i="14"/>
  <c r="D28" i="9"/>
  <c r="D29" i="9"/>
  <c r="D15" i="12"/>
  <c r="C9" i="12"/>
  <c r="D14" i="12"/>
  <c r="B44" i="11"/>
  <c r="B43" i="11"/>
  <c r="B53" i="11"/>
  <c r="B40" i="11"/>
  <c r="B47" i="11"/>
  <c r="B22" i="11"/>
  <c r="B10" i="11"/>
  <c r="B21" i="11"/>
  <c r="B34" i="11"/>
  <c r="B33" i="11"/>
  <c r="B39" i="11"/>
  <c r="B30" i="11"/>
  <c r="B25" i="11"/>
  <c r="B26" i="11"/>
  <c r="B29" i="11"/>
  <c r="B48" i="11"/>
  <c r="B54" i="11"/>
  <c r="B11" i="11"/>
  <c r="B18" i="11"/>
  <c r="B17" i="11"/>
  <c r="C63" i="9"/>
  <c r="D45" i="9"/>
  <c r="D44" i="9"/>
  <c r="D52" i="9"/>
  <c r="D53" i="9"/>
  <c r="D30" i="12"/>
  <c r="D31" i="12"/>
  <c r="D30" i="16"/>
  <c r="D69" i="21" s="1"/>
  <c r="D43" i="12"/>
  <c r="D42" i="12"/>
  <c r="D63" i="12"/>
  <c r="D62" i="12"/>
  <c r="D12" i="21" s="1"/>
  <c r="C35" i="9"/>
  <c r="D26" i="14"/>
  <c r="D62" i="21" s="1"/>
  <c r="D27" i="14"/>
  <c r="D23" i="16"/>
  <c r="D22" i="16"/>
  <c r="D67" i="21" s="1"/>
  <c r="D39" i="21" l="1"/>
  <c r="E18" i="26"/>
  <c r="E8" i="26"/>
  <c r="E17" i="26"/>
  <c r="D32" i="21"/>
  <c r="E11" i="26"/>
  <c r="E20" i="26"/>
  <c r="AM36" i="17"/>
  <c r="AM7" i="17"/>
  <c r="D40" i="21"/>
  <c r="E9" i="26"/>
  <c r="D33" i="21"/>
  <c r="E12" i="26"/>
  <c r="E21" i="26"/>
  <c r="E63" i="26"/>
  <c r="E25" i="26"/>
  <c r="D11" i="21"/>
  <c r="E24" i="26"/>
  <c r="AO198" i="17"/>
  <c r="AO12" i="17" s="1"/>
  <c r="E31" i="26"/>
  <c r="AM198" i="17"/>
  <c r="AM12" i="17" s="1"/>
  <c r="D46" i="11"/>
  <c r="D16" i="11"/>
  <c r="D9" i="11" s="1"/>
  <c r="E28" i="26"/>
  <c r="D72" i="9"/>
  <c r="D71" i="9"/>
  <c r="E68" i="26" s="1"/>
  <c r="D10" i="14"/>
  <c r="C51" i="14" s="1"/>
  <c r="AL12" i="17"/>
  <c r="AL14" i="17" s="1"/>
  <c r="D17" i="21"/>
  <c r="D64" i="11"/>
  <c r="D63" i="11"/>
  <c r="D60" i="11"/>
  <c r="D59" i="11"/>
  <c r="D10" i="21"/>
  <c r="D6" i="21"/>
  <c r="E64" i="26"/>
  <c r="E61" i="26"/>
  <c r="D9" i="10"/>
  <c r="E45" i="26"/>
  <c r="E94" i="26"/>
  <c r="D22" i="21"/>
  <c r="E40" i="26"/>
  <c r="C95" i="9"/>
  <c r="E66" i="26"/>
  <c r="E54" i="26"/>
  <c r="D30" i="21"/>
  <c r="E49" i="26"/>
  <c r="E51" i="26"/>
  <c r="E32" i="26"/>
  <c r="D16" i="21"/>
  <c r="E74" i="26"/>
  <c r="D35" i="21"/>
  <c r="E87" i="26"/>
  <c r="E14" i="26"/>
  <c r="E5" i="26"/>
  <c r="E36" i="26"/>
  <c r="E85" i="26"/>
  <c r="E70" i="26"/>
  <c r="D57" i="21"/>
  <c r="E62" i="26"/>
  <c r="D68" i="10"/>
  <c r="D67" i="10"/>
  <c r="D38" i="21" s="1"/>
  <c r="E37" i="26"/>
  <c r="E86" i="26"/>
  <c r="D59" i="21"/>
  <c r="E3" i="22"/>
  <c r="E30" i="26"/>
  <c r="D14" i="21"/>
  <c r="E75" i="26"/>
  <c r="E15" i="26"/>
  <c r="E71" i="26"/>
  <c r="D36" i="21"/>
  <c r="E6" i="26"/>
  <c r="E48" i="26"/>
  <c r="E35" i="26"/>
  <c r="D27" i="21"/>
  <c r="E50" i="26"/>
  <c r="E53" i="26"/>
  <c r="C50" i="10"/>
  <c r="D51" i="10" s="1"/>
  <c r="E4" i="22"/>
  <c r="D60" i="21"/>
  <c r="D8" i="21"/>
  <c r="E27" i="26"/>
  <c r="E93" i="26"/>
  <c r="E43" i="26"/>
  <c r="E59" i="26"/>
  <c r="D54" i="21"/>
  <c r="D11" i="13"/>
  <c r="D10" i="13"/>
  <c r="E60" i="26"/>
  <c r="E44" i="26"/>
  <c r="D55" i="21"/>
  <c r="D18" i="21"/>
  <c r="E47" i="26"/>
  <c r="E77" i="26"/>
  <c r="E34" i="26"/>
  <c r="E67" i="26"/>
  <c r="D21" i="21"/>
  <c r="E90" i="26"/>
  <c r="D20" i="21"/>
  <c r="C107" i="9"/>
  <c r="E41" i="26"/>
  <c r="D64" i="9"/>
  <c r="D65" i="9"/>
  <c r="D29" i="11"/>
  <c r="D30" i="11"/>
  <c r="D25" i="11"/>
  <c r="D26" i="11"/>
  <c r="D11" i="12"/>
  <c r="D10" i="12"/>
  <c r="D11" i="16"/>
  <c r="D10" i="16"/>
  <c r="D64" i="21" s="1"/>
  <c r="D33" i="11"/>
  <c r="D52" i="21" s="1"/>
  <c r="D34" i="11"/>
  <c r="C46" i="11"/>
  <c r="D40" i="11"/>
  <c r="D39" i="11"/>
  <c r="D36" i="9"/>
  <c r="D37" i="9"/>
  <c r="E22" i="26"/>
  <c r="D5" i="21"/>
  <c r="D21" i="11"/>
  <c r="D22" i="11"/>
  <c r="C16" i="11"/>
  <c r="D43" i="14"/>
  <c r="D42" i="14"/>
  <c r="D12" i="9"/>
  <c r="E39" i="26" s="1"/>
  <c r="D13" i="9"/>
  <c r="E26" i="26"/>
  <c r="E46" i="26"/>
  <c r="D7" i="21"/>
  <c r="D36" i="10"/>
  <c r="D37" i="10"/>
  <c r="C15" i="10"/>
  <c r="D9" i="21"/>
  <c r="E29" i="26"/>
  <c r="D54" i="11"/>
  <c r="D53" i="11"/>
  <c r="D47" i="21" s="1"/>
  <c r="D43" i="11"/>
  <c r="D45" i="21" s="1"/>
  <c r="D44" i="11"/>
  <c r="AL16" i="17" l="1"/>
  <c r="AL18" i="17" s="1"/>
  <c r="D58" i="21"/>
  <c r="D23" i="21"/>
  <c r="E91" i="26"/>
  <c r="E73" i="26"/>
  <c r="C109" i="10"/>
  <c r="D34" i="21"/>
  <c r="E13" i="26"/>
  <c r="E4" i="26"/>
  <c r="E69" i="26"/>
  <c r="E72" i="26"/>
  <c r="D42" i="21"/>
  <c r="E7" i="26"/>
  <c r="E76" i="26"/>
  <c r="E16" i="26"/>
  <c r="E84" i="26"/>
  <c r="C42" i="13"/>
  <c r="D53" i="21"/>
  <c r="E42" i="26"/>
  <c r="E92" i="26"/>
  <c r="E58" i="26"/>
  <c r="D16" i="10"/>
  <c r="D17" i="10"/>
  <c r="C9" i="10"/>
  <c r="D10" i="10" s="1"/>
  <c r="D25" i="21" s="1"/>
  <c r="D4" i="21"/>
  <c r="C76" i="12"/>
  <c r="E79" i="26"/>
  <c r="D44" i="21"/>
  <c r="E65" i="26"/>
  <c r="D24" i="21"/>
  <c r="E88" i="26"/>
  <c r="C9" i="11"/>
  <c r="D18" i="11"/>
  <c r="D17" i="11"/>
  <c r="D47" i="11"/>
  <c r="D46" i="21" s="1"/>
  <c r="D48" i="11"/>
  <c r="E82" i="26"/>
  <c r="D50" i="21"/>
  <c r="E19" i="26"/>
  <c r="D31" i="21"/>
  <c r="E10" i="26"/>
  <c r="E55" i="26"/>
  <c r="D41" i="21"/>
  <c r="E52" i="26"/>
  <c r="E38" i="26"/>
  <c r="E81" i="26"/>
  <c r="D49" i="21"/>
  <c r="E83" i="26"/>
  <c r="D51" i="21"/>
  <c r="D48" i="21" l="1"/>
  <c r="E80" i="26"/>
  <c r="D11" i="11"/>
  <c r="D10" i="11"/>
  <c r="C92" i="10"/>
  <c r="D26" i="21"/>
  <c r="E78" i="26" l="1"/>
  <c r="C70" i="11"/>
  <c r="D43" i="21"/>
  <c r="D10" i="30" l="1"/>
  <c r="D15" i="30"/>
  <c r="D14" i="30"/>
  <c r="D11" i="30" l="1"/>
  <c r="K24" i="32"/>
  <c r="AO166" i="17" l="1"/>
  <c r="AO11" i="17" s="1"/>
  <c r="AO14" i="17" s="1"/>
  <c r="AM166" i="17"/>
  <c r="AM11" i="17" s="1"/>
  <c r="AM14" i="17" s="1"/>
  <c r="AR166" i="17"/>
  <c r="AR11" i="17" s="1"/>
  <c r="AR14" i="17" s="1"/>
  <c r="AQ166" i="17"/>
  <c r="AQ11" i="17" s="1"/>
  <c r="AQ14" i="17" s="1"/>
  <c r="AT166" i="17"/>
  <c r="AT11" i="17" s="1"/>
  <c r="AT14" i="17" s="1"/>
  <c r="AV166" i="17"/>
  <c r="AV11" i="17" s="1"/>
  <c r="AV14" i="17" s="1"/>
  <c r="AY166" i="17"/>
  <c r="AY11" i="17" s="1"/>
  <c r="AY14" i="17" s="1"/>
  <c r="AW166" i="17"/>
  <c r="AW11" i="17" s="1"/>
  <c r="AW14" i="17" s="1"/>
  <c r="Q24" i="32"/>
  <c r="AQ164" i="17"/>
  <c r="P24" i="32"/>
  <c r="AT164" i="17"/>
  <c r="S24" i="32"/>
  <c r="AO164" i="17"/>
  <c r="N24" i="32"/>
  <c r="AY164" i="17"/>
  <c r="X24" i="32"/>
  <c r="AW164" i="17"/>
  <c r="V24" i="32"/>
  <c r="AV164" i="17"/>
  <c r="U24" i="32"/>
  <c r="AM164" i="17"/>
  <c r="L24" i="32"/>
  <c r="AR16" i="17" l="1"/>
  <c r="AR18" i="17" s="1"/>
  <c r="AQ16" i="17"/>
  <c r="AQ18" i="17" s="1"/>
  <c r="AT16" i="17"/>
  <c r="AT18" i="17" s="1"/>
  <c r="AO16" i="17"/>
  <c r="AO18" i="17" s="1"/>
  <c r="AM16" i="17"/>
  <c r="AM18" i="17" s="1"/>
  <c r="AW16" i="17"/>
  <c r="AW18" i="17" s="1"/>
  <c r="AV16" i="17"/>
  <c r="AV18" i="17" s="1"/>
  <c r="AY16" i="17"/>
  <c r="AY18" i="17" s="1"/>
  <c r="AO117" i="28"/>
  <c r="AO122" i="28" s="1"/>
  <c r="AO123"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Maxime Roux</author>
  </authors>
  <commentList>
    <comment ref="C9" authorId="0" shapeId="0" xr:uid="{DA2BDB57-86CC-4249-93D6-B273BDBC081F}">
      <text>
        <r>
          <rPr>
            <sz val="9"/>
            <color indexed="81"/>
            <rFont val="Tahoma"/>
            <family val="2"/>
          </rPr>
          <t xml:space="preserve">Ce choix modifie uniquement les trajectoires internationales en émissions importées, il n'a pas d'impacts sur les trajectoires d'émissions de la SNBC 3 en France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Maxime Roux</author>
  </authors>
  <commentList>
    <comment ref="D6" authorId="0" shapeId="0" xr:uid="{7EF0F3BA-4466-4CA6-AA15-BC49B17B6931}">
      <text>
        <r>
          <rPr>
            <sz val="9"/>
            <color indexed="81"/>
            <rFont val="Tahoma"/>
            <family val="2"/>
          </rPr>
          <t xml:space="preserve">Modifie les trajectoires affichées dans les différents onglets
</t>
        </r>
      </text>
    </comment>
    <comment ref="C90" authorId="0" shapeId="0" xr:uid="{84BD3595-1EB4-47CC-969B-0D466CEA1327}">
      <text>
        <r>
          <rPr>
            <b/>
            <sz val="9"/>
            <color indexed="81"/>
            <rFont val="Tahoma"/>
            <family val="2"/>
          </rPr>
          <t>Maxime Roux:</t>
        </r>
        <r>
          <rPr>
            <sz val="9"/>
            <color indexed="81"/>
            <rFont val="Tahoma"/>
            <family val="2"/>
          </rPr>
          <t xml:space="preserve">
Tableau des hypothèses</t>
        </r>
      </text>
    </comment>
    <comment ref="D99" authorId="0" shapeId="0" xr:uid="{316FAC45-A7DA-4AF7-BB78-48BDCF4BE2F6}">
      <text>
        <r>
          <rPr>
            <sz val="9"/>
            <color indexed="81"/>
            <rFont val="Tahoma"/>
            <family val="2"/>
          </rPr>
          <t>Baisse en pourcentage d'intensité, unité en Mt CO</t>
        </r>
        <r>
          <rPr>
            <sz val="8"/>
            <color indexed="81"/>
            <rFont val="Tahoma"/>
            <family val="2"/>
          </rPr>
          <t>2</t>
        </r>
        <r>
          <rPr>
            <sz val="9"/>
            <color indexed="81"/>
            <rFont val="Tahoma"/>
            <family val="2"/>
          </rPr>
          <t>e/Mds€2014</t>
        </r>
      </text>
    </comment>
    <comment ref="D101" authorId="0" shapeId="0" xr:uid="{FE38D480-42A8-48D7-8B7C-DC55F5E1F91D}">
      <text>
        <r>
          <rPr>
            <sz val="9"/>
            <color indexed="81"/>
            <rFont val="Tahoma"/>
            <family val="2"/>
          </rPr>
          <t xml:space="preserve">Baisse en pourcentage d'intensité, unité en Mt CO2e/Mds€2014
</t>
        </r>
      </text>
    </comment>
    <comment ref="D102" authorId="0" shapeId="0" xr:uid="{18A3905B-ADF7-466C-91E5-36506629C5CC}">
      <text>
        <r>
          <rPr>
            <sz val="9"/>
            <color indexed="81"/>
            <rFont val="Tahoma"/>
            <family val="2"/>
          </rPr>
          <t>Baisse en pourcentage d'intensité, unité en Mt CO2e/Mds€2014</t>
        </r>
      </text>
    </comment>
    <comment ref="D103" authorId="0" shapeId="0" xr:uid="{E67E1DB1-A564-4226-94EE-1E662F9481C2}">
      <text>
        <r>
          <rPr>
            <sz val="9"/>
            <color indexed="81"/>
            <rFont val="Tahoma"/>
            <family val="2"/>
          </rPr>
          <t>Baisse en pourcentage d'intensité, unité en Mt CO2e/Mds€2014</t>
        </r>
      </text>
    </comment>
    <comment ref="D104" authorId="0" shapeId="0" xr:uid="{7C4533BA-3500-4A40-AC61-DC607F826C17}">
      <text>
        <r>
          <rPr>
            <sz val="9"/>
            <color indexed="81"/>
            <rFont val="Tahoma"/>
            <family val="2"/>
          </rPr>
          <t xml:space="preserve">Baisse en pourcentage d'intensité, unité en Mt CO2e/Mds€2014
</t>
        </r>
      </text>
    </comment>
    <comment ref="D106" authorId="0" shapeId="0" xr:uid="{254B0769-8E28-4ADD-859A-DE0F23EBD3FE}">
      <text>
        <r>
          <rPr>
            <sz val="9"/>
            <color indexed="81"/>
            <rFont val="Tahoma"/>
            <family val="2"/>
          </rPr>
          <t>Baisse en pourcentage d'intensité, unité en Mt CO2e/Mds€2014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CHAIGNEAU Yanis</author>
  </authors>
  <commentList>
    <comment ref="D55" authorId="0" shapeId="0" xr:uid="{900E2A54-5C27-4498-986F-665AAC9F580B}">
      <text>
        <r>
          <rPr>
            <b/>
            <sz val="9"/>
            <color indexed="81"/>
            <rFont val="Tahoma"/>
            <family val="2"/>
          </rPr>
          <t>CHAIGNEAU Yanis:</t>
        </r>
        <r>
          <rPr>
            <sz val="9"/>
            <color indexed="81"/>
            <rFont val="Tahoma"/>
            <family val="2"/>
          </rPr>
          <t xml:space="preserve">
Comportement étrange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CHAIGNEAU Yanis</author>
  </authors>
  <commentList>
    <comment ref="AA68" authorId="0" shapeId="0" xr:uid="{C1CF4498-A3AE-41E3-AC12-E2106873F3C1}">
      <text>
        <r>
          <rPr>
            <b/>
            <sz val="9"/>
            <color indexed="81"/>
            <rFont val="Tahoma"/>
            <family val="2"/>
          </rPr>
          <t>CHAIGNEAU Yanis:</t>
        </r>
        <r>
          <rPr>
            <sz val="9"/>
            <color indexed="81"/>
            <rFont val="Tahoma"/>
            <family val="2"/>
          </rPr>
          <t xml:space="preserve">
Pas à jour entre 2015 et 2021 sur ces données EnerMED, voir avec Alban</t>
        </r>
      </text>
    </comment>
    <comment ref="AA108" authorId="0" shapeId="0" xr:uid="{FC78D90E-CFAE-4507-8E55-17AF3503D327}">
      <text>
        <r>
          <rPr>
            <b/>
            <sz val="9"/>
            <color indexed="81"/>
            <rFont val="Tahoma"/>
            <family val="2"/>
          </rPr>
          <t>CHAIGNEAU Yanis:</t>
        </r>
        <r>
          <rPr>
            <sz val="9"/>
            <color indexed="81"/>
            <rFont val="Tahoma"/>
            <family val="2"/>
          </rPr>
          <t xml:space="preserve">
Pas à jour entre 2015 et 2021 sur ces données EnerMED, voir avec Alban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CHAIGNEAU Yanis</author>
  </authors>
  <commentList>
    <comment ref="F24" authorId="0" shapeId="0" xr:uid="{AAC53C02-E69E-46B1-AD43-74277D92ADC3}">
      <text>
        <r>
          <rPr>
            <b/>
            <sz val="9"/>
            <color indexed="81"/>
            <rFont val="Tahoma"/>
            <family val="2"/>
          </rPr>
          <t>CHAIGNEAU Yanis:</t>
        </r>
        <r>
          <rPr>
            <sz val="9"/>
            <color indexed="81"/>
            <rFont val="Tahoma"/>
            <family val="2"/>
          </rPr>
          <t xml:space="preserve">
Données indispo dans le modèle engins, pose un petit problème en 2020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CHAIGNEAU Yanis</author>
  </authors>
  <commentList>
    <comment ref="O44" authorId="0" shapeId="0" xr:uid="{6FCD7C44-94E0-4926-B485-415AE505BB21}">
      <text>
        <r>
          <rPr>
            <b/>
            <sz val="9"/>
            <color rgb="FF000000"/>
            <rFont val="Tahoma"/>
            <family val="2"/>
          </rPr>
          <t xml:space="preserve">CHAIGNEAU Yanis:
</t>
        </r>
        <r>
          <rPr>
            <sz val="9"/>
            <color rgb="FF000000"/>
            <rFont val="Tahoma"/>
            <family val="2"/>
          </rPr>
          <t>Différence avec l'indicateur planification</t>
        </r>
      </text>
    </comment>
  </commentList>
</comments>
</file>

<file path=xl/sharedStrings.xml><?xml version="1.0" encoding="utf-8"?>
<sst xmlns="http://schemas.openxmlformats.org/spreadsheetml/2006/main" count="2356" uniqueCount="674">
  <si>
    <t>Onglet "Choix années"</t>
  </si>
  <si>
    <t>Onglet "Scope 1"</t>
  </si>
  <si>
    <t>Onglet "Scope 2"</t>
  </si>
  <si>
    <t>Onglet "Scope 3"</t>
  </si>
  <si>
    <t xml:space="preserve">Onglets sectoriels </t>
  </si>
  <si>
    <t>Onglets "Résultats détaillés GES"</t>
  </si>
  <si>
    <t>Première étape : Choisir son année de référence et son année cible ci-dessous</t>
  </si>
  <si>
    <t xml:space="preserve">Choix année de référence </t>
  </si>
  <si>
    <t xml:space="preserve">Choix année cible </t>
  </si>
  <si>
    <t>Emissions directes scope 1</t>
  </si>
  <si>
    <t>Trajectoires SNBC correspondantes</t>
  </si>
  <si>
    <t xml:space="preserve">Sélectionner la ou les catégories d'activité de l'entreprise </t>
  </si>
  <si>
    <t>Industrie</t>
  </si>
  <si>
    <t>Industrie chimique</t>
  </si>
  <si>
    <t>Chimie (moyenne)</t>
  </si>
  <si>
    <t>Industrie construction</t>
  </si>
  <si>
    <t>Construction</t>
  </si>
  <si>
    <t xml:space="preserve">Industrie </t>
  </si>
  <si>
    <t xml:space="preserve">Biens d'équipements et matériels de transport (moyenne) </t>
  </si>
  <si>
    <t>Industrie agroalimentaire</t>
  </si>
  <si>
    <t>Agroalimentaire (moyenne)</t>
  </si>
  <si>
    <t>Industrie métallurgie</t>
  </si>
  <si>
    <t>Métallurgie des métaux ferreux</t>
  </si>
  <si>
    <t xml:space="preserve">Industrie chimique </t>
  </si>
  <si>
    <t>Ammoniac</t>
  </si>
  <si>
    <t xml:space="preserve">Pétrochime </t>
  </si>
  <si>
    <t xml:space="preserve">Industrie verre </t>
  </si>
  <si>
    <t xml:space="preserve">Verre </t>
  </si>
  <si>
    <t>Sucre</t>
  </si>
  <si>
    <t>Métallurgie des métaux non-ferreux</t>
  </si>
  <si>
    <t>Aluminium</t>
  </si>
  <si>
    <t>Minéraux non-métalliques, matériaux de construction</t>
  </si>
  <si>
    <t>Ciment</t>
  </si>
  <si>
    <t>Industrie papeterie</t>
  </si>
  <si>
    <t>Papier, carton</t>
  </si>
  <si>
    <t>Autres industries manufacturières</t>
  </si>
  <si>
    <t xml:space="preserve">Tertiaire et batiments publics </t>
  </si>
  <si>
    <t xml:space="preserve">Artificialisation </t>
  </si>
  <si>
    <t>Total : résidentiel + tertiaire + artificialisation</t>
  </si>
  <si>
    <t>Transport</t>
  </si>
  <si>
    <t>Total transport</t>
  </si>
  <si>
    <t xml:space="preserve">Total transport de passagers </t>
  </si>
  <si>
    <t>Véhicules particuliers</t>
  </si>
  <si>
    <t>Bus et cars</t>
  </si>
  <si>
    <t>Deux roues</t>
  </si>
  <si>
    <t>Transport ferroviaire</t>
  </si>
  <si>
    <t>Transport aérien</t>
  </si>
  <si>
    <t xml:space="preserve">Transport de marchandise </t>
  </si>
  <si>
    <t xml:space="preserve">Total transport de marchandises </t>
  </si>
  <si>
    <t>Poids lourds</t>
  </si>
  <si>
    <t>Véhicules utilitaires légers</t>
  </si>
  <si>
    <t>Transport maritime</t>
  </si>
  <si>
    <t xml:space="preserve">Agriculture </t>
  </si>
  <si>
    <t>Total cultures</t>
  </si>
  <si>
    <t>Engrais minéraux</t>
  </si>
  <si>
    <t>Inclus dans total cultures</t>
  </si>
  <si>
    <t>Autres émissions cultures</t>
  </si>
  <si>
    <t>Total engins, moteurs et chaudières en agriculture/sylviculture</t>
  </si>
  <si>
    <t xml:space="preserve">Inclus dans total agriculture </t>
  </si>
  <si>
    <t>Total élevage (moyenne)</t>
  </si>
  <si>
    <t>Elevage bovin</t>
  </si>
  <si>
    <t>Inclus dans total élevage</t>
  </si>
  <si>
    <t>Elevage porcin</t>
  </si>
  <si>
    <t>Elevage volailles</t>
  </si>
  <si>
    <t xml:space="preserve">Autres émissions de l'élevage </t>
  </si>
  <si>
    <t>Gestion des déchets</t>
  </si>
  <si>
    <t>Total déchets</t>
  </si>
  <si>
    <t>Stockage des déchets</t>
  </si>
  <si>
    <t>Incinération sans récupération d'énergie</t>
  </si>
  <si>
    <t>Autres traitements des déchets solides</t>
  </si>
  <si>
    <t>Traitement des eaux usées</t>
  </si>
  <si>
    <t>Production d’énergie</t>
  </si>
  <si>
    <t>Total industrie de l'énergie (dont CCUS)</t>
  </si>
  <si>
    <t>Production d’énergie électrique</t>
  </si>
  <si>
    <t>Production d'électricité</t>
  </si>
  <si>
    <t>Production d’énergie réseau de chaleur / froid</t>
  </si>
  <si>
    <t>Chauffage urbain</t>
  </si>
  <si>
    <t>Production d’énergie pétrole</t>
  </si>
  <si>
    <t>Raffinage du pétrole</t>
  </si>
  <si>
    <t xml:space="preserve">Industrie sidérurgie </t>
  </si>
  <si>
    <t>Transformation des combustibles minéraux solides</t>
  </si>
  <si>
    <t xml:space="preserve">Principalement pour les fours à coke </t>
  </si>
  <si>
    <t>Production d’énergie déchets</t>
  </si>
  <si>
    <t>Valorisation énergétique des déchets</t>
  </si>
  <si>
    <t>Total Utilisation des Terres, Changements d'Affectation des Terres et Forêt</t>
  </si>
  <si>
    <t>Forêts</t>
  </si>
  <si>
    <t>Terres cultivées et prairies</t>
  </si>
  <si>
    <t>Zones humides</t>
  </si>
  <si>
    <t>Zones artificialisées</t>
  </si>
  <si>
    <t>Généraliste</t>
  </si>
  <si>
    <t>Trajectoire moyenne nationale (hors UTCATF)</t>
  </si>
  <si>
    <t>Emissions indirectes scope 2</t>
  </si>
  <si>
    <t>Toutes</t>
  </si>
  <si>
    <t xml:space="preserve">Emissions indirectes liées à la consommation d’électricité </t>
  </si>
  <si>
    <t xml:space="preserve">Hors déchet </t>
  </si>
  <si>
    <t>Emissions indirectes liées à la consommation d'énergie autre que l'électricité</t>
  </si>
  <si>
    <t>Emissions indirectes scope 3</t>
  </si>
  <si>
    <t>Transport de marchandise amont</t>
  </si>
  <si>
    <t>Transport de marchandise aval</t>
  </si>
  <si>
    <t>Achats de biens</t>
  </si>
  <si>
    <t>Chimie</t>
  </si>
  <si>
    <t>Biens d'équipements, matériels de transport</t>
  </si>
  <si>
    <t>Agroalimentaire</t>
  </si>
  <si>
    <t xml:space="preserve">Produits transformés </t>
  </si>
  <si>
    <t xml:space="preserve">Industrie métallurgie </t>
  </si>
  <si>
    <t xml:space="preserve">Industrie construction </t>
  </si>
  <si>
    <t>Dont ciment</t>
  </si>
  <si>
    <t>Industrie papéterie</t>
  </si>
  <si>
    <t>Industrie automobile</t>
  </si>
  <si>
    <t>Utilisation des produits vendus</t>
  </si>
  <si>
    <t xml:space="preserve">Industrie automobile véhicules électriques </t>
  </si>
  <si>
    <t>Industrie aviation</t>
  </si>
  <si>
    <t>Total résidentiel</t>
  </si>
  <si>
    <t>Tertiaire</t>
  </si>
  <si>
    <t xml:space="preserve">Fin de vie des produits vendus </t>
  </si>
  <si>
    <t xml:space="preserve">Tous secteurs / tertiaire </t>
  </si>
  <si>
    <t xml:space="preserve">Déplacements domicile travail </t>
  </si>
  <si>
    <t>Transport des visiteurs et des clients</t>
  </si>
  <si>
    <t>Déplacements professionnels</t>
  </si>
  <si>
    <t xml:space="preserve">Gestion des déchets </t>
  </si>
  <si>
    <t xml:space="preserve">Immobilisations de biens batiments </t>
  </si>
  <si>
    <t>Total construction</t>
  </si>
  <si>
    <t>Actifs en leasing aval</t>
  </si>
  <si>
    <t>Résidentiel</t>
  </si>
  <si>
    <t>Artificialisation</t>
  </si>
  <si>
    <t xml:space="preserve">Industrie Agroalimentaire </t>
  </si>
  <si>
    <t>Total agriculture(moyenne)</t>
  </si>
  <si>
    <t>Total cultures (moyenne)</t>
  </si>
  <si>
    <t>Construction de bâtiments</t>
  </si>
  <si>
    <t xml:space="preserve">Généraliste </t>
  </si>
  <si>
    <t xml:space="preserve">Tous </t>
  </si>
  <si>
    <t xml:space="preserve">Thématique de la chaine de valeur étudiée </t>
  </si>
  <si>
    <t xml:space="preserve">Levier SNBC potentiellement adapté </t>
  </si>
  <si>
    <t xml:space="preserve">Objectif à respecter </t>
  </si>
  <si>
    <t>Evolution du mix énergétique : électrification</t>
  </si>
  <si>
    <t>Evolution du mix énergétique : biomasse et CSR</t>
  </si>
  <si>
    <t>Efficacité énergétique</t>
  </si>
  <si>
    <t xml:space="preserve">Autres gaz </t>
  </si>
  <si>
    <t>Sobriété matière</t>
  </si>
  <si>
    <t>Capture et stockage de carbone</t>
  </si>
  <si>
    <t>Travaux d'isolation des bâtiments</t>
  </si>
  <si>
    <t xml:space="preserve">Changement d'énergie de chauffage </t>
  </si>
  <si>
    <t>Baisse de la consommation (sobriété)</t>
  </si>
  <si>
    <t>Travaux d'isolation des bâtiments et baisse de la consommation</t>
  </si>
  <si>
    <t>Changement de système de chauffage</t>
  </si>
  <si>
    <t>Transport de passagers</t>
  </si>
  <si>
    <t>Report modal</t>
  </si>
  <si>
    <t>Vélo</t>
  </si>
  <si>
    <t>Meilleur taux d'occupation des véhicules particuliers</t>
  </si>
  <si>
    <t>Electrification des véhicules particuliers</t>
  </si>
  <si>
    <t>Efficacité des véhicules</t>
  </si>
  <si>
    <t>Aérien</t>
  </si>
  <si>
    <t xml:space="preserve">Transport de marchandises </t>
  </si>
  <si>
    <t>Report modal du routier vers le ferroviaire et le maritime</t>
  </si>
  <si>
    <t>Taux de chargement</t>
  </si>
  <si>
    <t>Electrification des VUL, poids lourds et navires</t>
  </si>
  <si>
    <t xml:space="preserve">Maritime </t>
  </si>
  <si>
    <t>Agriculture</t>
  </si>
  <si>
    <t>Baisse des émissions de l'élevage : baisse de l'intensité de la fermentation entérique et de l'élevage bovin…</t>
  </si>
  <si>
    <t>Décarbonation des engins et infrastructures agricoles :  tracteurs, chaudières, serres…</t>
  </si>
  <si>
    <t>Réduction de l'utilisation des fertilisants azotés</t>
  </si>
  <si>
    <t>Méthanisation</t>
  </si>
  <si>
    <t xml:space="preserve">Absorptions GES </t>
  </si>
  <si>
    <t>Efforts de prévention des déchets</t>
  </si>
  <si>
    <t>Hausse du taux de captage de méthane</t>
  </si>
  <si>
    <t>Production de chaleur - décarbonation des RCU</t>
  </si>
  <si>
    <t>Hydrogène</t>
  </si>
  <si>
    <t xml:space="preserve">Raffinage et transformation - </t>
  </si>
  <si>
    <t>Utilisation des Terres, Changements d'Affectation des Terres et Forêt</t>
  </si>
  <si>
    <t>Boisement</t>
  </si>
  <si>
    <t>Produits bois</t>
  </si>
  <si>
    <t>Réduction du rythme de l'artificialisation</t>
  </si>
  <si>
    <t>1. Objectifs de baisse des émissions de GES en valeur absolue</t>
  </si>
  <si>
    <t xml:space="preserve">1.1. Objectif global de baisse des émissions </t>
  </si>
  <si>
    <t>1.1.1. Usages du bâtiment</t>
  </si>
  <si>
    <t>1.1.2. Résidentiel</t>
  </si>
  <si>
    <t>Chauffage, eau chaude sanitaire et cuisson domestique</t>
  </si>
  <si>
    <t>Climatisation domestique</t>
  </si>
  <si>
    <t>Utilisation de produits domestiques (y.c. peintures, aérosols)</t>
  </si>
  <si>
    <t>Autres (déchets, brulage domestiques, réfrigération…)</t>
  </si>
  <si>
    <t>1.1.3. Tertiaire</t>
  </si>
  <si>
    <t>Chauffage, eau chaude sanitaire et cuisson tertiaire</t>
  </si>
  <si>
    <t>Climatisation tertiaire</t>
  </si>
  <si>
    <t>Utilisation de produits tertiaires (y.c. solvants, peintures, aérosols, anesthésie)</t>
  </si>
  <si>
    <t>Réfrigération tertiaire</t>
  </si>
  <si>
    <t>Autres activités tertiaires</t>
  </si>
  <si>
    <t>1.1.4 Artificialisation</t>
  </si>
  <si>
    <t>1.2.1. Résidentiel</t>
  </si>
  <si>
    <t xml:space="preserve"> </t>
  </si>
  <si>
    <t>Leviers</t>
  </si>
  <si>
    <t>Changement d'énergie de chauffage (passage du fioul ou du gaz à l'électricité)</t>
  </si>
  <si>
    <t>1.2.2. Tertiaire</t>
  </si>
  <si>
    <t>La part de surfaces tertiaires chauffées par des convecteurs électriques diminue fortement, remplacées par des pompes à chaleur air/air plus performantes.</t>
  </si>
  <si>
    <t>2. Objectifs de baisse des émissions de GES en intensité</t>
  </si>
  <si>
    <t>Cibles en intensité carbone</t>
  </si>
  <si>
    <t>Unité</t>
  </si>
  <si>
    <t>Commentaire</t>
  </si>
  <si>
    <t>Scope 1 uniquement</t>
  </si>
  <si>
    <t>1.1.1. Transport de passagers</t>
  </si>
  <si>
    <t>Transport aérien français</t>
  </si>
  <si>
    <t>1.1.2. Transport de marchandises</t>
  </si>
  <si>
    <t>Navigation domestique (fluviale et maritime)</t>
  </si>
  <si>
    <t>Soutes maritimes internationales</t>
  </si>
  <si>
    <t>1.2.1. Transport de passagers</t>
  </si>
  <si>
    <t>1.2.1. Transport de marchandises</t>
  </si>
  <si>
    <t>Dont VP</t>
  </si>
  <si>
    <t>Dont bus et cars</t>
  </si>
  <si>
    <t>Dont deux roues</t>
  </si>
  <si>
    <t>Dont transport ferroviaire</t>
  </si>
  <si>
    <t xml:space="preserve">Dont transport aérien intérieur </t>
  </si>
  <si>
    <t>Transport de marchandise (hors VUL et ferroviaire)</t>
  </si>
  <si>
    <t>Dont PL</t>
  </si>
  <si>
    <t>Dont fluvial</t>
  </si>
  <si>
    <t>Dont VUL</t>
  </si>
  <si>
    <t>Total agriculture</t>
  </si>
  <si>
    <t>1.1.1. Elevage</t>
  </si>
  <si>
    <t>Total élevage</t>
  </si>
  <si>
    <t>Bovins</t>
  </si>
  <si>
    <t>Porcins</t>
  </si>
  <si>
    <t>Volailles</t>
  </si>
  <si>
    <t>Autres émissions de l'élevage</t>
  </si>
  <si>
    <t>1.1.2. Cultures</t>
  </si>
  <si>
    <t>Engrais et amendements minéraux</t>
  </si>
  <si>
    <t>1.1.3. Emissions énergétiques</t>
  </si>
  <si>
    <t>Elevage</t>
  </si>
  <si>
    <t>Dont élevage bovin</t>
  </si>
  <si>
    <t>Dont élevage porcin</t>
  </si>
  <si>
    <t>Dont volailles</t>
  </si>
  <si>
    <t>Cultures</t>
  </si>
  <si>
    <t>Agroéquipements</t>
  </si>
  <si>
    <t>Dont pétrochimie</t>
  </si>
  <si>
    <t>Dont ammoniac</t>
  </si>
  <si>
    <t>Agro-alimentaire</t>
  </si>
  <si>
    <t>Dont sucre</t>
  </si>
  <si>
    <t>Métallurgie des métaux ferreux (dont acier)</t>
  </si>
  <si>
    <t>Dont aluminium</t>
  </si>
  <si>
    <t>Dont clinker</t>
  </si>
  <si>
    <t xml:space="preserve">  </t>
  </si>
  <si>
    <t xml:space="preserve">La quasi-totalité de la chaleur fatale est réutilisée sur site, par exemple pour le préchauffage, et ensuite pour alimenter des réseaux de chaleurs industriels ou résidentiels. </t>
  </si>
  <si>
    <t>Dont ethylène</t>
  </si>
  <si>
    <t>Biens d'équipement, matériel de transport</t>
  </si>
  <si>
    <t>Minéraux non-métalliques, matériaux de contruction</t>
  </si>
  <si>
    <t>Dont verre</t>
  </si>
  <si>
    <t>Déchets</t>
  </si>
  <si>
    <t>Extraction et distribution de combustibles solides</t>
  </si>
  <si>
    <t>Extraction et distribution de combustibles liquides</t>
  </si>
  <si>
    <t>Extraction et distribution de combustibles gazeux</t>
  </si>
  <si>
    <t>Emissions liées à la combustion de pétrole</t>
  </si>
  <si>
    <t>Emissions liées à la combustion de gaz naturel</t>
  </si>
  <si>
    <t>Emissions liées à la combustion de charbon</t>
  </si>
  <si>
    <t>Fin de la production d’électricité à partir de charbon en 2027</t>
  </si>
  <si>
    <t>Production d'électricité périmètre Hexagone + DROM (combustion)</t>
  </si>
  <si>
    <t xml:space="preserve"> N'inclut pas les émissions de l'amont. Hors valorisation énergétique des déchets</t>
  </si>
  <si>
    <t>Production d'électricité périmètre Hexagone (combustion)</t>
  </si>
  <si>
    <t xml:space="preserve">Réseaux de chaleur </t>
  </si>
  <si>
    <t xml:space="preserve">Emissions par quantité de charbon transformé dans les cokeries (branche énergie). </t>
  </si>
  <si>
    <t>Autres terres et barrages</t>
  </si>
  <si>
    <t>Transports</t>
  </si>
  <si>
    <t>CO2e</t>
  </si>
  <si>
    <t>Total gaz à effet de serre</t>
  </si>
  <si>
    <t>Méthodologie d'estimation : citepa.org/ominea</t>
  </si>
  <si>
    <t>Récapitulatif des émissions par grand secteur</t>
  </si>
  <si>
    <t>Prospectif</t>
  </si>
  <si>
    <t>Emissions de CO2e (MtCO2e/an)
Périmètre : Métropole et Outre-mer inclus dans l'UE</t>
  </si>
  <si>
    <t>Industrie de l'énergie</t>
  </si>
  <si>
    <t>Industrie manufacturière et construction</t>
  </si>
  <si>
    <t>Traitement centralisé des déchets</t>
  </si>
  <si>
    <t>Usage des bâtiments et activités résidentiels/tertiaires</t>
  </si>
  <si>
    <t>Agriculture / sylviculture</t>
  </si>
  <si>
    <t>Transport hors total</t>
  </si>
  <si>
    <t>TOTAL national hors UTCATF</t>
  </si>
  <si>
    <t>UTCATF</t>
  </si>
  <si>
    <t>Emissions naturelles hors total</t>
  </si>
  <si>
    <t>TOTAL national avec UTCATF</t>
  </si>
  <si>
    <t>Hors total</t>
  </si>
  <si>
    <t>Détail des émissions par sous-secteur</t>
  </si>
  <si>
    <t>Fabrication de charbon de bois par pyrolyse</t>
  </si>
  <si>
    <t>Total Industrie de l'énergie</t>
  </si>
  <si>
    <t>Total Industrie manufacturière</t>
  </si>
  <si>
    <t>Total traitement centralisé des déchets</t>
  </si>
  <si>
    <t>Réfrigération domestique</t>
  </si>
  <si>
    <t>Engins (y.c. jardinage) domestiques</t>
  </si>
  <si>
    <t>Déchets et brûlage domestiques et eaux usées</t>
  </si>
  <si>
    <t>Autres activités domestiques (tabac et feux d’artifices)</t>
  </si>
  <si>
    <t>sous-total Usage des bâtiments résidentiels et activités domestiques</t>
  </si>
  <si>
    <t>Autres activités tertiaires (y.c. feux d’artifices, activités militaires, crémation)</t>
  </si>
  <si>
    <t>Total Usage des bâtiments et activités résidentiels/tertiaires</t>
  </si>
  <si>
    <t>sous-total Elevage</t>
  </si>
  <si>
    <t>Engrais et amendements organiques</t>
  </si>
  <si>
    <t>Pâture</t>
  </si>
  <si>
    <t>Brûlage de résidus agricoles</t>
  </si>
  <si>
    <t>Autres émissions des cultures</t>
  </si>
  <si>
    <t>sous-total Culture</t>
  </si>
  <si>
    <t>Engins, moteurs et chaudières en agriculture</t>
  </si>
  <si>
    <t>Engins, moteurs et chaudières en sylviculture</t>
  </si>
  <si>
    <t>sous-total Engins, moteurs et chaudières</t>
  </si>
  <si>
    <t>Total agriculture / sylviculture</t>
  </si>
  <si>
    <t>VP diesel</t>
  </si>
  <si>
    <t>VP essence</t>
  </si>
  <si>
    <t>VP GPL</t>
  </si>
  <si>
    <t>VP GNV</t>
  </si>
  <si>
    <t>VP électriques</t>
  </si>
  <si>
    <t>VUL diesel</t>
  </si>
  <si>
    <t>VUL essence</t>
  </si>
  <si>
    <t>VUL GPL</t>
  </si>
  <si>
    <t>VUL GNV</t>
  </si>
  <si>
    <t>VUL électriques</t>
  </si>
  <si>
    <t>PL de marchandises diesel</t>
  </si>
  <si>
    <t>PL de marchandises essence</t>
  </si>
  <si>
    <t>PL de marchandises GNV</t>
  </si>
  <si>
    <t>PL de marchandises électriques</t>
  </si>
  <si>
    <t>Bus et cars diesel</t>
  </si>
  <si>
    <t>Bus et cars essence</t>
  </si>
  <si>
    <t>Bus et cars GNV</t>
  </si>
  <si>
    <t>Bus et cars électriques</t>
  </si>
  <si>
    <t>Deux roues essence</t>
  </si>
  <si>
    <t>Deux roues diesel</t>
  </si>
  <si>
    <t>Deux roues électriques</t>
  </si>
  <si>
    <t>sous-total Transport routier</t>
  </si>
  <si>
    <t>Transport fluvial de marchandises</t>
  </si>
  <si>
    <t>Transport maritime domestique</t>
  </si>
  <si>
    <t>Transport autres navigations</t>
  </si>
  <si>
    <t>sous-total Autres transports</t>
  </si>
  <si>
    <t>Total transports (total national)</t>
  </si>
  <si>
    <t>Transport fluvial international - hors total national</t>
  </si>
  <si>
    <t>Transport maritime international - hors total national</t>
  </si>
  <si>
    <t>Transport aérien international - hors total national</t>
  </si>
  <si>
    <t>Autres engins hors total national</t>
  </si>
  <si>
    <t>Total transport international exclu du total national</t>
  </si>
  <si>
    <t>UTCATF (Utilisation des Terres, Changements d'Affectation des Terres et Forêt)</t>
  </si>
  <si>
    <t>Terres cultivées</t>
  </si>
  <si>
    <t>Prairies</t>
  </si>
  <si>
    <t>Autres terres</t>
  </si>
  <si>
    <t>Barrages</t>
  </si>
  <si>
    <t>Total UTCATF (total national)</t>
  </si>
  <si>
    <t>Analyse par combustible</t>
  </si>
  <si>
    <t>Emissions liées à la combustion d'autres combustibles</t>
  </si>
  <si>
    <t>Total d'émissions de combustion</t>
  </si>
  <si>
    <r>
      <t>CH</t>
    </r>
    <r>
      <rPr>
        <b/>
        <vertAlign val="subscript"/>
        <sz val="20"/>
        <rFont val="Trebuchet MS"/>
        <family val="2"/>
      </rPr>
      <t>4</t>
    </r>
  </si>
  <si>
    <t>Méthane</t>
  </si>
  <si>
    <t>Emissions de CH4 (ktCO2e/an)
Périmètre : Métropole et Outre-mer inclus dans l'UE</t>
  </si>
  <si>
    <t>Emissions de N2O (ktCO2e/an)
Périmètre : Métropole et Outre-mer inclus dans l'UE</t>
  </si>
  <si>
    <r>
      <t>Emissions (Mt CO</t>
    </r>
    <r>
      <rPr>
        <sz val="8"/>
        <color theme="1"/>
        <rFont val="Calibri"/>
        <family val="2"/>
        <scheme val="minor"/>
      </rPr>
      <t>2</t>
    </r>
    <r>
      <rPr>
        <sz val="11"/>
        <color theme="1"/>
        <rFont val="Calibri"/>
        <family val="2"/>
        <scheme val="minor"/>
      </rPr>
      <t>e)</t>
    </r>
  </si>
  <si>
    <t>Emissions (Mt CO2e)</t>
  </si>
  <si>
    <r>
      <t>t CO</t>
    </r>
    <r>
      <rPr>
        <sz val="9"/>
        <color theme="1"/>
        <rFont val="Calibri"/>
        <family val="2"/>
        <scheme val="minor"/>
      </rPr>
      <t>2</t>
    </r>
    <r>
      <rPr>
        <sz val="11"/>
        <color theme="1"/>
        <rFont val="Calibri"/>
        <family val="2"/>
        <scheme val="minor"/>
      </rPr>
      <t>e/haSAU</t>
    </r>
  </si>
  <si>
    <r>
      <t>t CO</t>
    </r>
    <r>
      <rPr>
        <sz val="9"/>
        <color theme="1"/>
        <rFont val="Calibri"/>
        <family val="2"/>
        <scheme val="minor"/>
      </rPr>
      <t>2</t>
    </r>
    <r>
      <rPr>
        <sz val="11"/>
        <color theme="1"/>
        <rFont val="Calibri"/>
        <family val="2"/>
        <scheme val="minor"/>
      </rPr>
      <t>e/tN</t>
    </r>
  </si>
  <si>
    <t>sous-total Usage des bâtiments tertiaires et activités tertiaires</t>
  </si>
  <si>
    <t>TOTAL national hors UTCATF hors BECCS</t>
  </si>
  <si>
    <t>Total Industrie de l'énergie (avec CCS fossile)</t>
  </si>
  <si>
    <t>Total Industrie de l'énergie (avec BECCS)</t>
  </si>
  <si>
    <t>Total Industrie manufacturière (avec CCS fossile)</t>
  </si>
  <si>
    <t>Total Industrie manufacturière (avec BECCS)</t>
  </si>
  <si>
    <t>Industrie de l'énergie - CCS fossile</t>
  </si>
  <si>
    <t>Total Industrie de l'énergie - CCS fossile</t>
  </si>
  <si>
    <t>Industrie de l'énergie - BECCS</t>
  </si>
  <si>
    <t>Industrie manufacturière et construction - CCS fossile</t>
  </si>
  <si>
    <t>Total Industrie manufacturière - CCS fossile</t>
  </si>
  <si>
    <t>Industrie manufacturière et construction - BECCS</t>
  </si>
  <si>
    <t>Déplacements</t>
  </si>
  <si>
    <t>Habitat</t>
  </si>
  <si>
    <t>Alimentation</t>
  </si>
  <si>
    <t>Équipements</t>
  </si>
  <si>
    <t>Empreinte carbone</t>
  </si>
  <si>
    <t>Contexte 1,5 °C - Empreinte carbone</t>
  </si>
  <si>
    <t>Contexte 2 °C - Empreinte carbone</t>
  </si>
  <si>
    <t>Contexte 3 °C - Empreinte carbone</t>
  </si>
  <si>
    <t>Emissions importées</t>
  </si>
  <si>
    <t>Dont Verre</t>
  </si>
  <si>
    <t>1.1.3. Empreinte carbone</t>
  </si>
  <si>
    <t>Empreinte carbone du transport</t>
  </si>
  <si>
    <t>Trajectoire mondiale</t>
  </si>
  <si>
    <t>Contexte 1,5 °C - Emissions importées</t>
  </si>
  <si>
    <t>Contexte 2 °C - Emissions importées</t>
  </si>
  <si>
    <t>Contexte 3 °C - Emissions importées</t>
  </si>
  <si>
    <t>Empreinte carbone de l'alimentation</t>
  </si>
  <si>
    <t>Emissions importées de l'alimentation</t>
  </si>
  <si>
    <t>Emissions importées du transport</t>
  </si>
  <si>
    <t>Empreinte carbone de l'habitat</t>
  </si>
  <si>
    <t>Emissions importées de l'habitat</t>
  </si>
  <si>
    <t>Services</t>
  </si>
  <si>
    <t>Total empreinte carbone</t>
  </si>
  <si>
    <t>Total émissions importées</t>
  </si>
  <si>
    <t>Biens d'équipements</t>
  </si>
  <si>
    <t>Secteur</t>
  </si>
  <si>
    <t>Variables</t>
  </si>
  <si>
    <t>2030</t>
  </si>
  <si>
    <t>2050</t>
  </si>
  <si>
    <t>Intégrée au calcul d'intensité</t>
  </si>
  <si>
    <t>Transverse</t>
  </si>
  <si>
    <t>Population</t>
  </si>
  <si>
    <t>x</t>
  </si>
  <si>
    <t>Bâtiments</t>
  </si>
  <si>
    <t>Nombre de logements</t>
  </si>
  <si>
    <t>unité</t>
  </si>
  <si>
    <t>Surface totale de logements</t>
  </si>
  <si>
    <t>Mm^2</t>
  </si>
  <si>
    <t>Surface tertiaire</t>
  </si>
  <si>
    <t>Trafic (tous modes)</t>
  </si>
  <si>
    <t>Mds pkm</t>
  </si>
  <si>
    <t>Trafic deux roues</t>
  </si>
  <si>
    <t>Trafic bus et cars</t>
  </si>
  <si>
    <t>Trafic ferroviaire de passagers</t>
  </si>
  <si>
    <t>Trafic aérien domestique</t>
  </si>
  <si>
    <t>Trafic aérien international</t>
  </si>
  <si>
    <t>Trafic de marchandises (tous modes)</t>
  </si>
  <si>
    <t>Mds t-km</t>
  </si>
  <si>
    <t>Trafic PL</t>
  </si>
  <si>
    <t>Trafic VUL</t>
  </si>
  <si>
    <t>Milliards de véhicules km</t>
  </si>
  <si>
    <t>Trafic de marchandises rail</t>
  </si>
  <si>
    <t>Trafic fluvial</t>
  </si>
  <si>
    <t>Nombre de têtes Cheptel bovin</t>
  </si>
  <si>
    <t>1000 têtes</t>
  </si>
  <si>
    <t>Nombre de têtes porcs</t>
  </si>
  <si>
    <t>Nombre de têtes volailles</t>
  </si>
  <si>
    <t>Evolution de la SAU</t>
  </si>
  <si>
    <t>Mha</t>
  </si>
  <si>
    <t>Quantité d'azote minéral</t>
  </si>
  <si>
    <t>ktN</t>
  </si>
  <si>
    <t>%</t>
  </si>
  <si>
    <t>Quantité de viande produite</t>
  </si>
  <si>
    <t>kt</t>
  </si>
  <si>
    <t>Production de clinker</t>
  </si>
  <si>
    <t>Mt</t>
  </si>
  <si>
    <t>Production d'aluminium</t>
  </si>
  <si>
    <t>Production de papier</t>
  </si>
  <si>
    <t>Production d'acier</t>
  </si>
  <si>
    <t>Dont DRI</t>
  </si>
  <si>
    <t>Dont recyclé</t>
  </si>
  <si>
    <t>Production de sucre</t>
  </si>
  <si>
    <t>Production de verre</t>
  </si>
  <si>
    <t>Production d'éthylène</t>
  </si>
  <si>
    <t>Production de la branche chimie diffuse /2019</t>
  </si>
  <si>
    <t>Production de la branche équipements diffuse /2019</t>
  </si>
  <si>
    <t>Production de la branche non métallique diffuse /2019</t>
  </si>
  <si>
    <t>Production de la branche métaux primaire diffuse / 2019</t>
  </si>
  <si>
    <t>Production de la branche autres diffuse / 2019</t>
  </si>
  <si>
    <t>Tonnage de déchets stockés dans les ISDND</t>
  </si>
  <si>
    <t>Volume total de déchets</t>
  </si>
  <si>
    <t>Energie</t>
  </si>
  <si>
    <t>Production d'électricité totale</t>
  </si>
  <si>
    <t>TWh</t>
  </si>
  <si>
    <t>Production de chaleur vendue</t>
  </si>
  <si>
    <t>Quantité de pétrole raffinée (output)</t>
  </si>
  <si>
    <t>Quantité de charbon transformée dans les cokeries</t>
  </si>
  <si>
    <t>Pertes de transport et de distribution de gaz (hors biogaz)</t>
  </si>
  <si>
    <t>Quantité de déchets utilisés pour la production d'électricité et de chaleur</t>
  </si>
  <si>
    <t>Production d'électricité DROM</t>
  </si>
  <si>
    <t>2031</t>
  </si>
  <si>
    <t>2040</t>
  </si>
  <si>
    <t>2035</t>
  </si>
  <si>
    <t>2041</t>
  </si>
  <si>
    <t>2045</t>
  </si>
  <si>
    <t>kg CO2e/m²/an</t>
  </si>
  <si>
    <t>2032</t>
  </si>
  <si>
    <t>2033</t>
  </si>
  <si>
    <t>2034</t>
  </si>
  <si>
    <t>2036</t>
  </si>
  <si>
    <t>2039</t>
  </si>
  <si>
    <t>2038</t>
  </si>
  <si>
    <t>2037</t>
  </si>
  <si>
    <t>2044</t>
  </si>
  <si>
    <t>2043</t>
  </si>
  <si>
    <t>2042</t>
  </si>
  <si>
    <t>2046</t>
  </si>
  <si>
    <t>2049</t>
  </si>
  <si>
    <t>2048</t>
  </si>
  <si>
    <t>2047</t>
  </si>
  <si>
    <t>2029</t>
  </si>
  <si>
    <t>2028</t>
  </si>
  <si>
    <t>2027</t>
  </si>
  <si>
    <t>2026</t>
  </si>
  <si>
    <t>2025</t>
  </si>
  <si>
    <t>2024</t>
  </si>
  <si>
    <t>2023</t>
  </si>
  <si>
    <t>2022</t>
  </si>
  <si>
    <t>2021</t>
  </si>
  <si>
    <t>2020</t>
  </si>
  <si>
    <t>2019</t>
  </si>
  <si>
    <t>Trafic voitures particulières</t>
  </si>
  <si>
    <t>kgCO2e/pkm</t>
  </si>
  <si>
    <t>Mds€2014</t>
  </si>
  <si>
    <t>Consommation agroéquipements</t>
  </si>
  <si>
    <t>Production de la branche agro-alimentaire / 2019</t>
  </si>
  <si>
    <t>Production de la branche construction / 2019</t>
  </si>
  <si>
    <t>Eau usées</t>
  </si>
  <si>
    <t>Mhab</t>
  </si>
  <si>
    <t>1.1.5. Empreinte carbone</t>
  </si>
  <si>
    <t>t CO2e/tête</t>
  </si>
  <si>
    <t>t CO2e/tViande produite</t>
  </si>
  <si>
    <t>Mt CO2e/TWh</t>
  </si>
  <si>
    <t>kg CO2e/tête</t>
  </si>
  <si>
    <t>t CO2e/tdéchets</t>
  </si>
  <si>
    <t>tCO2e/tdéchets</t>
  </si>
  <si>
    <t>Emissions production d'électricité DROM</t>
  </si>
  <si>
    <t>Valorisation énergétique déchets drom</t>
  </si>
  <si>
    <t>t CO2e/tdéchets_UVE</t>
  </si>
  <si>
    <t>Production d'électricité totale hexagone</t>
  </si>
  <si>
    <t>Production d'électricité totale hexagone + déchets</t>
  </si>
  <si>
    <t>Scope 1 uniquement - Inclut les vols métropole-OM et intra OM</t>
  </si>
  <si>
    <t xml:space="preserve"> Scope 1 uniquement</t>
  </si>
  <si>
    <t>N2O</t>
  </si>
  <si>
    <t>Gaz F</t>
  </si>
  <si>
    <t xml:space="preserve">Transport </t>
  </si>
  <si>
    <t>Achats de biens (importés)</t>
  </si>
  <si>
    <t>Achats ou immobilisations de biens (importés)</t>
  </si>
  <si>
    <t>Achats de services (importés)</t>
  </si>
  <si>
    <t xml:space="preserve">Total industrie </t>
  </si>
  <si>
    <t>L'intégration du CCS et du BECCS dépend du choix réalisé dans l'onglet "Industrie"</t>
  </si>
  <si>
    <t xml:space="preserve">Total industrie de l'énergie </t>
  </si>
  <si>
    <t xml:space="preserve">Pour collectivités, services et établissements publics </t>
  </si>
  <si>
    <t>Ne prend en compte que les émissions liées aux chantiers, pas aux matières premières (ciment, métaux…)</t>
  </si>
  <si>
    <t>Postes d'émissions</t>
  </si>
  <si>
    <t xml:space="preserve">Indications des postes potentiellement significatifs </t>
  </si>
  <si>
    <t xml:space="preserve">Moyenne émissions importées </t>
  </si>
  <si>
    <t xml:space="preserve">Biens agricoles, produits de la mer, les biens agro-alimentaires,  l’assainissement, la cuisson (gaz, électricité) et la restauration collective </t>
  </si>
  <si>
    <t>Chauffage et refroidissement des logements (électricité, gaz, chaleur, fioul), construction, consommation d’électricité, et services immobiliers, déchets et divers.</t>
  </si>
  <si>
    <t>Les différents objets, appareils, textiles, outils, équipements numériques et mobiliers achetés par les ménages.</t>
  </si>
  <si>
    <t>Services publics et marchands (recherche et développement,  médias, activités et évènements sportifs, activités financières, hôtellerie et services divers)</t>
  </si>
  <si>
    <t xml:space="preserve">Importations hors France </t>
  </si>
  <si>
    <r>
      <t>Emissions (Mt CO</t>
    </r>
    <r>
      <rPr>
        <sz val="9"/>
        <color theme="1"/>
        <rFont val="Calibri"/>
        <family val="2"/>
        <scheme val="minor"/>
      </rPr>
      <t>2</t>
    </r>
    <r>
      <rPr>
        <sz val="11"/>
        <color theme="1"/>
        <rFont val="Calibri"/>
        <family val="2"/>
        <scheme val="minor"/>
      </rPr>
      <t>e)</t>
    </r>
  </si>
  <si>
    <t xml:space="preserve">A sélectionner </t>
  </si>
  <si>
    <t>Objectif de développer environ 400 000 bornes publiques accessibles en 2030 (dont environ 50 000 en recharge rapide</t>
  </si>
  <si>
    <t>La consommation moyenne des voitures particulières thermiques neuves diminue de 9 % d’ici 2030 par rapport à 2023</t>
  </si>
  <si>
    <t xml:space="preserve"> Forte augmentation de l’usage du vélo (de 5,5 à 19 Mds voy-km de 2019 à 2030 ; multiplication par 8 d’ici à 2050).
Développement des infrastructures cyclables afin de doubler le réseau d’ici 2030 pour le porter à 100 000 kilomètres.</t>
  </si>
  <si>
    <t xml:space="preserve">66 % de véhicules électrifiés dans les ventes de véhicules particuliers neufs en 2030
100 % en 2050 </t>
  </si>
  <si>
    <t xml:space="preserve">Electrification des VUL et poids lourds </t>
  </si>
  <si>
    <t>90 % des autobus, 30 % des autocars neufs vendus en 2030 sont électriques 
100 % des autobus vendus à partir de 2035 sont électriques 
A horizon 2050, 85 % des autocars neufs sont électriques et 5 % fonctionnent à l’hydrogène.</t>
  </si>
  <si>
    <t xml:space="preserve">Ventes électriques en 2030 : poids lourds 50 %, VUL 51 %
En 2050 : VUL 99 % (1 % hydrogène), poids lourds 85 % (5 % hydrogène) </t>
  </si>
  <si>
    <t xml:space="preserve">Le chargement moyen des camions passe de 8 tonnes en 2019 à 8, 3 tonnes d’ici 2030 et à 8,9 tonnes d'ici 2050 </t>
  </si>
  <si>
    <t>Diminuer d’au moins 60 % le parc de chaudières fioul dans les logements entre 2023 et 2030 (environ 250 000 foyers par an en moyenne) puis sortir des chaudières fioul.</t>
  </si>
  <si>
    <t>Diminuer d’au moins 20 % le parc de chaudières gaz dans les logements entre 2023 et 2030 (environ 350 000 foyers par an en moyenne), et remplacer la majorité des chaudières à gaz d’ici 2050 par des solutions décarbonées.</t>
  </si>
  <si>
    <t>Installation de pompes à chaleur</t>
  </si>
  <si>
    <t>Réseaux de chaleur urbain</t>
  </si>
  <si>
    <t>Atteindre 5,8 millions de logements raccordés en 2035 (325 000 raccordements par an en moyenne entre 2023 et 2030).</t>
  </si>
  <si>
    <t xml:space="preserve">Diminuer de 85 % des surfaces tertiaires chauffées au fioul entre 2020 et 2030. </t>
  </si>
  <si>
    <t xml:space="preserve">Diminuer de 17 % des surfaces tertiaires chauffées au gaz entre 2020 et 2030 et de 85 % entre 2020 et 2050. </t>
  </si>
  <si>
    <t xml:space="preserve">Eradiquer les passoires thermiques à l'horizon 2035-2040 </t>
  </si>
  <si>
    <t>Réduire de 32 % la consommation finale d'énergie du secteur résidentiel entre 2050 et 2023 (hors chaleur environnement)</t>
  </si>
  <si>
    <t>Réduire de 10 % la consommation finale d'énergie du secteur tertiaire entre 2050 et 2023 (hors chaleur environnement)</t>
  </si>
  <si>
    <t>Multiplication par 2 de la consommation de légumineuses à horizon 2030 et par 4 à horizon 2050, par rapport à 2020.</t>
  </si>
  <si>
    <t>Atteindre 10 % de la SAU cultivée en légumineuses d'ici au 1er janvier 2030.</t>
  </si>
  <si>
    <t>Réduire de 50 % les importations de soja à horizon 2030 par rapport à 2020.
Atteinte de l'autonomie protéique nationale en 2050.</t>
  </si>
  <si>
    <t>Atteindre 100 kha de surfaces de terres arables et prairies avec agroforesterie intraparcellaire en 2030, et 300 kha en 2050, réparties équitablement entre les terres arables et les prairies.</t>
  </si>
  <si>
    <t xml:space="preserve">La part des cultures intermédiaires à vocation énergétique (CIVE) au sein des cultures intermédiaires progresse, d’environ 4 % en 2020 à 19 % en 2030, avant d’atteindre 30 % en 2050. </t>
  </si>
  <si>
    <t>Part croissante des déjections animales méthanisées pour atteindre 22 % en 2030 et 80 % en 2050</t>
  </si>
  <si>
    <t>Changements de procédés</t>
  </si>
  <si>
    <t xml:space="preserve">Atteindre 6 Mt d'acier produit par réduction directe du minerai de fer (DRI) en 2050. </t>
  </si>
  <si>
    <t>Atteindre environ 5 TWh de consommation (énergétique et non énergétique) d’H2 électrolytique à horizon 2030 dans l’industrie, et environ 20 TWh à horizon 2050.</t>
  </si>
  <si>
    <t>Augmenter significativement la consommation de biomasse solide par rapport à 2023, en substitution du charbon, des produits pétroliers et du gaz fossile, pour les usages industriels en cohérence avec la hiérarchisation des usages de la biomasse (pour les usages hautes températures, difficiles à électrifier)</t>
  </si>
  <si>
    <t xml:space="preserve">Le secteur engage des travaux d’électrification, notamment via l’installation de pompes à chaleur (pour les basses températures), de chaudières électriques (par exemple pour la chimie ou l’agroalimentaire pour produire de la chaleur) ou encore de fours électriques (notamment pour la métallurgie et le verre). </t>
  </si>
  <si>
    <t xml:space="preserve">Taux d'incorporation des matières recyclées en 2030 : 
Sidérurgie : 54 % 
Aluminium : 60 %
Plastique : 35 %
Verre : 77 % 
Papier-pâtes : 78 % </t>
  </si>
  <si>
    <t xml:space="preserve">Taux d'incorporation des matières recyclées en 2050 : 
Sidérurgie : 60 % 
Aluminium : 70 %
Plastique : 35 %
Verre : 85 % 
Papier-pâtes : 87 % </t>
  </si>
  <si>
    <t xml:space="preserve">Production d'électricité </t>
  </si>
  <si>
    <t>Installer jusqu’à 4,5 GW d’électrolyseurs en 2030 et jusqu’à 8 GW en 2035, comme prévu par la Stratégie nationale de l’hydrogène décarboné.</t>
  </si>
  <si>
    <t>Captage de carbone (CCUS)</t>
  </si>
  <si>
    <t>Bio-énergies</t>
  </si>
  <si>
    <t xml:space="preserve">Fin de la production d'électricité à partir de fioul en 2030 </t>
  </si>
  <si>
    <t>En 2050, 100 % de la chaleur produite provient de sources de chaleur décarbonées.</t>
  </si>
  <si>
    <t>En cohérence avec les PPE spécifiques des zones non inter-connectées, atteinte rapide d’un mix électrique décarboné à plus de 99 %, permettant un bon niveau de qualité de service de l’électricité, via le développement des énergies renouvelables électriques associées à des solutions de stockages (STEP, batterie) et des centrales thermiques fonctionnant aux bioliquides (en partie importés de l’hexagone).</t>
  </si>
  <si>
    <t>Zones non-interconnectées</t>
  </si>
  <si>
    <t>Développer des capacités de production de chaleur décarbonée et des réseaux de chaleur en cohérence avec les objectifs de la PPE.</t>
  </si>
  <si>
    <t>Diminuer les volumes de déchets produits : -5 % de DAE (déchets d'activités économiques) et -15 % de DMA (déchets ménagers et assimilés) produits en 2030 par rapport à 2010.</t>
  </si>
  <si>
    <t>Diminuer de 40 % le volume de déchets stockés en ISDND entre 2022 et 2030 et de 70 % entre 2022 et 2050.</t>
  </si>
  <si>
    <t>Raccordement à des systèmes de traitement des eaux usées (STEP)</t>
  </si>
  <si>
    <t>Réduire le gaspillage alimentaire de 50 % d’ici 2030 par rapport à 2015.</t>
  </si>
  <si>
    <t>Maintenir les prairies permanentes productives à hauteur d’environ 7 150 kha de 2020 à 2050, afin de conserver le stockage de carbone qu’elles permettent.</t>
  </si>
  <si>
    <t xml:space="preserve">Baisse de 50 % de surfaces artificialisées entre la décennie 2011-2021 et 2021-2031 ; de 95 % entre la décennie 2011-2021 et la dernière décennie jusqu’à 2050. A horizon 2050, le volume de surfaces artificialisées est compensé par un volume équivalent de surfaces renaturées. </t>
  </si>
  <si>
    <t>La part des élevages bovins lait en système de pâturage dominant passe de 28 % en 2020 à 45 % en 2030, puis 64 % en 2050 
Les poulets label et agriculture biologique (AB) évoluent de 32 % en 2020 à 39% en 2030 puis 60 % en 2050 
Les porcs label et AB évoluent de 4 % en 2020 à 7 % en 2030 et 16 % en 2050</t>
  </si>
  <si>
    <t>Le taux de clinker par tonne de ciment produit est réduit de 5 % de 2019 à 2030 et de 9 % à horizon 2050.</t>
  </si>
  <si>
    <t xml:space="preserve">Bâtiment - Résidentiel </t>
  </si>
  <si>
    <t>Bâtiments - Tertiaire</t>
  </si>
  <si>
    <t>Hausse de la production de chaleur renouvelable et de récupération en 2030 et 2035 en cohérence avec la PPE. En 2050, la production est d’environ 500 TWh dont 250 TWh de chaleur de l’environnement utilisée dans les pompes à chaleur.</t>
  </si>
  <si>
    <t>Renouveler et adapter 10 % de la forêt française métropolitaine d’ici 2032, en priorisant les peuplements sinistrés, dépérissants et vulnérables</t>
  </si>
  <si>
    <t xml:space="preserve">Mix électrique à 96 % décarboné en 2030 (62 % nucléaire, 34 % énergies renouvelables), 100 % décarboné d'ici 2050 </t>
  </si>
  <si>
    <t>Part de l'électrique dans le parc roulant en 2030 : poids lourds 10 %, VUL 12 % 
En 2050 : 99 % VUL, 78 % poids lourds</t>
  </si>
  <si>
    <t xml:space="preserve">Rénovation des logements </t>
  </si>
  <si>
    <t>Baisse de 30 % de la consommation de gaz du tertiaire en 2030 vs 2019 (décret tertiaire) : 2 % du parc quitte le gaz chaque année, conduisant à environ 38 % du parc chauffé au gaz en 2030 versus 46 % en 2020. Les surfaces chauffées au gaz baissent de 85 % entre 2020 et 2050 et ne représentent plus que 7 % du parc en 2050.</t>
  </si>
  <si>
    <t xml:space="preserve">Déploiement de pompes à chaleur (23 % du parc en 2030 et 54 % en 2050), raccordement des surfaces au réseau de chaleur (19 % du parc en 2030 et 24 % en 2050), ainsi qu’une augmentation modérée des chaudières biomasse.  </t>
  </si>
  <si>
    <t xml:space="preserve"> Baisse de la consommation unitaire (par passager-km) de 14 % d’ici 2030 par rapport à 2019 et de 33 % d'ici à 2050.</t>
  </si>
  <si>
    <t xml:space="preserve">Objectif d’incorporation minimum de 1,2 % de carburants renouvelables d’origine non biogénique dans le maritime et de réduction de 6 % de l’intensité carbone de l’énergie utilisée par les navires en 2030, (soit l’équivalent d’environ 9 % de taux d’incorporation de biocarburants). Objectif de 11 % de taux d’incorporation en biocarburants et de 5 % de e-fuels à horizon 2030. 
A horizon 2050, réduction de l’intensité carbone des carburants de 80 %, ce qui implique une quasi-décarbonation du secteur. </t>
  </si>
  <si>
    <t>Développer les systèmes agroécologiques sur environ 36 % des surfaces en 2030 et 50 % en 2050, par rapport à 7,8 % en 2020. En particulier, développer l’agriculture biologique sur environ 21 % des surfaces en 2030 et 25 % en 2050, par rapport à 5,6 % en 2024.</t>
  </si>
  <si>
    <t>25 % des bovins bénéficient d’ajustements de leurs rations en 2030 lors des périodes en bâtiment (contre une proportion proche de 0 % en 2020), afin de limiter la fermentation entérique. En 2050, environ 80 % du cheptel est concerné par l’ajout d’additifs dans les rations lors des périodes en bâtiment.</t>
  </si>
  <si>
    <t xml:space="preserve">L’industrie poursuit ses efforts en matière d’abattement des gaz fluorés (notamment dans l’agroalimentaire) et de protoxyde d’azote (notamment dans la chimie) en adaptant ses procédés de production (par exemple, l’utilisation de fluides frigorigènes non fluorés ou en utilisant des catalyseurs pour le N2O). </t>
  </si>
  <si>
    <t>Faire évoluer les systèmes de production en grandes cultures</t>
  </si>
  <si>
    <t>Scope 1 uniquement, relatif par rapport à l'année de référence. En MtCO2e/Mds€2014</t>
  </si>
  <si>
    <t>Inclus dans total élevage, les émissions peuvent être en hausse (si % négatif)</t>
  </si>
  <si>
    <t xml:space="preserve"> Les émissions peuvent être en hausse (si % négatif)</t>
  </si>
  <si>
    <t xml:space="preserve">Parc roulant électrique en 2030  : 
VP : 15 %, autobus 33 %, autocar 5 % 
En 2050 : 
VP : 100 %, autobus 99 %, autocar 78 % </t>
  </si>
  <si>
    <t xml:space="preserve"> En 2050, les durées de demi-vie des charpentes atteignent 54 ans, des parquets/lambris 32,4 ans, des panneaux 27 ans et du papier 7 ans. </t>
  </si>
  <si>
    <t xml:space="preserve">Explication des onglets et FAQ </t>
  </si>
  <si>
    <t xml:space="preserve">Le scope 2 correspond uniquement à deux postes d'émissions qui peuvent être communs à tous types d'organisations, ils doivent donc toujours être étudiés. </t>
  </si>
  <si>
    <t>Onglet "Objectifs physiques sectoriels"</t>
  </si>
  <si>
    <t xml:space="preserve">Cet onglet regroupe les objectifs physiques sectoriels présents dans la SNBC. Il permet à une organisation, en plus de ses trajectoires GES, de vérifier que son activité et son plan de transition sont bien en phase avec les objectifs physiques de la SNBC. L'organisation devra choisir dans le tableur les thématiques principales de sa chaine de valeur afin de faire apparaitre les objectifs correspondants. Elle devra sélectionner au moins 3 objectifs significatifs et pertinents et vérifier leur cohérence avec ses activités. </t>
  </si>
  <si>
    <r>
      <t>Les onglets suivants sont les onglets sectoriels qui regroupent toutes les trajectoires de la SNBC. Ils servent de base de calcul aux onglets précédents (scopes et objectifs physiques). 
Dans ceux-ci se retrouvent notamment les trajectoires GES entre l'année de référence et l'année cible choisies, avec des trajectoires à la fois en t CO</t>
    </r>
    <r>
      <rPr>
        <sz val="9"/>
        <color theme="1"/>
        <rFont val="Calibri"/>
        <family val="2"/>
      </rPr>
      <t>2</t>
    </r>
    <r>
      <rPr>
        <sz val="11"/>
        <color theme="1"/>
        <rFont val="Calibri"/>
        <family val="2"/>
      </rPr>
      <t>e et en pourcentage, et également la variation annuelle moyenne correspondante. 
Plus bas se retrouvent les objectifs physiques de la SNBC présents également dans l'onglet "Objectifs physiques sectoriels", avec à droite de ceux-ci la présentation du poids GES des différents leviers sous forme graphique. 
En dernier point en bas des onglets sectoriels sont présents les objectifs de baisse des émissions de GES en intensité (sauf secteur UTCATF), qui peuvent également être utilisés de manière optionnelle par les organisations. Ces intensités sont des estimations calculées en scope 1.</t>
    </r>
  </si>
  <si>
    <t xml:space="preserve">Le scope 3 correspond aux émissions indirectes de la chaine de valeur de l'organisation. Le but de cet onglet est de proposer de manière non exhaustive des appariements souvent observés entre catégories d'organisation et postes d'émissions du scope 3 souvent significatifs. L'organisation pourra ainsi s'appuyer sur cet onglet pour la définition d'une trajectoire sur les émissions de son scope 3.
L'organisation doit là encore sélectionner sa ou ses catégories d'activité. A noter toutefois qu'elle doit également toujours sélectionner en plus la catégorie "Tous secteurs / tertiaire" qui fait apparaitre des postes pouvant toujours être significatifs quelque soit la catégorie d'entreprise.
L'organisation peut également considérer des trajectoires SNBC portant sur les émissions importées si c'est pertinent. </t>
  </si>
  <si>
    <t>Catégorie d’organisation</t>
  </si>
  <si>
    <t>Organisations possédant des terres</t>
  </si>
  <si>
    <t>Sélectionner la ou les catégories d'activité de l'organisation</t>
  </si>
  <si>
    <t xml:space="preserve">Sélectionner les thématiques de la chaine de valeur que vous souhaitez comparer aux objectifs physiques de la SNBC  </t>
  </si>
  <si>
    <t>Objectifs physiques</t>
  </si>
  <si>
    <t xml:space="preserve">1.2. Objectifs physiques sectoriels </t>
  </si>
  <si>
    <t xml:space="preserve">1.2 Objectifs physiques sectoriels </t>
  </si>
  <si>
    <t xml:space="preserve">La part d’engins agricoles fonctionnant avec des énergies non-fossiles (HVO100, électricité, H2, BioGNV) passe d’environ 0 % à 10 % du parc entre 2020 et 2030, 51% du parc en 2040, avant d’atteindre progressivement 100 % en 2050. </t>
  </si>
  <si>
    <t xml:space="preserve"> 50 000 kilomètres linéaires nets de haies plantées entre 2020 et 2030, poursuite de la dynamique à horizon 2050. Rythme pour atteindre +100 000 kml nets de haies plantées entre 2030 et 2050</t>
  </si>
  <si>
    <t xml:space="preserve">Les taux d'incorporation de matières premières recyclées dans les secteurs de l’acier, de l’aluminium, de la pétrochimie, du verre et du papier augmentent en moyenne de 13 points de pourcentage par branche en 2030 et de 19 points en 2050 (par rapport à 2021). </t>
  </si>
  <si>
    <t xml:space="preserve">L’hydrogène décarboné produit par électrolyse de l’eau est utilisé en substitution d’intrants matières fossiles et en substitution d’énergies fossiles, lorsqu’aucune alternative n’est possible. Dans la chimie, il est progressivement utilisé en substitution de l’hydrogène produit par vaporeformage du méthane (notamment dans les secteurs de l’ammoniac et de la pétrochimie). </t>
  </si>
  <si>
    <t>Réduction des émissions de gaz F (gaz réfrigérants…)</t>
  </si>
  <si>
    <t xml:space="preserve">Respect du règlement européen gaz F </t>
  </si>
  <si>
    <t>Déployer les techniques d’agriculture de précision sur 15 % de surfaces en plus de celles des systèmes agroécologiques en 2030 et 25 % en 2050 (5 % en 2020).</t>
  </si>
  <si>
    <t xml:space="preserve">Développer la production de biocarburants, bois-énergie et biométhane en cohérence avec les orientations fixées par la PPE. Par exemple la multiplication par 6 de la production de biométhane d'ici 2035. </t>
  </si>
  <si>
    <t>sols forestiers (hors inventaire)</t>
  </si>
  <si>
    <t>Protoxyde d'azote</t>
  </si>
  <si>
    <t>Emissions de gaz F (ktCO2e/an)
Périmètre : Métropole et Outre-mer inclus dans l'UE</t>
  </si>
  <si>
    <t>Gaz fluorés</t>
  </si>
  <si>
    <t>Hors CCS et BECCS</t>
  </si>
  <si>
    <t>Tous les secteurs sont concernés par les émissions du scope 2</t>
  </si>
  <si>
    <t xml:space="preserve">Réduction de 40 % de la consommation d'énergie finale du bâtiment tertiaire en 2030 par rapport à une année de référence fixée entre 2010 et 2019 (décret tertiaire). 
Réduction de 50 % en 2040 et 60 % en 2050 </t>
  </si>
  <si>
    <t xml:space="preserve">Augmentation moyenne du trafic des transports en commun de 25 % d’ici 2030 (25 % pour les bus et cars, et 25 % pour les trains) et de 55 % d’ici 2050. </t>
  </si>
  <si>
    <t>Triplement du nombre de trajets covoiturés en 2027 par rapport à 2019. Le nombre moyen de personnes par voiture passe de 1,43 à 1,51 d’ici 2030 pour les trajets courte distance.</t>
  </si>
  <si>
    <t xml:space="preserve">Maîtrise de la demande de transport aérien domestique :  baisse de 24 % sur les vols intérieurs hexagone entre 2030 et 2019, et de 38 % entre 2050 et 2019  </t>
  </si>
  <si>
    <t>Maîtrise de la demande de transport aérien international : croissance de 17 % pour le trafic international entre 2030 et 2019, de 20 % entre 2050 et 2019</t>
  </si>
  <si>
    <r>
      <t xml:space="preserve">La consommation des VUL thermiques neufs diminue de 13 % d’ici 2030 par rapport à 2019 
La consommation des VUL électriques neufs baisse de 6 % en 2030 par rapport à 2019 et de 14 % d'ici 2050
La consommation des PL diesel neufs diminue de 26 % d’ici 2030 par rapport à 2019 et de 27 % d'ici 2050 
La consommation des PL électriques neufs baisse de 14 % en 2030 par rapport à 2019 et de 20 % d'ici 2050. </t>
    </r>
    <r>
      <rPr>
        <sz val="11"/>
        <rFont val="Calibri"/>
        <family val="2"/>
      </rPr>
      <t> </t>
    </r>
  </si>
  <si>
    <r>
      <t>Installer entre 8,5 et 16 Mt CO</t>
    </r>
    <r>
      <rPr>
        <sz val="9"/>
        <rFont val="Calibri"/>
        <family val="2"/>
        <scheme val="minor"/>
      </rPr>
      <t>2</t>
    </r>
    <r>
      <rPr>
        <sz val="11"/>
        <rFont val="Calibri"/>
        <family val="2"/>
        <scheme val="minor"/>
      </rPr>
      <t>e de capacités de captage de CO</t>
    </r>
    <r>
      <rPr>
        <sz val="9"/>
        <rFont val="Calibri"/>
        <family val="2"/>
        <scheme val="minor"/>
      </rPr>
      <t>2</t>
    </r>
    <r>
      <rPr>
        <sz val="11"/>
        <rFont val="Calibri"/>
        <family val="2"/>
        <scheme val="minor"/>
      </rPr>
      <t xml:space="preserve"> - principalement biogénique (~80 %), par exemple via la production de chaleur à partir de biomasse - en 2050 dans l’énergie</t>
    </r>
  </si>
  <si>
    <t>Le boisement hors forêt passe de 1 000 ha/an en 2021 à 20 000 ha/an à horizon 2030 et 15 000 ha/an en 2050</t>
  </si>
  <si>
    <t xml:space="preserve">Ce tableur est à utiliser dans le cadre du guide national de déclinaison volontaire de la SNBC auprès des organisations, il regroupe les trajectoires sectorielles et sous-sectorielles de la SNBC jusqu'en 2050 ainsi que les objectifs physiques sectoriels présents dans celle-ci. </t>
  </si>
  <si>
    <t>La part modale du fret ferroviaire double entre 2019 et 2030 pour atteindre 18 %, puis croit jusqu’à 25 % à horizon 2050, en accord avec la stratégie nationale pour le fret ferroviaire. 
La part modale du fluvial passe de 2 % actuellement à 3 % en 2030 et 4 % en 2050.</t>
  </si>
  <si>
    <t xml:space="preserve">Le recours aux carburants alternatifs durables (incluant les biocarburants et les carburants de synthèse dont ceux élaborés à partir d'hydrogène bas-carbone) dans l’aérien croît à 6 % en 2030, 20 % en 2035 et 85 %  en 2050 </t>
  </si>
  <si>
    <t>Réduire la consommation d’engrais minéraux azotés de 30 % en 2030 et de 54 % en 2050, par rapport à 2020</t>
  </si>
  <si>
    <t>Dans le cadre du plan d’électrification, soutenir 150 engins agricoles électriques fabriqués en Europe et atteindre 400 ha de serres maraîchères et horticoles équipées de PAC d’ici 2030</t>
  </si>
  <si>
    <r>
      <t>Capter 4 à 8 Mt CO</t>
    </r>
    <r>
      <rPr>
        <sz val="8"/>
        <rFont val="Calibri"/>
        <family val="2"/>
        <scheme val="minor"/>
      </rPr>
      <t>2</t>
    </r>
    <r>
      <rPr>
        <sz val="11"/>
        <rFont val="Calibri"/>
        <family val="2"/>
        <scheme val="minor"/>
      </rPr>
      <t>e par an dans l’industrie à horizon 2030.
Capter entre 20 et 30 Mt CO</t>
    </r>
    <r>
      <rPr>
        <sz val="8"/>
        <rFont val="Calibri"/>
        <family val="2"/>
        <scheme val="minor"/>
      </rPr>
      <t>2</t>
    </r>
    <r>
      <rPr>
        <sz val="11"/>
        <rFont val="Calibri"/>
        <family val="2"/>
        <scheme val="minor"/>
      </rPr>
      <t>e par an dans l’industrie à horizon 2050, dont environ 60 % d’origine biogénique.</t>
    </r>
  </si>
  <si>
    <t>Les gains d’efficacité énergétique déjà réalisés ces dernières années se poursuivent. Ils sont très variables selon les secteurs industriels et atteignent en moyenne 8 % de gain en 2030 par branche industrielle par rapport à 2023, et 19 % en 2050</t>
  </si>
  <si>
    <t>Atteindre l'objectif du projet de la PPE 3 d'environ 10 TWh de chaleur produite par des CSR en 2030, en substitution du charbon, des produits pétroliers et du gaz fossile</t>
  </si>
  <si>
    <t>La part de l’électricité dans le mix énergétique de l’industrie augmente ainsi de 36 % en 2023 à 45 % en 2030 et 58 % en 2050.</t>
  </si>
  <si>
    <t xml:space="preserve">Installer massivement des pompes à chaleur dans les logements (environ 9 millions de PAC dans le parc en 2030 -  1 million d’installations annuelles en 2030 ; poursuite de la dynamique jusqu’en 2050). </t>
  </si>
  <si>
    <t xml:space="preserve">Les logements possédant un DPE A ou B représentent 63 % du parc en 2050 (89 % avec les DPE C) . </t>
  </si>
  <si>
    <t>Arrêter la production de pétrole brut et de gaz fossile sur le territoire national en 2040.
L’activité de raffinage baisse à mesure que l’usage des produits pétroliers diminue en France (-29 % de quantités raffinées en 2030 par rapport à 2019).</t>
  </si>
  <si>
    <t>Augmenter le raccordement de la population à une STEP en cohérence avec la directive « eaux résiduaires urbaines » (80 % en 2020).</t>
  </si>
  <si>
    <t>Le taux de captage du méthane dans les installations de stockage des déchets non-dangereux (ISDND) en exploitation passe de 66 % en 2020 à 83 % en 2030, 84 % en 2040 et 85 % en 2050</t>
  </si>
  <si>
    <t>Le taux de valorisation du biométhane capté passe de 77 % à 85 % en 2030 (puis reste stable)</t>
  </si>
  <si>
    <t>La part de récolte transformée en produits de « sciage » reste constante à hauteur de 12 % jusqu’en 2030, puis augmente à 14,5 % à horizon 2050</t>
  </si>
  <si>
    <t>La part de récolte entrant dans le compartiment « panneaux et isolants » passe de 10,5 % actuellement à 13 % en 2030, puis à 18 % à horizon 2050</t>
  </si>
  <si>
    <t>Le taux d’incorporation des matières premières recyclées dans les panneaux augmente : 35 % en 2030 et 55 % en 2050, contre 30 % en 2021.</t>
  </si>
  <si>
    <t>GNV</t>
  </si>
  <si>
    <t>Le (bio-)GNV représente 3 % du parc roulant de poids lourds et 12 % du parc roulant d’autobus et autocars en 2030, mais décroit ensuite, compte-tenu du développement de l’électrification. Le bioGNL fait partie des carburants mobilisés pour la décarbonation du secteur maritime.</t>
  </si>
  <si>
    <t>Objectifs de la SNBC à suivre</t>
  </si>
  <si>
    <t>Cet onglet permet de choisir les années de référence et les années cibles sur lesquelles l'entreprise souhaite baser sa trajectoire. Il est à remplir en premier lors de l'utilisation de ce document. 
Le changement des années cibles et des années de référence fait varier les trajectoires présentes dans les autres onglets. 
Il est important de choisir des années de référence représentatives des émissions de la France, en évitant par exemple dans la mesure du possible les années affectées par l'épidémie de COVID-19. L'année de référence 2023 est celle sur laquelle se basent les calculs de la SNBC et est donc à prioriser. 
Les données en intensité présentes dans les onglets sectoriels ne sont disponibles qu'à partir de 2019.
Cet onglet permet également de sélectionner différents niveaux de réchauffements mondiaux ayant un impact uniquement sur les trajectoires en empreinte carbone et en émissions importées.</t>
  </si>
  <si>
    <t>2 °C</t>
  </si>
  <si>
    <t>Engins, moteurs et chaudières en agriculture et en sylviculture</t>
  </si>
  <si>
    <t>Cet onglet correspond à la comparaison à effectuer entre les émissions du scope 1 d'une organisation et les trajectoires sectorielles. Les émissions du scope 1 correspondent aux émissions du secteur de la SNBC de l'organisation, sauf quelques cas particuliers expliqués dans le corps du guide.
L'organisation doit sélectionner dans le tableau la ou les catégories de son activité, et comparer ses émissions directes aux trajectoires proposées. 
Lors du choix de la catégorie d'organisation, le tableur peut proposer plusieurs trajectoires en fonction de la précision recherchée. Par exemple si le transport est choisi, alors, une trajectoire générale pour les transports sera proposée, mais également des sous-trajectoires (aérien, poids lourds...). L'objectif est en effet, lorsque c'est possible, de comparer les émissions à la trajectoire la plus précise disponible. Ce principe est également vrai pour l'onglet "Scope 3".</t>
  </si>
  <si>
    <t xml:space="preserve">Cet onglet présente pour information de manière très détaillée les trajectoires et sous-trajectoires GES de la France, en inventaire jusqu'en 2025 (édition 2026 de l'inventaire SECTEN), puis en projections jusqu'en 2050. 
A noter que quelques lignes sont grisées (par exemple celle sur la trajectoire "Sucres") pour indiquer qu'elles ont fait l'objet de recalculs spécifiques à destination de ce guide, et ne font pas partie du périmètre habituel des secteurs pris en compte dans l'inventaire français. Ces trajectoires n'engagent pas la DGEC. </t>
  </si>
  <si>
    <t>Fabrication et consommation de carburant, production et entretien des véhicules, services de transports terrestres et aériens, et  émissions liées à la construction des infrastructures</t>
  </si>
  <si>
    <t>Usage total : résidentiel + tertiaire + artificialisation</t>
  </si>
  <si>
    <t>Bâtiment</t>
  </si>
  <si>
    <t xml:space="preserve">Usage du bâtiment tertiaire </t>
  </si>
  <si>
    <t xml:space="preserve">Usage du bâtiment résidentiel </t>
  </si>
  <si>
    <t>Total agriculture (élevage + culture + émissions énergétiques)</t>
  </si>
  <si>
    <t>L'intégration du CCS et du BECCS dans les cases liées à l'énergie dépend du choix réalisé dans l'onglet "Energie"</t>
  </si>
  <si>
    <t>Pour le secteur UTCATF, un % positif indique une baisse des absorptions de GES, donc une hausse des émissions du secteur</t>
  </si>
  <si>
    <t>Soutes internationales (aérien)</t>
  </si>
  <si>
    <t>Pétrochimie</t>
  </si>
  <si>
    <t>Capture directe du carbone (DAC "Direct Carbon Capture")</t>
  </si>
  <si>
    <t>m^2</t>
  </si>
  <si>
    <t>Emissions hors CCS et BECCS</t>
  </si>
  <si>
    <t>Emissions dans l'air - Source Citepa édition 2026 - inventaire national d'émissions de gaz à effet de serre et de polluants atmosphériques - citepa.org</t>
  </si>
  <si>
    <r>
      <t>Emissions dans l'air - Source Citepa édition 2026</t>
    </r>
    <r>
      <rPr>
        <sz val="10"/>
        <rFont val="Trebuchet MS"/>
        <family val="2"/>
      </rPr>
      <t xml:space="preserve"> - inventaire national d'émissions de gaz à effet de serre et de polluants atmosphériques - citepa.org</t>
    </r>
  </si>
  <si>
    <t>Mt CO2e</t>
  </si>
  <si>
    <t>kg CO2e/tkm</t>
  </si>
  <si>
    <t>kg CO2e/Milliards de véhicules km</t>
  </si>
  <si>
    <t>Mt CO2e/Mt</t>
  </si>
  <si>
    <t>Mt CO2e/Mds€2014</t>
  </si>
  <si>
    <t>Mt CO2e/Mhab</t>
  </si>
  <si>
    <t>g CO2e/kWh</t>
  </si>
  <si>
    <t>t CO2e/logement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</si>
</sst>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3">
    <numFmt numFmtId="41" formatCode="_-* #,##0_-;\-* #,##0_-;_-* &quot;-&quot;_-;_-@_-"/>
    <numFmt numFmtId="43" formatCode="_-* #,##0.00_-;\-* #,##0.00_-;_-* &quot;-&quot;??_-;_-@_-"/>
    <numFmt numFmtId="164" formatCode="_-* #,##0.00\ _€_-;\-* #,##0.00\ _€_-;_-* &quot;-&quot;??\ _€_-;_-@_-"/>
    <numFmt numFmtId="165" formatCode="0.0%"/>
    <numFmt numFmtId="166" formatCode="_-* #,##0.00000\ _€_-;\-* #,##0.00000\ _€_-;_-* &quot;-&quot;?\ _€_-;_-@_-"/>
    <numFmt numFmtId="167" formatCode="_-* #,##0.0000\ _€_-;\-* #,##0.0000\ _€_-;_-* &quot;-&quot;?\ _€_-;_-@_-"/>
    <numFmt numFmtId="168" formatCode="0.0"/>
    <numFmt numFmtId="169" formatCode="_-* #,##0.0_-;\-* #,##0.0_-;_-* &quot;-&quot;??_-;_-@_-"/>
    <numFmt numFmtId="170" formatCode="_-* #,##0.0\ _€_-;\-* #,##0.0\ _€_-;_-* &quot;-&quot;??\ _€_-;_-@_-"/>
    <numFmt numFmtId="171" formatCode="#,##0.0"/>
    <numFmt numFmtId="172" formatCode="#,##0.000"/>
    <numFmt numFmtId="173" formatCode="_-* #,##0.00_-;\-* #,##0.00_-;_-* \-??_-;_-@_-"/>
    <numFmt numFmtId="174" formatCode="_-* #,##0.0\ _€_-;\-* #,##0.0\ _€_-;_-* &quot;-&quot;?\ _€_-;_-@_-"/>
    <numFmt numFmtId="175" formatCode="0.000"/>
    <numFmt numFmtId="176" formatCode="_-* #,##0\ _€_-;\-* #,##0\ _€_-;_-* &quot;-&quot;??\ _€_-;_-@_-"/>
    <numFmt numFmtId="177" formatCode="_(&quot;$&quot;* #,##0_);_(&quot;$&quot;* \(#,##0\);_(&quot;$&quot;* &quot;-&quot;_);_(@_)"/>
    <numFmt numFmtId="178" formatCode="#,##0.00&quot; &quot;;&quot;-&quot;#,##0.00&quot; &quot;;&quot;-&quot;#&quot; &quot;;@&quot; &quot;"/>
    <numFmt numFmtId="179" formatCode="mmmm&quot; &quot;d&quot;, &quot;yyyy"/>
    <numFmt numFmtId="180" formatCode="#,##0.00&quot; € &quot;;#,##0.00&quot; € &quot;;&quot;-&quot;#&quot; € &quot;;@&quot; &quot;"/>
    <numFmt numFmtId="181" formatCode="#,##0.00&quot; &quot;[$€]&quot; &quot;;#,##0.00&quot; &quot;[$€]&quot; &quot;;&quot;-&quot;#&quot; &quot;[$€]&quot; &quot;;&quot; &quot;@&quot; &quot;"/>
    <numFmt numFmtId="182" formatCode="#,##0.00&quot; &quot;[$€-401]&quot; &quot;;#,##0.00&quot; &quot;[$€-401]&quot; &quot;;&quot;-&quot;#&quot; &quot;[$€-401]&quot; &quot;"/>
    <numFmt numFmtId="183" formatCode="#,##0.00&quot; &quot;[$€];&quot;-&quot;#,##0.00&quot; &quot;[$€]"/>
    <numFmt numFmtId="184" formatCode="#,##0.00&quot; &quot;[$€]&quot; &quot;;#,##0.00&quot; &quot;[$€]&quot; &quot;;&quot;-&quot;#&quot; &quot;[$€]&quot; &quot;;@&quot; &quot;"/>
    <numFmt numFmtId="185" formatCode="0&quot; &quot;%"/>
    <numFmt numFmtId="186" formatCode="#,##0.00&quot;    &quot;;#,##0.00&quot;    &quot;;&quot;-&quot;#&quot;    &quot;;&quot; &quot;@&quot; &quot;"/>
    <numFmt numFmtId="187" formatCode="#,##0.00&quot;    &quot;;#,##0.00&quot;    &quot;;&quot;-&quot;#&quot;    &quot;;@&quot; &quot;"/>
    <numFmt numFmtId="188" formatCode="#,##0&quot; F&quot;;&quot;-&quot;#,##0&quot; F&quot;"/>
    <numFmt numFmtId="189" formatCode="0.00&quot; &quot;"/>
    <numFmt numFmtId="190" formatCode="&quot;(&quot;#&quot;)&quot;;&quot;(&quot;#&quot;)&quot;"/>
    <numFmt numFmtId="191" formatCode="#,##0.00&quot; &quot;[$€-40C];[Red]&quot;-&quot;#,##0.00&quot; &quot;[$€-40C]"/>
    <numFmt numFmtId="192" formatCode="#,##0.0000"/>
    <numFmt numFmtId="193" formatCode="[$€-402]&quot; &quot;#,##0.0"/>
    <numFmt numFmtId="194" formatCode="[$€-402]&quot; &quot;#,##0.00"/>
    <numFmt numFmtId="195" formatCode="[$€-402]&quot; &quot;#,##0"/>
    <numFmt numFmtId="196" formatCode="#,##0.0&quot; F&quot;"/>
    <numFmt numFmtId="197" formatCode="#,##0.00&quot; F&quot;"/>
    <numFmt numFmtId="198" formatCode="#,##0&quot; F&quot;"/>
    <numFmt numFmtId="199" formatCode="0.00&quot; &quot;%"/>
    <numFmt numFmtId="200" formatCode="#,##0&quot; F &quot;;#,##0&quot; F &quot;;&quot;- F &quot;;&quot; &quot;@&quot; &quot;"/>
    <numFmt numFmtId="201" formatCode="#,##0.00&quot; F &quot;;#,##0.00&quot; F &quot;;&quot;-&quot;#&quot; F &quot;;&quot; &quot;@&quot; &quot;"/>
    <numFmt numFmtId="202" formatCode="#,##0.00&quot; &quot;[$€-40C]&quot; &quot;;#,##0.00&quot; &quot;[$€-40C]&quot; &quot;;&quot;-&quot;#&quot; &quot;[$€-40C]&quot; &quot;;&quot; &quot;@&quot; &quot;"/>
    <numFmt numFmtId="203" formatCode="#,##0.00&quot; &quot;[$€-40C];&quot;-&quot;#,##0.00&quot; &quot;[$€-40C]"/>
    <numFmt numFmtId="204" formatCode="#,##0.00&quot; &quot;[$€-40C]&quot; &quot;;#,##0.00&quot; &quot;[$€-40C]&quot; &quot;;&quot;-&quot;#&quot; &quot;[$€-40C]&quot; &quot;;@&quot; &quot;"/>
    <numFmt numFmtId="205" formatCode="&quot; &quot;#,##0.00&quot; &quot;;&quot;-&quot;#,##0.00&quot; &quot;;&quot; -&quot;00&quot; &quot;;&quot; &quot;@&quot; &quot;"/>
    <numFmt numFmtId="206" formatCode="[$€-40C]&quot; &quot;#,##0.0"/>
    <numFmt numFmtId="207" formatCode="[$€-40C]&quot; &quot;#,##0.00"/>
    <numFmt numFmtId="208" formatCode="[$€-40C]&quot; &quot;#,##0"/>
    <numFmt numFmtId="209" formatCode="[$€]&quot; &quot;#,##0.0"/>
    <numFmt numFmtId="210" formatCode="[$€]&quot; &quot;#,##0.00"/>
    <numFmt numFmtId="211" formatCode="[$€]&quot; &quot;#,##0"/>
    <numFmt numFmtId="212" formatCode="0\ %"/>
    <numFmt numFmtId="213" formatCode="_-* #,##0.00&quot; €&quot;_-;\-* #,##0.00&quot; €&quot;_-;_-* \-??&quot; €&quot;_-;_-@_-"/>
    <numFmt numFmtId="214" formatCode="#,##0.00\ [$€-40C];[Red]\-#,##0.00\ [$€-40C]"/>
  </numFmts>
  <fonts count="289">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name val="Geneva"/>
    </font>
    <font>
      <b/>
      <sz val="12"/>
      <color theme="0"/>
      <name val="Arial"/>
      <family val="2"/>
    </font>
    <font>
      <b/>
      <sz val="18"/>
      <color theme="3"/>
      <name val="Calibri Light"/>
      <family val="2"/>
      <scheme val="major"/>
    </font>
    <font>
      <u/>
      <sz val="11"/>
      <color theme="10"/>
      <name val="Calibri"/>
      <family val="2"/>
      <scheme val="minor"/>
    </font>
    <font>
      <sz val="11"/>
      <name val="Calibri"/>
      <family val="2"/>
      <scheme val="minor"/>
    </font>
    <font>
      <b/>
      <sz val="11"/>
      <color rgb="FFFF0000"/>
      <name val="Calibri"/>
      <family val="2"/>
      <scheme val="minor"/>
    </font>
    <font>
      <u/>
      <sz val="11"/>
      <color theme="1"/>
      <name val="Calibri"/>
      <family val="2"/>
      <scheme val="minor"/>
    </font>
    <font>
      <b/>
      <u/>
      <sz val="11"/>
      <color rgb="FFFF0000"/>
      <name val="Calibri"/>
      <family val="2"/>
      <scheme val="minor"/>
    </font>
    <font>
      <b/>
      <sz val="11"/>
      <color theme="5"/>
      <name val="Calibri"/>
      <family val="2"/>
      <scheme val="minor"/>
    </font>
    <font>
      <b/>
      <i/>
      <sz val="11"/>
      <color theme="1"/>
      <name val="Calibri"/>
      <family val="2"/>
      <scheme val="minor"/>
    </font>
    <font>
      <sz val="11"/>
      <color theme="6" tint="-0.249977111117893"/>
      <name val="Calibri"/>
      <family val="2"/>
      <scheme val="minor"/>
    </font>
    <font>
      <i/>
      <sz val="11"/>
      <color theme="1"/>
      <name val="Calibri"/>
      <family val="2"/>
      <scheme val="minor"/>
    </font>
    <font>
      <b/>
      <sz val="11"/>
      <name val="Calibri"/>
      <family val="2"/>
      <scheme val="minor"/>
    </font>
    <font>
      <sz val="11"/>
      <color theme="5"/>
      <name val="Calibri"/>
      <family val="2"/>
      <scheme val="minor"/>
    </font>
    <font>
      <u/>
      <sz val="11"/>
      <color theme="5"/>
      <name val="Calibri"/>
      <family val="2"/>
      <scheme val="minor"/>
    </font>
    <font>
      <b/>
      <u/>
      <sz val="11"/>
      <color theme="1"/>
      <name val="Calibri"/>
      <family val="2"/>
      <scheme val="minor"/>
    </font>
    <font>
      <b/>
      <sz val="11"/>
      <color rgb="FF7030A0"/>
      <name val="Calibri"/>
      <family val="2"/>
      <scheme val="minor"/>
    </font>
    <font>
      <sz val="10"/>
      <name val="Arial"/>
      <family val="2"/>
    </font>
    <font>
      <b/>
      <sz val="20"/>
      <name val="Trebuchet MS"/>
      <family val="2"/>
    </font>
    <font>
      <b/>
      <sz val="14"/>
      <name val="Trebuchet MS"/>
      <family val="2"/>
    </font>
    <font>
      <sz val="14"/>
      <name val="Trebuchet MS"/>
      <family val="2"/>
    </font>
    <font>
      <b/>
      <sz val="10"/>
      <name val="Trebuchet MS"/>
      <family val="2"/>
    </font>
    <font>
      <sz val="10"/>
      <name val="Trebuchet MS"/>
      <family val="2"/>
    </font>
    <font>
      <i/>
      <sz val="10"/>
      <name val="Trebuchet MS"/>
      <family val="2"/>
    </font>
    <font>
      <b/>
      <sz val="16"/>
      <name val="Trebuchet MS"/>
      <family val="2"/>
    </font>
    <font>
      <b/>
      <sz val="14"/>
      <color theme="0"/>
      <name val="Trebuchet MS"/>
      <family val="2"/>
    </font>
    <font>
      <sz val="14"/>
      <color theme="0"/>
      <name val="Trebuchet MS"/>
      <family val="2"/>
    </font>
    <font>
      <b/>
      <i/>
      <sz val="9"/>
      <name val="Trebuchet MS"/>
      <family val="2"/>
    </font>
    <font>
      <b/>
      <sz val="9"/>
      <name val="Trebuchet MS"/>
      <family val="2"/>
    </font>
    <font>
      <b/>
      <sz val="8"/>
      <name val="Trebuchet MS"/>
      <family val="2"/>
    </font>
    <font>
      <sz val="8"/>
      <name val="Trebuchet MS"/>
      <family val="2"/>
    </font>
    <font>
      <b/>
      <i/>
      <sz val="8"/>
      <name val="Trebuchet MS"/>
      <family val="2"/>
    </font>
    <font>
      <i/>
      <sz val="8"/>
      <name val="Trebuchet MS"/>
      <family val="2"/>
    </font>
    <font>
      <sz val="11"/>
      <color theme="1"/>
      <name val="Trebuchet MS"/>
      <family val="2"/>
    </font>
    <font>
      <b/>
      <sz val="11"/>
      <name val="Trebuchet MS"/>
      <family val="2"/>
    </font>
    <font>
      <sz val="11"/>
      <name val="Trebuchet MS"/>
      <family val="2"/>
    </font>
    <font>
      <b/>
      <sz val="11"/>
      <color theme="0"/>
      <name val="Trebuchet MS"/>
      <family val="2"/>
    </font>
    <font>
      <sz val="8"/>
      <color theme="1"/>
      <name val="Trebuchet MS"/>
      <family val="2"/>
    </font>
    <font>
      <sz val="11"/>
      <color theme="0"/>
      <name val="Trebuchet MS"/>
      <family val="2"/>
    </font>
    <font>
      <sz val="11"/>
      <color rgb="FF000000"/>
      <name val="Calibri"/>
      <family val="2"/>
      <charset val="1"/>
    </font>
    <font>
      <i/>
      <sz val="11"/>
      <color rgb="FF0070C0"/>
      <name val="Calibri"/>
      <family val="2"/>
      <scheme val="minor"/>
    </font>
    <font>
      <sz val="11"/>
      <color theme="0" tint="-0.499984740745262"/>
      <name val="Calibri"/>
      <family val="2"/>
      <scheme val="minor"/>
    </font>
    <font>
      <sz val="8"/>
      <color theme="0" tint="-0.499984740745262"/>
      <name val="Trebuchet MS"/>
      <family val="2"/>
    </font>
    <font>
      <sz val="11"/>
      <color theme="1"/>
      <name val="Calibri"/>
      <family val="2"/>
    </font>
    <font>
      <b/>
      <sz val="11"/>
      <color rgb="FF000000"/>
      <name val="Calibri"/>
      <family val="2"/>
    </font>
    <font>
      <b/>
      <sz val="11"/>
      <color rgb="FFFFFFFF"/>
      <name val="Calibri"/>
      <family val="2"/>
    </font>
    <font>
      <b/>
      <vertAlign val="subscript"/>
      <sz val="20"/>
      <name val="Trebuchet MS"/>
      <family val="2"/>
    </font>
    <font>
      <sz val="8"/>
      <color theme="2" tint="-0.499984740745262"/>
      <name val="Trebuchet MS"/>
      <family val="2"/>
    </font>
    <font>
      <b/>
      <sz val="8"/>
      <color theme="2" tint="-0.499984740745262"/>
      <name val="Trebuchet MS"/>
      <family val="2"/>
    </font>
    <font>
      <sz val="8"/>
      <color theme="1"/>
      <name val="Calibri"/>
      <family val="2"/>
      <scheme val="minor"/>
    </font>
    <font>
      <sz val="8"/>
      <name val="Calibri"/>
      <family val="2"/>
      <scheme val="minor"/>
    </font>
    <font>
      <sz val="9"/>
      <color indexed="81"/>
      <name val="Tahoma"/>
      <family val="2"/>
    </font>
    <font>
      <b/>
      <sz val="9"/>
      <color indexed="81"/>
      <name val="Tahoma"/>
      <family val="2"/>
    </font>
    <font>
      <sz val="11"/>
      <color rgb="FF00B050"/>
      <name val="Calibri"/>
      <family val="2"/>
      <scheme val="minor"/>
    </font>
    <font>
      <sz val="9"/>
      <color theme="1"/>
      <name val="Calibri"/>
      <family val="2"/>
      <scheme val="minor"/>
    </font>
    <font>
      <sz val="10"/>
      <name val="Calibri"/>
      <family val="2"/>
      <scheme val="minor"/>
    </font>
    <font>
      <b/>
      <sz val="9"/>
      <color rgb="FF000000"/>
      <name val="Tahoma"/>
      <family val="2"/>
    </font>
    <font>
      <sz val="9"/>
      <color rgb="FF000000"/>
      <name val="Tahoma"/>
      <family val="2"/>
    </font>
    <font>
      <sz val="11"/>
      <color rgb="FF0070C0"/>
      <name val="Calibri"/>
      <family val="2"/>
      <scheme val="minor"/>
    </font>
    <font>
      <sz val="8"/>
      <color indexed="81"/>
      <name val="Tahoma"/>
      <family val="2"/>
    </font>
    <font>
      <sz val="9"/>
      <color theme="1"/>
      <name val="Calibri"/>
      <family val="2"/>
    </font>
    <font>
      <sz val="11"/>
      <name val="Calibri"/>
      <family val="2"/>
    </font>
    <font>
      <sz val="9"/>
      <name val="Calibri"/>
      <family val="2"/>
      <scheme val="minor"/>
    </font>
    <font>
      <sz val="18"/>
      <color theme="3"/>
      <name val="Calibri Light"/>
      <family val="2"/>
      <scheme val="major"/>
    </font>
    <font>
      <sz val="11"/>
      <color rgb="FF000000"/>
      <name val="Calibri1"/>
    </font>
    <font>
      <sz val="11"/>
      <color indexed="8"/>
      <name val="Calibri"/>
      <family val="2"/>
    </font>
    <font>
      <sz val="11"/>
      <name val="Arial"/>
      <family val="2"/>
    </font>
    <font>
      <u/>
      <sz val="10"/>
      <color indexed="12"/>
      <name val="Arial"/>
      <family val="2"/>
    </font>
    <font>
      <sz val="10"/>
      <name val="MS Sans Serif"/>
      <family val="2"/>
    </font>
    <font>
      <sz val="10"/>
      <name val="Times New Roman"/>
      <family val="1"/>
    </font>
    <font>
      <sz val="10"/>
      <name val="MS Sans Serif"/>
      <family val="2"/>
      <charset val="1"/>
    </font>
    <font>
      <sz val="11"/>
      <color indexed="8"/>
      <name val="Liberation Sans"/>
      <family val="2"/>
    </font>
    <font>
      <sz val="10"/>
      <color rgb="FF000000"/>
      <name val="Arial1"/>
      <family val="2"/>
    </font>
    <font>
      <sz val="10"/>
      <color rgb="FF000000"/>
      <name val="Arial1"/>
    </font>
    <font>
      <sz val="10"/>
      <color rgb="FF000000"/>
      <name val="Times New Roman2"/>
      <family val="1"/>
    </font>
    <font>
      <sz val="10"/>
      <color rgb="FF000000"/>
      <name val="Times New Roman1"/>
      <family val="1"/>
    </font>
    <font>
      <sz val="12"/>
      <color rgb="FF000000"/>
      <name val="Calibri2"/>
      <family val="2"/>
    </font>
    <font>
      <sz val="12"/>
      <color rgb="FF000000"/>
      <name val="Calibri"/>
      <family val="2"/>
    </font>
    <font>
      <sz val="8"/>
      <color rgb="FF000000"/>
      <name val="Arial1"/>
    </font>
    <font>
      <sz val="8"/>
      <color rgb="FF000000"/>
      <name val="Arial1"/>
      <family val="2"/>
    </font>
    <font>
      <sz val="11"/>
      <color rgb="FF000000"/>
      <name val="Calibri2"/>
      <family val="2"/>
    </font>
    <font>
      <sz val="11"/>
      <color rgb="FF000000"/>
      <name val="Calibri"/>
      <family val="2"/>
    </font>
    <font>
      <sz val="12"/>
      <color rgb="FFFFFFFF"/>
      <name val="Calibri2"/>
      <family val="2"/>
    </font>
    <font>
      <sz val="12"/>
      <color rgb="FFFFFFFF"/>
      <name val="Calibri"/>
      <family val="2"/>
    </font>
    <font>
      <sz val="8"/>
      <color rgb="FFFFFFFF"/>
      <name val="Arial1"/>
    </font>
    <font>
      <sz val="8"/>
      <color rgb="FFFFFFFF"/>
      <name val="Arial1"/>
      <family val="2"/>
    </font>
    <font>
      <sz val="11"/>
      <color rgb="FFFFFFFF"/>
      <name val="Calibri2"/>
      <family val="2"/>
    </font>
    <font>
      <sz val="11"/>
      <color rgb="FFFFFFFF"/>
      <name val="Calibri"/>
      <family val="2"/>
    </font>
    <font>
      <sz val="8"/>
      <color rgb="FFFF0000"/>
      <name val="Arial1"/>
      <family val="2"/>
    </font>
    <font>
      <sz val="8"/>
      <color rgb="FFFF0000"/>
      <name val="Arial1"/>
    </font>
    <font>
      <sz val="11"/>
      <color rgb="FF800080"/>
      <name val="Calibri2"/>
      <family val="2"/>
    </font>
    <font>
      <sz val="11"/>
      <color rgb="FF800080"/>
      <name val="Calibri"/>
      <family val="2"/>
    </font>
    <font>
      <b/>
      <sz val="9"/>
      <color rgb="FF000000"/>
      <name val="Times New Roman2"/>
      <family val="1"/>
    </font>
    <font>
      <b/>
      <sz val="9"/>
      <color rgb="FF000000"/>
      <name val="Times New Roman1"/>
      <family val="1"/>
    </font>
    <font>
      <sz val="12"/>
      <color rgb="FF008000"/>
      <name val="Calibri2"/>
      <family val="2"/>
    </font>
    <font>
      <sz val="12"/>
      <color rgb="FF008000"/>
      <name val="Calibri"/>
      <family val="2"/>
    </font>
    <font>
      <sz val="11"/>
      <color rgb="FF008000"/>
      <name val="Calibri2"/>
      <family val="2"/>
    </font>
    <font>
      <sz val="11"/>
      <color rgb="FF008000"/>
      <name val="Calibri"/>
      <family val="2"/>
    </font>
    <font>
      <b/>
      <sz val="11"/>
      <color rgb="FF993300"/>
      <name val="Calibri2"/>
      <family val="2"/>
    </font>
    <font>
      <b/>
      <sz val="11"/>
      <color rgb="FF993300"/>
      <name val="Calibri"/>
      <family val="2"/>
    </font>
    <font>
      <b/>
      <sz val="8"/>
      <color rgb="FFFF9900"/>
      <name val="Arial1"/>
      <family val="2"/>
    </font>
    <font>
      <b/>
      <sz val="8"/>
      <color rgb="FFFF9900"/>
      <name val="Arial1"/>
    </font>
    <font>
      <b/>
      <sz val="11"/>
      <color rgb="FFFFFFFF"/>
      <name val="Calibri2"/>
      <family val="2"/>
    </font>
    <font>
      <sz val="11"/>
      <color rgb="FF993300"/>
      <name val="Calibri2"/>
      <family val="2"/>
    </font>
    <font>
      <sz val="11"/>
      <color rgb="FF993300"/>
      <name val="Calibri"/>
      <family val="2"/>
    </font>
    <font>
      <sz val="8"/>
      <color rgb="FFFF9900"/>
      <name val="Arial1"/>
      <family val="2"/>
    </font>
    <font>
      <sz val="8"/>
      <color rgb="FFFF9900"/>
      <name val="Arial1"/>
    </font>
    <font>
      <sz val="10"/>
      <color rgb="FF808080"/>
      <name val="Courier New"/>
      <family val="3"/>
    </font>
    <font>
      <sz val="10"/>
      <color rgb="FF000000"/>
      <name val="Courier New"/>
      <family val="3"/>
    </font>
    <font>
      <b/>
      <sz val="10"/>
      <color rgb="FFFFFFFF"/>
      <name val="Arial1"/>
      <family val="2"/>
    </font>
    <font>
      <b/>
      <sz val="10"/>
      <color rgb="FFFFFFFF"/>
      <name val="Arial1"/>
    </font>
    <font>
      <b/>
      <sz val="10"/>
      <color rgb="FF000000"/>
      <name val="Courier New"/>
      <family val="3"/>
    </font>
    <font>
      <sz val="8"/>
      <color rgb="FF000000"/>
      <name val="Courier New"/>
      <family val="3"/>
    </font>
    <font>
      <b/>
      <i/>
      <sz val="10"/>
      <color rgb="FF333300"/>
      <name val="Courier New"/>
      <family val="3"/>
    </font>
    <font>
      <b/>
      <i/>
      <sz val="10"/>
      <color rgb="FF008080"/>
      <name val="Courier New"/>
      <family val="3"/>
    </font>
    <font>
      <b/>
      <i/>
      <sz val="10"/>
      <color rgb="FF993300"/>
      <name val="Courier New"/>
      <family val="3"/>
    </font>
    <font>
      <b/>
      <i/>
      <sz val="10"/>
      <color rgb="FF808000"/>
      <name val="Courier New"/>
      <family val="3"/>
    </font>
    <font>
      <i/>
      <sz val="10"/>
      <color rgb="FF0000FF"/>
      <name val="Courier New"/>
      <family val="3"/>
    </font>
    <font>
      <b/>
      <sz val="11"/>
      <color rgb="FF000000"/>
      <name val="Times New Roman2"/>
      <family val="1"/>
    </font>
    <font>
      <b/>
      <sz val="11"/>
      <color rgb="FF000000"/>
      <name val="Times New Roman1"/>
      <family val="1"/>
    </font>
    <font>
      <b/>
      <sz val="10"/>
      <color rgb="FF000000"/>
      <name val="Times New Roman2"/>
      <family val="1"/>
    </font>
    <font>
      <b/>
      <sz val="10"/>
      <color rgb="FF000000"/>
      <name val="Times New Roman1"/>
      <family val="1"/>
    </font>
    <font>
      <b/>
      <i/>
      <sz val="10"/>
      <color rgb="FF000000"/>
      <name val="Arial1"/>
      <family val="2"/>
    </font>
    <font>
      <b/>
      <i/>
      <sz val="10"/>
      <color rgb="FF000000"/>
      <name val="Arial1"/>
    </font>
    <font>
      <sz val="10"/>
      <color rgb="FF3366FF"/>
      <name val="Arial1"/>
      <family val="2"/>
    </font>
    <font>
      <sz val="10"/>
      <color rgb="FF333399"/>
      <name val="Arial1"/>
      <family val="2"/>
    </font>
    <font>
      <sz val="10"/>
      <color rgb="FF3366FF"/>
      <name val="Arial1"/>
    </font>
    <font>
      <sz val="10"/>
      <color rgb="FF333399"/>
      <name val="Arial1"/>
    </font>
    <font>
      <b/>
      <sz val="10"/>
      <color rgb="FF333399"/>
      <name val="Arial1"/>
      <family val="2"/>
    </font>
    <font>
      <b/>
      <sz val="10"/>
      <color rgb="FF3366FF"/>
      <name val="Arial1"/>
      <family val="2"/>
    </font>
    <font>
      <b/>
      <sz val="10"/>
      <color rgb="FF3366FF"/>
      <name val="Arial1"/>
    </font>
    <font>
      <b/>
      <sz val="10"/>
      <color rgb="FF333399"/>
      <name val="Arial1"/>
    </font>
    <font>
      <b/>
      <sz val="11"/>
      <color rgb="FF3366FF"/>
      <name val="Calibri2"/>
      <family val="2"/>
    </font>
    <font>
      <b/>
      <sz val="11"/>
      <color rgb="FF3366FF"/>
      <name val="Calibri"/>
      <family val="2"/>
    </font>
    <font>
      <b/>
      <sz val="10"/>
      <color rgb="FF000000"/>
      <name val="Arial1"/>
      <family val="2"/>
    </font>
    <font>
      <b/>
      <sz val="18"/>
      <color rgb="FF000000"/>
      <name val="Arial1"/>
      <family val="2"/>
    </font>
    <font>
      <b/>
      <sz val="18"/>
      <color rgb="FF000000"/>
      <name val="Arial1"/>
    </font>
    <font>
      <b/>
      <sz val="12"/>
      <color rgb="FF000000"/>
      <name val="Arial1"/>
      <family val="2"/>
    </font>
    <font>
      <b/>
      <sz val="12"/>
      <color rgb="FF000000"/>
      <name val="Arial1"/>
    </font>
    <font>
      <i/>
      <sz val="8"/>
      <color rgb="FF666699"/>
      <name val="Arial1"/>
      <family val="2"/>
    </font>
    <font>
      <sz val="11"/>
      <color rgb="FF333399"/>
      <name val="Calibri2"/>
      <family val="2"/>
    </font>
    <font>
      <sz val="11"/>
      <color rgb="FF333399"/>
      <name val="Calibri"/>
      <family val="2"/>
    </font>
    <font>
      <sz val="8"/>
      <color rgb="FF333399"/>
      <name val="Arial1"/>
      <family val="2"/>
    </font>
    <font>
      <sz val="8"/>
      <color rgb="FF333399"/>
      <name val="Arial1"/>
    </font>
    <font>
      <i/>
      <sz val="11"/>
      <color rgb="FF808080"/>
      <name val="Calibri2"/>
      <family val="2"/>
    </font>
    <font>
      <i/>
      <sz val="11"/>
      <color rgb="FF808080"/>
      <name val="Calibri"/>
      <family val="2"/>
    </font>
    <font>
      <b/>
      <i/>
      <sz val="16"/>
      <color rgb="FF000000"/>
      <name val="Calibri2"/>
      <family val="2"/>
    </font>
    <font>
      <b/>
      <i/>
      <sz val="16"/>
      <color rgb="FF000000"/>
      <name val="Liberation Sans"/>
      <family val="2"/>
    </font>
    <font>
      <b/>
      <sz val="15"/>
      <color rgb="FF3366FF"/>
      <name val="Calibri2"/>
      <family val="2"/>
    </font>
    <font>
      <b/>
      <sz val="15"/>
      <color rgb="FF3366FF"/>
      <name val="Calibri"/>
      <family val="2"/>
    </font>
    <font>
      <b/>
      <sz val="13"/>
      <color rgb="FF3366FF"/>
      <name val="Calibri2"/>
      <family val="2"/>
    </font>
    <font>
      <b/>
      <sz val="13"/>
      <color rgb="FF3366FF"/>
      <name val="Calibri"/>
      <family val="2"/>
    </font>
    <font>
      <b/>
      <i/>
      <sz val="16"/>
      <color rgb="FF000000"/>
      <name val="Calibri"/>
      <family val="2"/>
    </font>
    <font>
      <sz val="8"/>
      <color rgb="FF0066CC"/>
      <name val="Arial1"/>
      <family val="2"/>
    </font>
    <font>
      <sz val="8"/>
      <color rgb="FF0066CC"/>
      <name val="Arial1"/>
    </font>
    <font>
      <u/>
      <sz val="10"/>
      <color rgb="FF0000FF"/>
      <name val="Arial1"/>
      <family val="2"/>
    </font>
    <font>
      <u/>
      <sz val="10"/>
      <color rgb="FF0066CC"/>
      <name val="Arial1"/>
      <family val="2"/>
    </font>
    <font>
      <u/>
      <sz val="10"/>
      <color rgb="FF0066CC"/>
      <name val="Arial1"/>
    </font>
    <font>
      <u/>
      <sz val="10"/>
      <color rgb="FF0000FF"/>
      <name val="Arial1"/>
    </font>
    <font>
      <u/>
      <sz val="10"/>
      <color rgb="FF0000FF"/>
      <name val="Times New Roman2"/>
      <family val="1"/>
    </font>
    <font>
      <u/>
      <sz val="10"/>
      <color rgb="FF0000FF"/>
      <name val="Times New Roman1"/>
      <family val="1"/>
    </font>
    <font>
      <u/>
      <sz val="11"/>
      <color rgb="FF0563C1"/>
      <name val="Calibri"/>
      <family val="2"/>
      <charset val="1"/>
    </font>
    <font>
      <b/>
      <sz val="12"/>
      <color rgb="FF000000"/>
      <name val="Times New Roman2"/>
      <family val="1"/>
    </font>
    <font>
      <b/>
      <sz val="8"/>
      <color rgb="FF000000"/>
      <name val="Arial1"/>
      <family val="2"/>
    </font>
    <font>
      <b/>
      <sz val="8"/>
      <color rgb="FF000000"/>
      <name val="Arial1"/>
    </font>
    <font>
      <b/>
      <u/>
      <sz val="8"/>
      <color rgb="FF000000"/>
      <name val="Arial1"/>
      <family val="2"/>
    </font>
    <font>
      <b/>
      <u/>
      <sz val="8"/>
      <color rgb="FF000000"/>
      <name val="Arial1"/>
    </font>
    <font>
      <i/>
      <u/>
      <sz val="8"/>
      <color rgb="FF000000"/>
      <name val="Arial1"/>
      <family val="2"/>
    </font>
    <font>
      <i/>
      <u/>
      <sz val="8"/>
      <color rgb="FF000000"/>
      <name val="Arial1"/>
    </font>
    <font>
      <sz val="8"/>
      <color rgb="FF000000"/>
      <name val="Comic Sans MS"/>
      <family val="4"/>
    </font>
    <font>
      <sz val="10"/>
      <color rgb="FF000000"/>
      <name val="Arial"/>
      <family val="2"/>
    </font>
    <font>
      <sz val="10"/>
      <color rgb="FFFF0000"/>
      <name val="Arial1"/>
      <family val="2"/>
    </font>
    <font>
      <sz val="11"/>
      <color rgb="FF333300"/>
      <name val="Calibri2"/>
      <family val="2"/>
    </font>
    <font>
      <sz val="11"/>
      <color rgb="FF333300"/>
      <name val="Calibri"/>
      <family val="2"/>
    </font>
    <font>
      <sz val="8"/>
      <color rgb="FF008080"/>
      <name val="Arial1"/>
      <family val="2"/>
    </font>
    <font>
      <sz val="8"/>
      <color rgb="FF008080"/>
      <name val="Arial1"/>
    </font>
    <font>
      <b/>
      <i/>
      <sz val="16"/>
      <color rgb="FF000000"/>
      <name val="Arial1"/>
      <family val="2"/>
    </font>
    <font>
      <b/>
      <i/>
      <sz val="16"/>
      <color rgb="FF000000"/>
      <name val="Arial1"/>
    </font>
    <font>
      <sz val="11"/>
      <color rgb="FF000000"/>
      <name val="Liberation Sans"/>
      <family val="2"/>
    </font>
    <font>
      <sz val="10"/>
      <color rgb="FF000000"/>
      <name val="Tahoma"/>
      <family val="2"/>
    </font>
    <font>
      <sz val="8"/>
      <color rgb="FF000000"/>
      <name val="Tahoma"/>
      <family val="2"/>
    </font>
    <font>
      <sz val="9"/>
      <color rgb="FF000000"/>
      <name val="Times New Roman2"/>
      <family val="1"/>
    </font>
    <font>
      <sz val="9"/>
      <color rgb="FF000000"/>
      <name val="Times New Roman1"/>
      <family val="1"/>
    </font>
    <font>
      <sz val="10"/>
      <color rgb="FF666699"/>
      <name val="Arial1"/>
      <family val="2"/>
    </font>
    <font>
      <sz val="10"/>
      <color rgb="FF666699"/>
      <name val="Arial1"/>
    </font>
    <font>
      <b/>
      <sz val="12"/>
      <color rgb="FF808080"/>
      <name val="Arial1"/>
      <family val="2"/>
    </font>
    <font>
      <b/>
      <sz val="11"/>
      <color rgb="FF333333"/>
      <name val="Calibri2"/>
      <family val="2"/>
    </font>
    <font>
      <b/>
      <sz val="11"/>
      <color rgb="FF333333"/>
      <name val="Calibri"/>
      <family val="2"/>
    </font>
    <font>
      <b/>
      <i/>
      <u/>
      <sz val="11"/>
      <color rgb="FF000000"/>
      <name val="Calibri2"/>
      <family val="2"/>
    </font>
    <font>
      <b/>
      <i/>
      <u/>
      <sz val="11"/>
      <color rgb="FF000000"/>
      <name val="Liberation Sans"/>
      <family val="2"/>
    </font>
    <font>
      <b/>
      <i/>
      <u/>
      <sz val="11"/>
      <color rgb="FF000000"/>
      <name val="Calibri"/>
      <family val="2"/>
    </font>
    <font>
      <sz val="8"/>
      <color rgb="FF008000"/>
      <name val="Arial1"/>
      <family val="2"/>
    </font>
    <font>
      <sz val="8"/>
      <color rgb="FF008000"/>
      <name val="Arial1"/>
    </font>
    <font>
      <b/>
      <sz val="8"/>
      <color rgb="FFFF6600"/>
      <name val="Arial1"/>
      <family val="2"/>
    </font>
    <font>
      <b/>
      <sz val="8"/>
      <color rgb="FFFF6600"/>
      <name val="Arial1"/>
    </font>
    <font>
      <i/>
      <sz val="8"/>
      <color rgb="FF008080"/>
      <name val="Arial1"/>
      <family val="2"/>
    </font>
    <font>
      <i/>
      <sz val="8"/>
      <color rgb="FF008080"/>
      <name val="Arial1"/>
    </font>
    <font>
      <b/>
      <sz val="10"/>
      <color rgb="FF000000"/>
      <name val="Arial1"/>
    </font>
    <font>
      <sz val="9"/>
      <color rgb="FF000000"/>
      <name val="Verdana"/>
      <family val="2"/>
    </font>
    <font>
      <sz val="10"/>
      <color rgb="FF008080"/>
      <name val="Courier New"/>
      <family val="3"/>
    </font>
    <font>
      <sz val="10"/>
      <color rgb="FF0066CC"/>
      <name val="Courier New"/>
      <family val="3"/>
    </font>
    <font>
      <sz val="10"/>
      <color rgb="FF008000"/>
      <name val="Courier New"/>
      <family val="3"/>
    </font>
    <font>
      <i/>
      <sz val="9"/>
      <color rgb="FF333300"/>
      <name val="Verdana"/>
      <family val="2"/>
    </font>
    <font>
      <i/>
      <sz val="9"/>
      <color rgb="FF008080"/>
      <name val="Verdana"/>
      <family val="2"/>
    </font>
    <font>
      <i/>
      <sz val="9"/>
      <color rgb="FF993300"/>
      <name val="Verdana"/>
      <family val="2"/>
    </font>
    <font>
      <i/>
      <sz val="9"/>
      <color rgb="FF808000"/>
      <name val="Verdana"/>
      <family val="2"/>
    </font>
    <font>
      <sz val="9"/>
      <color rgb="FF0000FF"/>
      <name val="Verdana"/>
      <family val="2"/>
    </font>
    <font>
      <sz val="9"/>
      <color rgb="FF000080"/>
      <name val="Verdana"/>
      <family val="2"/>
    </font>
    <font>
      <b/>
      <sz val="9"/>
      <color rgb="FF000000"/>
      <name val="Verdana"/>
      <family val="2"/>
    </font>
    <font>
      <b/>
      <sz val="10"/>
      <color rgb="FF008080"/>
      <name val="Courier New"/>
      <family val="3"/>
    </font>
    <font>
      <b/>
      <sz val="10"/>
      <color rgb="FF0066CC"/>
      <name val="Courier New"/>
      <family val="3"/>
    </font>
    <font>
      <b/>
      <sz val="10"/>
      <color rgb="FF008000"/>
      <name val="Courier New"/>
      <family val="3"/>
    </font>
    <font>
      <b/>
      <i/>
      <sz val="9"/>
      <color rgb="FF333300"/>
      <name val="Verdana"/>
      <family val="2"/>
    </font>
    <font>
      <b/>
      <i/>
      <sz val="9"/>
      <color rgb="FF008080"/>
      <name val="Verdana"/>
      <family val="2"/>
    </font>
    <font>
      <b/>
      <i/>
      <sz val="9"/>
      <color rgb="FF808000"/>
      <name val="Verdana"/>
      <family val="2"/>
    </font>
    <font>
      <b/>
      <i/>
      <sz val="9"/>
      <color rgb="FF993300"/>
      <name val="Verdana"/>
      <family val="2"/>
    </font>
    <font>
      <b/>
      <sz val="9"/>
      <color rgb="FF0000FF"/>
      <name val="Verdana"/>
      <family val="2"/>
    </font>
    <font>
      <b/>
      <sz val="9"/>
      <color rgb="FF000080"/>
      <name val="Verdana"/>
      <family val="2"/>
    </font>
    <font>
      <b/>
      <sz val="9"/>
      <color rgb="FF000000"/>
      <name val="Arial1"/>
      <family val="2"/>
    </font>
    <font>
      <b/>
      <sz val="9"/>
      <color rgb="FF000000"/>
      <name val="Arial1"/>
    </font>
    <font>
      <sz val="10"/>
      <color rgb="FF003366"/>
      <name val="Arial1"/>
      <family val="2"/>
    </font>
    <font>
      <sz val="10"/>
      <color rgb="FFCCFFFF"/>
      <name val="Arial1"/>
      <family val="2"/>
    </font>
    <font>
      <sz val="10"/>
      <color rgb="FFCCFFFF"/>
      <name val="Arial1"/>
    </font>
    <font>
      <sz val="10"/>
      <color rgb="FF99CCFF"/>
      <name val="Arial1"/>
      <family val="2"/>
    </font>
    <font>
      <sz val="10"/>
      <color rgb="FF99CCFF"/>
      <name val="Arial1"/>
    </font>
    <font>
      <sz val="10"/>
      <color rgb="FF003366"/>
      <name val="Arial1"/>
    </font>
    <font>
      <i/>
      <sz val="10"/>
      <color rgb="FF000000"/>
      <name val="Arial1"/>
      <family val="2"/>
    </font>
    <font>
      <i/>
      <sz val="10"/>
      <color rgb="FF000000"/>
      <name val="Arial1"/>
    </font>
    <font>
      <sz val="10"/>
      <color rgb="FFCCFFCC"/>
      <name val="Arial1"/>
      <family val="2"/>
    </font>
    <font>
      <sz val="10"/>
      <color rgb="FFCCFFCC"/>
      <name val="Arial1"/>
    </font>
    <font>
      <sz val="11"/>
      <color rgb="FFFF0000"/>
      <name val="Calibri2"/>
      <family val="2"/>
    </font>
    <font>
      <sz val="11"/>
      <color rgb="FFFF0000"/>
      <name val="Calibri"/>
      <family val="2"/>
    </font>
    <font>
      <i/>
      <sz val="8"/>
      <color rgb="FF808080"/>
      <name val="Arial1"/>
      <family val="2"/>
    </font>
    <font>
      <i/>
      <sz val="8"/>
      <color rgb="FF808080"/>
      <name val="Arial1"/>
    </font>
    <font>
      <b/>
      <sz val="18"/>
      <color rgb="FF3366FF"/>
      <name val="Cambria"/>
      <family val="1"/>
    </font>
    <font>
      <b/>
      <sz val="15"/>
      <color rgb="FF333399"/>
      <name val="Calibri2"/>
      <family val="2"/>
    </font>
    <font>
      <b/>
      <sz val="18"/>
      <color rgb="FF333399"/>
      <name val="Cambria"/>
      <family val="1"/>
    </font>
    <font>
      <b/>
      <sz val="15"/>
      <color rgb="FF000080"/>
      <name val="Arial1"/>
      <family val="2"/>
    </font>
    <font>
      <b/>
      <sz val="15"/>
      <color rgb="FF000080"/>
      <name val="Arial1"/>
    </font>
    <font>
      <sz val="18"/>
      <color rgb="FF666699"/>
      <name val="Calibri Light"/>
      <family val="2"/>
    </font>
    <font>
      <b/>
      <sz val="15"/>
      <color rgb="FF333399"/>
      <name val="Calibri"/>
      <family val="2"/>
    </font>
    <font>
      <b/>
      <sz val="13"/>
      <color rgb="FF333399"/>
      <name val="Calibri2"/>
      <family val="2"/>
    </font>
    <font>
      <b/>
      <sz val="18"/>
      <color rgb="FF000080"/>
      <name val="Cambria"/>
      <family val="1"/>
    </font>
    <font>
      <b/>
      <sz val="13"/>
      <color rgb="FF000080"/>
      <name val="Arial1"/>
      <family val="2"/>
    </font>
    <font>
      <b/>
      <sz val="13"/>
      <color rgb="FF000080"/>
      <name val="Arial1"/>
    </font>
    <font>
      <b/>
      <sz val="13"/>
      <color rgb="FF33CCCC"/>
      <name val="Calibri2"/>
      <family val="2"/>
    </font>
    <font>
      <b/>
      <sz val="13"/>
      <color rgb="FF33CCCC"/>
      <name val="Calibri"/>
      <family val="2"/>
    </font>
    <font>
      <b/>
      <sz val="13"/>
      <color rgb="FF333399"/>
      <name val="Calibri"/>
      <family val="2"/>
    </font>
    <font>
      <b/>
      <sz val="11"/>
      <color rgb="FF333399"/>
      <name val="Calibri2"/>
      <family val="2"/>
    </font>
    <font>
      <b/>
      <sz val="11"/>
      <color rgb="FF33CCCC"/>
      <name val="Calibri2"/>
      <family val="2"/>
    </font>
    <font>
      <b/>
      <sz val="11"/>
      <color rgb="FF33CCCC"/>
      <name val="Calibri"/>
      <family val="2"/>
    </font>
    <font>
      <b/>
      <sz val="11"/>
      <color rgb="FF000080"/>
      <name val="Arial1"/>
      <family val="2"/>
    </font>
    <font>
      <b/>
      <sz val="11"/>
      <color rgb="FF000080"/>
      <name val="Arial1"/>
    </font>
    <font>
      <b/>
      <sz val="11"/>
      <color rgb="FF333399"/>
      <name val="Calibri"/>
      <family val="2"/>
    </font>
    <font>
      <b/>
      <i/>
      <sz val="12"/>
      <color rgb="FF000000"/>
      <name val="Times New Roman2"/>
      <family val="1"/>
    </font>
    <font>
      <b/>
      <i/>
      <sz val="12"/>
      <color rgb="FF000000"/>
      <name val="Times New Roman1"/>
      <family val="1"/>
    </font>
    <font>
      <sz val="12"/>
      <color rgb="FF000000"/>
      <name val="Times New Roman2"/>
      <family val="1"/>
    </font>
    <font>
      <sz val="12"/>
      <color rgb="FF000000"/>
      <name val="Times New Roman1"/>
      <family val="1"/>
    </font>
    <font>
      <b/>
      <i/>
      <sz val="12"/>
      <color rgb="FF000000"/>
      <name val="Arial1"/>
      <family val="2"/>
    </font>
    <font>
      <b/>
      <i/>
      <sz val="12"/>
      <color rgb="FF000000"/>
      <name val="Arial1"/>
    </font>
    <font>
      <b/>
      <sz val="18"/>
      <color rgb="FF33CCCC"/>
      <name val="Cambria"/>
      <family val="1"/>
    </font>
    <font>
      <b/>
      <sz val="11"/>
      <color rgb="FF000000"/>
      <name val="Calibri2"/>
      <family val="2"/>
    </font>
    <font>
      <b/>
      <sz val="8"/>
      <color rgb="FFFFFFFF"/>
      <name val="Arial1"/>
      <family val="2"/>
    </font>
    <font>
      <b/>
      <sz val="8"/>
      <color rgb="FFFFFFFF"/>
      <name val="Arial1"/>
    </font>
    <font>
      <b/>
      <sz val="12"/>
      <color rgb="FFFFFFFF"/>
      <name val="Calibri2"/>
      <family val="2"/>
    </font>
    <font>
      <b/>
      <sz val="12"/>
      <color rgb="FFFFFFFF"/>
      <name val="Calibri"/>
      <family val="2"/>
    </font>
    <font>
      <sz val="9"/>
      <color rgb="FF000000"/>
      <name val="Times New Roman"/>
      <family val="1"/>
    </font>
    <font>
      <sz val="11"/>
      <color rgb="FF9C5700"/>
      <name val="Calibri"/>
      <family val="2"/>
      <scheme val="minor"/>
    </font>
    <font>
      <sz val="10"/>
      <color rgb="FF000000"/>
      <name val="Calibri"/>
      <family val="2"/>
    </font>
    <font>
      <b/>
      <i/>
      <sz val="16"/>
      <name val="Arial"/>
      <family val="2"/>
    </font>
    <font>
      <b/>
      <i/>
      <u/>
      <sz val="10"/>
      <name val="Arial"/>
      <family val="2"/>
    </font>
    <font>
      <sz val="11"/>
      <color rgb="FF000000"/>
      <name val="Arial"/>
      <family val="2"/>
    </font>
  </fonts>
  <fills count="1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bgColor indexed="64"/>
      </patternFill>
    </fill>
    <fill>
      <patternFill patternType="solid">
        <fgColor theme="4"/>
        <bgColor indexed="64"/>
      </patternFill>
    </fill>
    <fill>
      <patternFill patternType="solid">
        <fgColor theme="9" tint="-0.249977111117893"/>
        <bgColor indexed="64"/>
      </patternFill>
    </fill>
    <fill>
      <patternFill patternType="solid">
        <fgColor theme="6" tint="-0.249977111117893"/>
        <bgColor indexed="64"/>
      </patternFill>
    </fill>
    <fill>
      <patternFill patternType="solid">
        <fgColor rgb="FFE95042"/>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rgb="FF8DA9DB"/>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BDC921"/>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rgb="FF92C4E6"/>
        <bgColor indexed="64"/>
      </patternFill>
    </fill>
    <fill>
      <patternFill patternType="solid">
        <fgColor rgb="FFD4E5F4"/>
        <bgColor indexed="64"/>
      </patternFill>
    </fill>
    <fill>
      <patternFill patternType="solid">
        <fgColor rgb="FF0070C0"/>
        <bgColor indexed="64"/>
      </patternFill>
    </fill>
    <fill>
      <patternFill patternType="solid">
        <fgColor rgb="FFB0C8FE"/>
        <bgColor indexed="64"/>
      </patternFill>
    </fill>
    <fill>
      <patternFill patternType="solid">
        <fgColor rgb="FFC38DDB"/>
        <bgColor indexed="64"/>
      </patternFill>
    </fill>
    <fill>
      <patternFill patternType="solid">
        <fgColor rgb="FFB3A2C7"/>
        <bgColor indexed="64"/>
      </patternFill>
    </fill>
    <fill>
      <patternFill patternType="solid">
        <fgColor rgb="FFD2C846"/>
        <bgColor indexed="64"/>
      </patternFill>
    </fill>
    <fill>
      <patternFill patternType="solid">
        <fgColor rgb="FFF1EEC5"/>
        <bgColor indexed="64"/>
      </patternFill>
    </fill>
    <fill>
      <patternFill patternType="solid">
        <fgColor rgb="FFE0E5B3"/>
        <bgColor indexed="64"/>
      </patternFill>
    </fill>
    <fill>
      <patternFill patternType="solid">
        <fgColor rgb="FF92D050"/>
        <bgColor indexed="64"/>
      </patternFill>
    </fill>
    <fill>
      <patternFill patternType="solid">
        <fgColor rgb="FFF3F9E5"/>
        <bgColor indexed="64"/>
      </patternFill>
    </fill>
    <fill>
      <patternFill patternType="solid">
        <fgColor rgb="FFE9F5DB"/>
        <bgColor indexed="64"/>
      </patternFill>
    </fill>
    <fill>
      <patternFill patternType="solid">
        <fgColor rgb="FF7030A0"/>
        <bgColor indexed="64"/>
      </patternFill>
    </fill>
    <fill>
      <patternFill patternType="solid">
        <fgColor rgb="FFF8F3FB"/>
        <bgColor indexed="64"/>
      </patternFill>
    </fill>
    <fill>
      <patternFill patternType="solid">
        <fgColor rgb="FFEEE2F6"/>
        <bgColor indexed="64"/>
      </patternFill>
    </fill>
    <fill>
      <patternFill patternType="solid">
        <fgColor rgb="FF00B050"/>
        <bgColor indexed="64"/>
      </patternFill>
    </fill>
    <fill>
      <patternFill patternType="solid">
        <fgColor rgb="FFB7FFD8"/>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B873F7"/>
        <bgColor indexed="64"/>
      </patternFill>
    </fill>
    <fill>
      <patternFill patternType="solid">
        <fgColor theme="2" tint="-0.499984740745262"/>
        <bgColor indexed="64"/>
      </patternFill>
    </fill>
    <fill>
      <patternFill patternType="solid">
        <fgColor theme="4" tint="0.79998168889431442"/>
        <bgColor indexed="64"/>
      </patternFill>
    </fill>
    <fill>
      <patternFill patternType="solid">
        <fgColor rgb="FFD9D9D9"/>
        <bgColor rgb="FF000000"/>
      </patternFill>
    </fill>
    <fill>
      <patternFill patternType="solid">
        <fgColor rgb="FFFFFFFF"/>
        <bgColor rgb="FF000000"/>
      </patternFill>
    </fill>
    <fill>
      <patternFill patternType="solid">
        <fgColor rgb="FF0070C0"/>
        <bgColor rgb="FF000000"/>
      </patternFill>
    </fill>
    <fill>
      <patternFill patternType="solid">
        <fgColor theme="0"/>
        <bgColor rgb="FF000000"/>
      </patternFill>
    </fill>
    <fill>
      <patternFill patternType="solid">
        <fgColor theme="2" tint="-0.249977111117893"/>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rgb="FFDDEBF7"/>
        <bgColor indexed="64"/>
      </patternFill>
    </fill>
    <fill>
      <patternFill patternType="solid">
        <fgColor theme="9" tint="0.79998168889431442"/>
        <bgColor indexed="64"/>
      </patternFill>
    </fill>
    <fill>
      <patternFill patternType="solid">
        <fgColor rgb="FFCCFFCC"/>
        <bgColor rgb="FFCCFFCC"/>
      </patternFill>
    </fill>
    <fill>
      <patternFill patternType="solid">
        <fgColor rgb="FF00FF00"/>
        <bgColor rgb="FF00FF00"/>
      </patternFill>
    </fill>
    <fill>
      <patternFill patternType="solid">
        <fgColor rgb="FFFF0000"/>
        <bgColor rgb="FFFF0000"/>
      </patternFill>
    </fill>
    <fill>
      <patternFill patternType="solid">
        <fgColor rgb="FFC0C0C0"/>
        <bgColor rgb="FFC0C0C0"/>
      </patternFill>
    </fill>
    <fill>
      <patternFill patternType="solid">
        <fgColor rgb="FFFFCC99"/>
        <bgColor rgb="FFFFCC99"/>
      </patternFill>
    </fill>
    <fill>
      <patternFill patternType="solid">
        <fgColor rgb="FF800000"/>
        <bgColor rgb="FF800000"/>
      </patternFill>
    </fill>
    <fill>
      <patternFill patternType="solid">
        <fgColor rgb="FFCCCCFF"/>
        <bgColor rgb="FFCCCCFF"/>
      </patternFill>
    </fill>
    <fill>
      <patternFill patternType="solid">
        <fgColor rgb="FFFFFFFF"/>
        <bgColor rgb="FFFFFFFF"/>
      </patternFill>
    </fill>
    <fill>
      <patternFill patternType="solid">
        <fgColor rgb="FFFF99CC"/>
        <bgColor rgb="FFFF99CC"/>
      </patternFill>
    </fill>
    <fill>
      <patternFill patternType="solid">
        <fgColor rgb="FFFFFF00"/>
        <bgColor rgb="FFFFFF00"/>
      </patternFill>
    </fill>
    <fill>
      <patternFill patternType="solid">
        <fgColor rgb="FFCC99FF"/>
        <bgColor rgb="FFCC99FF"/>
      </patternFill>
    </fill>
    <fill>
      <patternFill patternType="solid">
        <fgColor rgb="FF003366"/>
        <bgColor rgb="FF003366"/>
      </patternFill>
    </fill>
    <fill>
      <patternFill patternType="solid">
        <fgColor rgb="FFCCFFFF"/>
        <bgColor rgb="FFCCFFFF"/>
      </patternFill>
    </fill>
    <fill>
      <patternFill patternType="solid">
        <fgColor rgb="FFFF6600"/>
        <bgColor rgb="FFFF6600"/>
      </patternFill>
    </fill>
    <fill>
      <patternFill patternType="solid">
        <fgColor rgb="FF99CCFF"/>
        <bgColor rgb="FF99CCFF"/>
      </patternFill>
    </fill>
    <fill>
      <patternFill patternType="solid">
        <fgColor rgb="FFFF8080"/>
        <bgColor rgb="FFFF8080"/>
      </patternFill>
    </fill>
    <fill>
      <patternFill patternType="solid">
        <fgColor rgb="FFFFFF99"/>
        <bgColor rgb="FFFFFF99"/>
      </patternFill>
    </fill>
    <fill>
      <patternFill patternType="solid">
        <fgColor rgb="FFFFCC00"/>
        <bgColor rgb="FFFFCC00"/>
      </patternFill>
    </fill>
    <fill>
      <patternFill patternType="solid">
        <fgColor rgb="FF008080"/>
        <bgColor rgb="FF008080"/>
      </patternFill>
    </fill>
    <fill>
      <patternFill patternType="solid">
        <fgColor rgb="FF808000"/>
        <bgColor rgb="FF808000"/>
      </patternFill>
    </fill>
    <fill>
      <patternFill patternType="solid">
        <fgColor rgb="FF33CCCC"/>
        <bgColor rgb="FF33CCCC"/>
      </patternFill>
    </fill>
    <fill>
      <patternFill patternType="solid">
        <fgColor rgb="FF800080"/>
        <bgColor rgb="FF800080"/>
      </patternFill>
    </fill>
    <fill>
      <patternFill patternType="solid">
        <fgColor rgb="FFFF9900"/>
        <bgColor rgb="FFFF9900"/>
      </patternFill>
    </fill>
    <fill>
      <patternFill patternType="solid">
        <fgColor rgb="FF0066CC"/>
        <bgColor rgb="FF0066CC"/>
      </patternFill>
    </fill>
    <fill>
      <patternFill patternType="solid">
        <fgColor rgb="FF993300"/>
        <bgColor rgb="FF993300"/>
      </patternFill>
    </fill>
    <fill>
      <patternFill patternType="solid">
        <fgColor rgb="FF333399"/>
        <bgColor rgb="FF333399"/>
      </patternFill>
    </fill>
    <fill>
      <patternFill patternType="solid">
        <fgColor rgb="FF339966"/>
        <bgColor rgb="FF339966"/>
      </patternFill>
    </fill>
    <fill>
      <patternFill patternType="solid">
        <fgColor rgb="FF3366FF"/>
        <bgColor rgb="FF3366FF"/>
      </patternFill>
    </fill>
    <fill>
      <patternFill patternType="solid">
        <fgColor rgb="FF969696"/>
        <bgColor rgb="FF969696"/>
      </patternFill>
    </fill>
    <fill>
      <patternFill patternType="solid">
        <fgColor rgb="FF993366"/>
        <bgColor rgb="FF993366"/>
      </patternFill>
    </fill>
    <fill>
      <patternFill patternType="solid">
        <fgColor rgb="FFFF00FF"/>
        <bgColor rgb="FFFF00FF"/>
      </patternFill>
    </fill>
    <fill>
      <patternFill patternType="solid">
        <fgColor rgb="FFCFAA90"/>
        <bgColor rgb="FFCFAA90"/>
      </patternFill>
    </fill>
    <fill>
      <patternFill patternType="solid">
        <fgColor rgb="FF660066"/>
        <bgColor rgb="FF660066"/>
      </patternFill>
    </fill>
    <fill>
      <patternFill patternType="solid">
        <fgColor rgb="FFFFFFCC"/>
        <bgColor rgb="FFFFFFCC"/>
      </patternFill>
    </fill>
    <fill>
      <patternFill patternType="solid">
        <fgColor rgb="FF99CC00"/>
        <bgColor rgb="FF99CC00"/>
      </patternFill>
    </fill>
    <fill>
      <patternFill patternType="solid">
        <fgColor rgb="FF008000"/>
        <bgColor rgb="FF008000"/>
      </patternFill>
    </fill>
    <fill>
      <patternFill patternType="solid">
        <fgColor rgb="FF000080"/>
        <bgColor rgb="FF000080"/>
      </patternFill>
    </fill>
    <fill>
      <patternFill patternType="solid">
        <fgColor rgb="FF003300"/>
        <bgColor rgb="FF003300"/>
      </patternFill>
    </fill>
    <fill>
      <patternFill patternType="solid">
        <fgColor rgb="FF0000FF"/>
        <bgColor rgb="FF0000FF"/>
      </patternFill>
    </fill>
    <fill>
      <patternFill patternType="solid">
        <fgColor rgb="FF333333"/>
        <bgColor rgb="FF333333"/>
      </patternFill>
    </fill>
    <fill>
      <patternFill patternType="solid">
        <fgColor rgb="FF008020"/>
        <bgColor rgb="FF008020"/>
      </patternFill>
    </fill>
    <fill>
      <patternFill patternType="solid">
        <fgColor rgb="FF99BF25"/>
        <bgColor rgb="FF99BF25"/>
      </patternFill>
    </fill>
    <fill>
      <patternFill patternType="solid">
        <fgColor rgb="FF4CA640"/>
        <bgColor rgb="FF4CA640"/>
      </patternFill>
    </fill>
    <fill>
      <patternFill patternType="solid">
        <fgColor rgb="FF00FFFF"/>
        <bgColor rgb="FF00FFFF"/>
      </patternFill>
    </fill>
    <fill>
      <patternFill patternType="solid">
        <fgColor rgb="FF00CCFF"/>
        <bgColor rgb="FF00CCFF"/>
      </patternFill>
    </fill>
    <fill>
      <patternFill patternType="solid">
        <fgColor rgb="FF333300"/>
        <bgColor rgb="FF333300"/>
      </patternFill>
    </fill>
    <fill>
      <patternFill patternType="solid">
        <fgColor rgb="FF808020"/>
        <bgColor rgb="FF808020"/>
      </patternFill>
    </fill>
    <fill>
      <patternFill patternType="solid">
        <fgColor rgb="FF666699"/>
        <bgColor rgb="FF666699"/>
      </patternFill>
    </fill>
    <fill>
      <patternFill patternType="solid">
        <fgColor rgb="FFE6E6FF"/>
        <bgColor rgb="FFE6E6FF"/>
      </patternFill>
    </fill>
    <fill>
      <patternFill patternType="solid">
        <fgColor rgb="FFCCE6FF"/>
        <bgColor rgb="FFCCE6FF"/>
      </patternFill>
    </fill>
    <fill>
      <patternFill patternType="solid">
        <fgColor rgb="FFFFC0C0"/>
        <bgColor rgb="FFFFC0C0"/>
      </patternFill>
    </fill>
    <fill>
      <patternFill patternType="solid">
        <fgColor rgb="FFC6C6E0"/>
        <bgColor rgb="FFC6C6E0"/>
      </patternFill>
    </fill>
    <fill>
      <patternFill patternType="solid">
        <fgColor rgb="FF309090"/>
        <bgColor rgb="FF309090"/>
      </patternFill>
    </fill>
  </fills>
  <borders count="8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ck">
        <color indexed="64"/>
      </bottom>
      <diagonal/>
    </border>
    <border>
      <left/>
      <right style="thick">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theme="9" tint="-0.249977111117893"/>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right/>
      <top/>
      <bottom style="thin">
        <color theme="9" tint="-0.249977111117893"/>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thick">
        <color indexed="64"/>
      </left>
      <right/>
      <top style="thick">
        <color indexed="64"/>
      </top>
      <bottom style="thick">
        <color indexed="64"/>
      </bottom>
      <diagonal/>
    </border>
    <border>
      <left/>
      <right/>
      <top style="thin">
        <color theme="9" tint="-0.249977111117893"/>
      </top>
      <bottom style="thick">
        <color indexed="64"/>
      </bottom>
      <diagonal/>
    </border>
    <border>
      <left style="thick">
        <color indexed="64"/>
      </left>
      <right style="thick">
        <color indexed="64"/>
      </right>
      <top style="thick">
        <color indexed="64"/>
      </top>
      <bottom style="thick">
        <color indexed="64"/>
      </bottom>
      <diagonal/>
    </border>
    <border>
      <left style="thin">
        <color rgb="FF000000"/>
      </left>
      <right style="thin">
        <color rgb="FF000000"/>
      </right>
      <top style="thin">
        <color rgb="FF000000"/>
      </top>
      <bottom style="thin">
        <color rgb="FF000000"/>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style="thin">
        <color rgb="FF808080"/>
      </left>
      <right style="thin">
        <color rgb="FF808080"/>
      </right>
      <top style="thin">
        <color rgb="FF808080"/>
      </top>
      <bottom style="thin">
        <color rgb="FF808080"/>
      </bottom>
      <diagonal/>
    </border>
    <border>
      <left style="double">
        <color rgb="FF000000"/>
      </left>
      <right style="double">
        <color rgb="FF000000"/>
      </right>
      <top style="double">
        <color rgb="FF000000"/>
      </top>
      <bottom style="double">
        <color rgb="FF000000"/>
      </bottom>
      <diagonal/>
    </border>
    <border>
      <left/>
      <right/>
      <top/>
      <bottom style="double">
        <color rgb="FF000000"/>
      </bottom>
      <diagonal/>
    </border>
    <border>
      <left style="dashed">
        <color rgb="FFFF8080"/>
      </left>
      <right style="dashed">
        <color rgb="FFFF8080"/>
      </right>
      <top style="dashed">
        <color rgb="FFFF8080"/>
      </top>
      <bottom style="dashed">
        <color rgb="FFFF8080"/>
      </bottom>
      <diagonal/>
    </border>
    <border diagonalUp="1" diagonalDown="1">
      <left style="dashed">
        <color rgb="FF000000"/>
      </left>
      <right style="dashed">
        <color rgb="FF000000"/>
      </right>
      <top style="dashed">
        <color rgb="FF000000"/>
      </top>
      <bottom style="dashed">
        <color rgb="FF000000"/>
      </bottom>
      <diagonal style="medium">
        <color rgb="FFFF8080"/>
      </diagonal>
    </border>
    <border diagonalUp="1" diagonalDown="1">
      <left style="dashed">
        <color rgb="FF000000"/>
      </left>
      <right style="dashed">
        <color rgb="FF000000"/>
      </right>
      <top style="dashed">
        <color rgb="FF000000"/>
      </top>
      <bottom style="dashed">
        <color rgb="FF000000"/>
      </bottom>
      <diagonal style="medium">
        <color rgb="FF339966"/>
      </diagonal>
    </border>
    <border diagonalUp="1" diagonalDown="1">
      <left style="dashed">
        <color rgb="FF000000"/>
      </left>
      <right style="dashed">
        <color rgb="FF000000"/>
      </right>
      <top style="dashed">
        <color rgb="FF000000"/>
      </top>
      <bottom style="dashed">
        <color rgb="FF000000"/>
      </bottom>
      <diagonal style="medium">
        <color rgb="FF008080"/>
      </diagonal>
    </border>
    <border diagonalUp="1" diagonalDown="1">
      <left style="dashed">
        <color rgb="FF000000"/>
      </left>
      <right style="dashed">
        <color rgb="FF000000"/>
      </right>
      <top style="dashed">
        <color rgb="FF000000"/>
      </top>
      <bottom style="dashed">
        <color rgb="FF000000"/>
      </bottom>
      <diagonal style="medium">
        <color rgb="FF666699"/>
      </diagonal>
    </border>
    <border>
      <left style="dashed">
        <color rgb="FF339966"/>
      </left>
      <right style="dashed">
        <color rgb="FF339966"/>
      </right>
      <top style="dashed">
        <color rgb="FF339966"/>
      </top>
      <bottom style="dashed">
        <color rgb="FF339966"/>
      </bottom>
      <diagonal/>
    </border>
    <border>
      <left style="dashed">
        <color rgb="FF008080"/>
      </left>
      <right style="dashed">
        <color rgb="FF008080"/>
      </right>
      <top style="dashed">
        <color rgb="FF008080"/>
      </top>
      <bottom style="dashed">
        <color rgb="FF008080"/>
      </bottom>
      <diagonal/>
    </border>
    <border>
      <left style="dashed">
        <color rgb="FF666699"/>
      </left>
      <right style="dashed">
        <color rgb="FF666699"/>
      </right>
      <top style="dashed">
        <color rgb="FF666699"/>
      </top>
      <bottom style="dashed">
        <color rgb="FF666699"/>
      </bottom>
      <diagonal/>
    </border>
    <border>
      <left style="thin">
        <color rgb="FF000000"/>
      </left>
      <right style="dotted">
        <color rgb="FF000000"/>
      </right>
      <top style="thin">
        <color rgb="FF000000"/>
      </top>
      <bottom style="thin">
        <color rgb="FF000000"/>
      </bottom>
      <diagonal/>
    </border>
    <border>
      <left/>
      <right style="double">
        <color indexed="64"/>
      </right>
      <top style="thin">
        <color rgb="FF000000"/>
      </top>
      <bottom style="thin">
        <color rgb="FF000000"/>
      </bottom>
      <diagonal/>
    </border>
    <border>
      <left/>
      <right style="double">
        <color rgb="FF000000"/>
      </right>
      <top style="thin">
        <color rgb="FF000000"/>
      </top>
      <bottom style="thin">
        <color rgb="FF000000"/>
      </bottom>
      <diagonal/>
    </border>
    <border diagonalUp="1" diagonalDown="1">
      <left style="double">
        <color indexed="64"/>
      </left>
      <right style="double">
        <color indexed="64"/>
      </right>
      <top style="double">
        <color indexed="64"/>
      </top>
      <bottom style="double">
        <color indexed="64"/>
      </bottom>
      <diagonal style="medium">
        <color rgb="FF000000"/>
      </diagonal>
    </border>
    <border diagonalUp="1" diagonalDown="1">
      <left style="double">
        <color rgb="FF000000"/>
      </left>
      <right style="double">
        <color rgb="FF000000"/>
      </right>
      <top style="double">
        <color rgb="FF000000"/>
      </top>
      <bottom style="double">
        <color rgb="FF000000"/>
      </bottom>
      <diagonal style="medium">
        <color rgb="FF000000"/>
      </diagonal>
    </border>
    <border diagonalUp="1" diagonalDown="1">
      <left/>
      <right/>
      <top/>
      <bottom/>
      <diagonal style="medium">
        <color rgb="FF000000"/>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66CC"/>
      </left>
      <right style="thin">
        <color rgb="FF0066CC"/>
      </right>
      <top style="thin">
        <color rgb="FF0066CC"/>
      </top>
      <bottom style="thin">
        <color rgb="FF0066CC"/>
      </bottom>
      <diagonal/>
    </border>
    <border>
      <left style="thin">
        <color rgb="FF008080"/>
      </left>
      <right style="thin">
        <color rgb="FF008080"/>
      </right>
      <top style="thin">
        <color rgb="FF008080"/>
      </top>
      <bottom style="thin">
        <color rgb="FF008080"/>
      </bottom>
      <diagonal/>
    </border>
    <border>
      <left style="thin">
        <color rgb="FFC0C0C0"/>
      </left>
      <right style="thin">
        <color rgb="FFC0C0C0"/>
      </right>
      <top style="thin">
        <color rgb="FFC0C0C0"/>
      </top>
      <bottom style="thin">
        <color rgb="FFC0C0C0"/>
      </bottom>
      <diagonal/>
    </border>
    <border>
      <left style="thin">
        <color rgb="FF333399"/>
      </left>
      <right style="thin">
        <color rgb="FF333399"/>
      </right>
      <top style="thin">
        <color rgb="FF333399"/>
      </top>
      <bottom style="thin">
        <color rgb="FF333399"/>
      </bottom>
      <diagonal/>
    </border>
    <border>
      <left style="thin">
        <color rgb="FF3366FF"/>
      </left>
      <right style="thin">
        <color rgb="FF3366FF"/>
      </right>
      <top style="thin">
        <color rgb="FF3366FF"/>
      </top>
      <bottom style="thin">
        <color rgb="FF3366FF"/>
      </bottom>
      <diagonal/>
    </border>
    <border>
      <left/>
      <right/>
      <top/>
      <bottom style="medium">
        <color rgb="FF333399"/>
      </bottom>
      <diagonal/>
    </border>
    <border>
      <left/>
      <right/>
      <top/>
      <bottom style="medium">
        <color rgb="FFC0C0C0"/>
      </bottom>
      <diagonal/>
    </border>
    <border>
      <left/>
      <right/>
      <top/>
      <bottom style="thin">
        <color rgb="FF0066CC"/>
      </bottom>
      <diagonal/>
    </border>
    <border>
      <left style="thin">
        <color rgb="FF333333"/>
      </left>
      <right style="thin">
        <color rgb="FF333333"/>
      </right>
      <top style="thin">
        <color rgb="FF333333"/>
      </top>
      <bottom style="thin">
        <color rgb="FF333333"/>
      </bottom>
      <diagonal/>
    </border>
    <border>
      <left style="thin">
        <color rgb="FFFF6600"/>
      </left>
      <right style="thin">
        <color rgb="FFFF6600"/>
      </right>
      <top style="thin">
        <color rgb="FFFF6600"/>
      </top>
      <bottom style="thin">
        <color rgb="FFFF6600"/>
      </bottom>
      <diagonal/>
    </border>
    <border>
      <left style="medium">
        <color rgb="FFFF0000"/>
      </left>
      <right style="medium">
        <color rgb="FFFF0000"/>
      </right>
      <top style="thin">
        <color rgb="FFFF0000"/>
      </top>
      <bottom style="thin">
        <color rgb="FFFF0000"/>
      </bottom>
      <diagonal/>
    </border>
    <border>
      <left style="thin">
        <color rgb="FF9999FF"/>
      </left>
      <right style="thin">
        <color rgb="FF9999FF"/>
      </right>
      <top style="thin">
        <color rgb="FF9999FF"/>
      </top>
      <bottom style="thin">
        <color rgb="FF9999FF"/>
      </bottom>
      <diagonal/>
    </border>
    <border>
      <left style="thin">
        <color rgb="FF000000"/>
      </left>
      <right/>
      <top style="thin">
        <color rgb="FF000000"/>
      </top>
      <bottom style="thin">
        <color rgb="FF000000"/>
      </bottom>
      <diagonal/>
    </border>
    <border>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bottom style="medium">
        <color rgb="FF33CCCC"/>
      </bottom>
      <diagonal/>
    </border>
    <border>
      <left/>
      <right/>
      <top/>
      <bottom style="thin">
        <color rgb="FF33CCCC"/>
      </bottom>
      <diagonal/>
    </border>
    <border>
      <left/>
      <right/>
      <top/>
      <bottom style="thin">
        <color rgb="FF008080"/>
      </bottom>
      <diagonal/>
    </border>
    <border>
      <left/>
      <right/>
      <top style="double">
        <color rgb="FF000000"/>
      </top>
      <bottom/>
      <diagonal/>
    </border>
    <border>
      <left/>
      <right/>
      <top style="thin">
        <color rgb="FF333399"/>
      </top>
      <bottom style="double">
        <color indexed="64"/>
      </bottom>
      <diagonal/>
    </border>
    <border>
      <left/>
      <right/>
      <top style="thin">
        <color rgb="FF333399"/>
      </top>
      <bottom style="double">
        <color rgb="FF000000"/>
      </bottom>
      <diagonal/>
    </border>
  </borders>
  <cellStyleXfs count="3559">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xf numFmtId="3" fontId="17" fillId="0" borderId="0" applyFont="0" applyFill="0" applyBorder="0" applyAlignment="0" applyProtection="0"/>
    <xf numFmtId="9" fontId="17" fillId="0" borderId="0" applyFont="0" applyFill="0" applyBorder="0" applyAlignment="0" applyProtection="0"/>
    <xf numFmtId="0" fontId="18" fillId="38" borderId="10">
      <alignment horizontal="center" vertical="center"/>
    </xf>
    <xf numFmtId="0" fontId="18" fillId="34" borderId="10">
      <alignment horizontal="center" vertical="center"/>
    </xf>
    <xf numFmtId="0" fontId="18" fillId="33" borderId="10">
      <alignment horizontal="center" vertical="center"/>
    </xf>
    <xf numFmtId="0" fontId="18" fillId="36" borderId="10">
      <alignment horizontal="center" vertical="center"/>
    </xf>
    <xf numFmtId="0" fontId="18" fillId="37" borderId="10">
      <alignment horizontal="center" vertical="center"/>
    </xf>
    <xf numFmtId="0" fontId="18" fillId="35" borderId="10">
      <alignment horizontal="center" vertical="center"/>
    </xf>
    <xf numFmtId="0" fontId="17" fillId="0" borderId="0"/>
    <xf numFmtId="0" fontId="1" fillId="0" borderId="0"/>
    <xf numFmtId="0" fontId="17" fillId="0" borderId="0"/>
    <xf numFmtId="3" fontId="17" fillId="0" borderId="0" applyFont="0" applyFill="0" applyBorder="0" applyAlignment="0" applyProtection="0"/>
    <xf numFmtId="9" fontId="17" fillId="0" borderId="0" applyFont="0" applyFill="0" applyBorder="0" applyAlignment="0" applyProtection="0"/>
    <xf numFmtId="0" fontId="1" fillId="0" borderId="0"/>
    <xf numFmtId="0" fontId="17" fillId="0" borderId="0"/>
    <xf numFmtId="3" fontId="17" fillId="0" borderId="0" applyFont="0" applyFill="0" applyBorder="0" applyAlignment="0" applyProtection="0"/>
    <xf numFmtId="9" fontId="17" fillId="0" borderId="0" applyFont="0" applyFill="0" applyBorder="0" applyAlignment="0" applyProtection="0"/>
    <xf numFmtId="0" fontId="18" fillId="38" borderId="10">
      <alignment horizontal="center" vertical="center"/>
    </xf>
    <xf numFmtId="0" fontId="18" fillId="34" borderId="10">
      <alignment horizontal="center" vertical="center"/>
    </xf>
    <xf numFmtId="0" fontId="18" fillId="33" borderId="10">
      <alignment horizontal="center" vertical="center"/>
    </xf>
    <xf numFmtId="0" fontId="18" fillId="36" borderId="10">
      <alignment horizontal="center" vertical="center"/>
    </xf>
    <xf numFmtId="0" fontId="18" fillId="37" borderId="10">
      <alignment horizontal="center" vertical="center"/>
    </xf>
    <xf numFmtId="0" fontId="18" fillId="35" borderId="10">
      <alignment horizontal="center" vertical="center"/>
    </xf>
    <xf numFmtId="0" fontId="1" fillId="0" borderId="0"/>
    <xf numFmtId="0" fontId="19" fillId="0" borderId="0" applyNumberFormat="0" applyFill="0" applyBorder="0" applyAlignment="0" applyProtection="0"/>
    <xf numFmtId="0" fontId="1" fillId="0" borderId="0"/>
    <xf numFmtId="9" fontId="1" fillId="0" borderId="0" applyFont="0" applyFill="0" applyBorder="0" applyAlignment="0" applyProtection="0"/>
    <xf numFmtId="0" fontId="1" fillId="8" borderId="8" applyNumberFormat="0" applyFont="0" applyAlignment="0" applyProtection="0"/>
    <xf numFmtId="3" fontId="17" fillId="0" borderId="0" applyFont="0" applyFill="0" applyBorder="0" applyAlignment="0" applyProtection="0"/>
    <xf numFmtId="0" fontId="1" fillId="0" borderId="0"/>
    <xf numFmtId="0" fontId="17" fillId="0" borderId="0"/>
    <xf numFmtId="9" fontId="17" fillId="0" borderId="0" applyFont="0" applyFill="0" applyBorder="0" applyAlignment="0" applyProtection="0"/>
    <xf numFmtId="0" fontId="1" fillId="0" borderId="0"/>
    <xf numFmtId="0" fontId="18" fillId="38" borderId="10">
      <alignment horizontal="center" vertical="center"/>
    </xf>
    <xf numFmtId="0" fontId="18" fillId="34" borderId="10">
      <alignment horizontal="center" vertical="center"/>
    </xf>
    <xf numFmtId="0" fontId="18" fillId="33" borderId="10">
      <alignment horizontal="center" vertical="center"/>
    </xf>
    <xf numFmtId="0" fontId="18" fillId="36" borderId="10">
      <alignment horizontal="center" vertical="center"/>
    </xf>
    <xf numFmtId="0" fontId="18" fillId="37" borderId="10">
      <alignment horizontal="center" vertical="center"/>
    </xf>
    <xf numFmtId="0" fontId="18" fillId="35" borderId="10">
      <alignment horizontal="center" vertical="center"/>
    </xf>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8" fillId="38" borderId="10">
      <alignment horizontal="center" vertical="center"/>
    </xf>
    <xf numFmtId="0" fontId="18" fillId="34" borderId="10">
      <alignment horizontal="center" vertical="center"/>
    </xf>
    <xf numFmtId="0" fontId="18" fillId="33" borderId="10">
      <alignment horizontal="center" vertical="center"/>
    </xf>
    <xf numFmtId="0" fontId="18" fillId="36" borderId="10">
      <alignment horizontal="center" vertical="center"/>
    </xf>
    <xf numFmtId="0" fontId="18" fillId="37" borderId="10">
      <alignment horizontal="center" vertical="center"/>
    </xf>
    <xf numFmtId="0" fontId="18" fillId="35" borderId="10">
      <alignment horizontal="center" vertical="center"/>
    </xf>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0" borderId="0"/>
    <xf numFmtId="0" fontId="20"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4" fillId="0" borderId="0"/>
    <xf numFmtId="164" fontId="1" fillId="0" borderId="0" applyFont="0" applyFill="0" applyBorder="0" applyAlignment="0" applyProtection="0"/>
    <xf numFmtId="0" fontId="56" fillId="0" borderId="0"/>
    <xf numFmtId="173" fontId="56" fillId="0" borderId="0" applyBorder="0" applyProtection="0"/>
    <xf numFmtId="173" fontId="56" fillId="0" borderId="0" applyBorder="0" applyProtection="0"/>
    <xf numFmtId="0" fontId="56"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80" fillId="0" borderId="0" applyNumberForma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56" fillId="0" borderId="0"/>
    <xf numFmtId="0" fontId="81" fillId="0" borderId="0" applyNumberFormat="0" applyBorder="0" applyProtection="0"/>
    <xf numFmtId="0" fontId="89" fillId="81" borderId="0"/>
    <xf numFmtId="0" fontId="89" fillId="81" borderId="0"/>
    <xf numFmtId="0" fontId="89" fillId="81" borderId="0"/>
    <xf numFmtId="0" fontId="90" fillId="81" borderId="0" applyNumberFormat="0" applyBorder="0" applyProtection="0"/>
    <xf numFmtId="0" fontId="89" fillId="81" borderId="0"/>
    <xf numFmtId="0" fontId="89" fillId="81" borderId="0"/>
    <xf numFmtId="0" fontId="90" fillId="81" borderId="0" applyNumberFormat="0" applyBorder="0" applyProtection="0"/>
    <xf numFmtId="0" fontId="89" fillId="81" borderId="0"/>
    <xf numFmtId="0" fontId="89" fillId="81" borderId="0"/>
    <xf numFmtId="0" fontId="90" fillId="81" borderId="0" applyNumberFormat="0" applyBorder="0" applyProtection="0"/>
    <xf numFmtId="0" fontId="89" fillId="81" borderId="0"/>
    <xf numFmtId="0" fontId="90" fillId="81" borderId="0" applyNumberFormat="0" applyBorder="0" applyProtection="0"/>
    <xf numFmtId="0" fontId="89" fillId="82" borderId="0"/>
    <xf numFmtId="0" fontId="89" fillId="82" borderId="0"/>
    <xf numFmtId="0" fontId="89" fillId="82" borderId="0"/>
    <xf numFmtId="0" fontId="90" fillId="82" borderId="0" applyNumberFormat="0" applyBorder="0" applyProtection="0"/>
    <xf numFmtId="0" fontId="89" fillId="82" borderId="0"/>
    <xf numFmtId="0" fontId="90" fillId="82" borderId="0" applyNumberFormat="0" applyBorder="0" applyProtection="0"/>
    <xf numFmtId="0" fontId="89" fillId="83" borderId="0"/>
    <xf numFmtId="0" fontId="89" fillId="83" borderId="0"/>
    <xf numFmtId="0" fontId="89" fillId="83" borderId="0"/>
    <xf numFmtId="0" fontId="90" fillId="83" borderId="0" applyNumberFormat="0" applyBorder="0" applyProtection="0"/>
    <xf numFmtId="0" fontId="89" fillId="83" borderId="0"/>
    <xf numFmtId="0" fontId="89" fillId="83" borderId="0"/>
    <xf numFmtId="0" fontId="90" fillId="83" borderId="0" applyNumberFormat="0" applyBorder="0" applyProtection="0"/>
    <xf numFmtId="0" fontId="89" fillId="83" borderId="0"/>
    <xf numFmtId="0" fontId="89" fillId="83" borderId="0"/>
    <xf numFmtId="0" fontId="90" fillId="83" borderId="0" applyNumberFormat="0" applyBorder="0" applyProtection="0"/>
    <xf numFmtId="0" fontId="89" fillId="83" borderId="0"/>
    <xf numFmtId="0" fontId="90" fillId="83" borderId="0" applyNumberFormat="0" applyBorder="0" applyProtection="0"/>
    <xf numFmtId="0" fontId="89" fillId="84" borderId="0"/>
    <xf numFmtId="0" fontId="89" fillId="85" borderId="0"/>
    <xf numFmtId="0" fontId="89" fillId="85" borderId="0"/>
    <xf numFmtId="0" fontId="90" fillId="85" borderId="0" applyNumberFormat="0" applyBorder="0" applyProtection="0"/>
    <xf numFmtId="0" fontId="89" fillId="86" borderId="0"/>
    <xf numFmtId="0" fontId="89" fillId="86" borderId="0"/>
    <xf numFmtId="0" fontId="90" fillId="86" borderId="0" applyNumberFormat="0" applyBorder="0" applyProtection="0"/>
    <xf numFmtId="0" fontId="91" fillId="87" borderId="0"/>
    <xf numFmtId="0" fontId="92" fillId="87" borderId="0"/>
    <xf numFmtId="0" fontId="92" fillId="87" borderId="0" applyNumberFormat="0" applyBorder="0" applyProtection="0"/>
    <xf numFmtId="0" fontId="89" fillId="84" borderId="0"/>
    <xf numFmtId="0" fontId="90" fillId="84" borderId="0" applyNumberFormat="0" applyBorder="0" applyProtection="0"/>
    <xf numFmtId="0" fontId="93" fillId="88" borderId="0"/>
    <xf numFmtId="0" fontId="94" fillId="88" borderId="0"/>
    <xf numFmtId="0" fontId="95" fillId="87" borderId="0" applyNumberFormat="0" applyBorder="0" applyProtection="0"/>
    <xf numFmtId="0" fontId="94" fillId="88" borderId="0" applyNumberFormat="0" applyBorder="0" applyProtection="0"/>
    <xf numFmtId="0" fontId="93" fillId="86" borderId="0"/>
    <xf numFmtId="0" fontId="94" fillId="86" borderId="0"/>
    <xf numFmtId="0" fontId="95" fillId="89" borderId="0" applyNumberFormat="0" applyBorder="0" applyProtection="0"/>
    <xf numFmtId="0" fontId="94" fillId="86" borderId="0" applyNumberFormat="0" applyBorder="0" applyProtection="0"/>
    <xf numFmtId="0" fontId="93" fillId="90" borderId="0"/>
    <xf numFmtId="0" fontId="94" fillId="90" borderId="0"/>
    <xf numFmtId="0" fontId="95" fillId="81" borderId="0" applyNumberFormat="0" applyBorder="0" applyProtection="0"/>
    <xf numFmtId="0" fontId="94" fillId="90" borderId="0" applyNumberFormat="0" applyBorder="0" applyProtection="0"/>
    <xf numFmtId="0" fontId="93" fillId="88" borderId="0"/>
    <xf numFmtId="0" fontId="94" fillId="88" borderId="0"/>
    <xf numFmtId="0" fontId="95" fillId="91" borderId="0" applyNumberFormat="0" applyBorder="0" applyProtection="0"/>
    <xf numFmtId="0" fontId="94" fillId="88" borderId="0" applyNumberFormat="0" applyBorder="0" applyProtection="0"/>
    <xf numFmtId="0" fontId="93" fillId="92" borderId="0"/>
    <xf numFmtId="0" fontId="94" fillId="92" borderId="0"/>
    <xf numFmtId="0" fontId="95" fillId="93" borderId="0" applyNumberFormat="0" applyBorder="0" applyProtection="0"/>
    <xf numFmtId="0" fontId="94" fillId="92" borderId="0" applyNumberFormat="0" applyBorder="0" applyProtection="0"/>
    <xf numFmtId="0" fontId="93" fillId="86" borderId="0"/>
    <xf numFmtId="0" fontId="94" fillId="86" borderId="0"/>
    <xf numFmtId="0" fontId="95" fillId="85" borderId="0" applyNumberFormat="0" applyBorder="0" applyProtection="0"/>
    <xf numFmtId="0" fontId="94" fillId="86" borderId="0" applyNumberFormat="0" applyBorder="0" applyProtection="0"/>
    <xf numFmtId="0" fontId="96" fillId="87" borderId="0"/>
    <xf numFmtId="0" fontId="96" fillId="87" borderId="0"/>
    <xf numFmtId="0" fontId="95" fillId="87" borderId="0" applyNumberFormat="0" applyBorder="0" applyProtection="0"/>
    <xf numFmtId="0" fontId="96" fillId="89" borderId="0"/>
    <xf numFmtId="0" fontId="96" fillId="89" borderId="0"/>
    <xf numFmtId="0" fontId="95" fillId="89" borderId="0" applyNumberFormat="0" applyBorder="0" applyProtection="0"/>
    <xf numFmtId="0" fontId="96" fillId="81" borderId="0"/>
    <xf numFmtId="0" fontId="96" fillId="81" borderId="0"/>
    <xf numFmtId="0" fontId="95" fillId="81" borderId="0" applyNumberFormat="0" applyBorder="0" applyProtection="0"/>
    <xf numFmtId="0" fontId="96" fillId="91" borderId="0"/>
    <xf numFmtId="0" fontId="96" fillId="91" borderId="0"/>
    <xf numFmtId="0" fontId="95" fillId="91" borderId="0" applyNumberFormat="0" applyBorder="0" applyProtection="0"/>
    <xf numFmtId="0" fontId="96" fillId="93" borderId="0"/>
    <xf numFmtId="0" fontId="96" fillId="93" borderId="0"/>
    <xf numFmtId="0" fontId="95" fillId="93" borderId="0" applyNumberFormat="0" applyBorder="0" applyProtection="0"/>
    <xf numFmtId="0" fontId="96" fillId="85" borderId="0"/>
    <xf numFmtId="0" fontId="96" fillId="85" borderId="0"/>
    <xf numFmtId="0" fontId="95" fillId="85" borderId="0" applyNumberFormat="0" applyBorder="0" applyProtection="0"/>
    <xf numFmtId="0" fontId="97" fillId="87" borderId="0"/>
    <xf numFmtId="0" fontId="98" fillId="87" borderId="0"/>
    <xf numFmtId="0" fontId="82" fillId="87" borderId="0" applyNumberFormat="0" applyFont="0" applyBorder="0" applyProtection="0"/>
    <xf numFmtId="0" fontId="82" fillId="87" borderId="0" applyNumberFormat="0" applyFont="0" applyBorder="0" applyProtection="0"/>
    <xf numFmtId="0" fontId="82" fillId="87" borderId="0" applyNumberFormat="0" applyFont="0" applyBorder="0" applyProtection="0"/>
    <xf numFmtId="0" fontId="82" fillId="87" borderId="0" applyNumberFormat="0" applyFont="0" applyBorder="0" applyProtection="0"/>
    <xf numFmtId="0" fontId="82" fillId="87" borderId="0" applyNumberFormat="0" applyFont="0" applyBorder="0" applyProtection="0"/>
    <xf numFmtId="0" fontId="82" fillId="87" borderId="0" applyNumberFormat="0" applyFont="0" applyBorder="0" applyProtection="0"/>
    <xf numFmtId="0" fontId="97" fillId="94" borderId="0"/>
    <xf numFmtId="0" fontId="98" fillId="94" borderId="0"/>
    <xf numFmtId="0" fontId="82" fillId="94" borderId="0" applyNumberFormat="0" applyFont="0" applyBorder="0" applyProtection="0"/>
    <xf numFmtId="0" fontId="82" fillId="94" borderId="0" applyNumberFormat="0" applyFont="0" applyBorder="0" applyProtection="0"/>
    <xf numFmtId="0" fontId="82" fillId="94" borderId="0" applyNumberFormat="0" applyFont="0" applyBorder="0" applyProtection="0"/>
    <xf numFmtId="0" fontId="82" fillId="94" borderId="0" applyNumberFormat="0" applyFont="0" applyBorder="0" applyProtection="0"/>
    <xf numFmtId="0" fontId="82" fillId="94" borderId="0" applyNumberFormat="0" applyFont="0" applyBorder="0" applyProtection="0"/>
    <xf numFmtId="0" fontId="82" fillId="94" borderId="0" applyNumberFormat="0" applyFont="0" applyBorder="0" applyProtection="0"/>
    <xf numFmtId="0" fontId="97" fillId="81" borderId="0"/>
    <xf numFmtId="0" fontId="98" fillId="81" borderId="0"/>
    <xf numFmtId="0" fontId="82" fillId="81" borderId="0" applyNumberFormat="0" applyFont="0" applyBorder="0" applyProtection="0"/>
    <xf numFmtId="0" fontId="82" fillId="81" borderId="0" applyNumberFormat="0" applyFont="0" applyBorder="0" applyProtection="0"/>
    <xf numFmtId="0" fontId="82" fillId="81" borderId="0" applyNumberFormat="0" applyFont="0" applyBorder="0" applyProtection="0"/>
    <xf numFmtId="0" fontId="82" fillId="81" borderId="0" applyNumberFormat="0" applyFont="0" applyBorder="0" applyProtection="0"/>
    <xf numFmtId="0" fontId="82" fillId="81" borderId="0" applyNumberFormat="0" applyFont="0" applyBorder="0" applyProtection="0"/>
    <xf numFmtId="0" fontId="82" fillId="81" borderId="0" applyNumberFormat="0" applyFont="0" applyBorder="0" applyProtection="0"/>
    <xf numFmtId="0" fontId="97" fillId="91" borderId="0"/>
    <xf numFmtId="0" fontId="98" fillId="91" borderId="0"/>
    <xf numFmtId="0" fontId="82" fillId="91" borderId="0" applyNumberFormat="0" applyFont="0" applyBorder="0" applyProtection="0"/>
    <xf numFmtId="0" fontId="82" fillId="91" borderId="0" applyNumberFormat="0" applyFont="0" applyBorder="0" applyProtection="0"/>
    <xf numFmtId="0" fontId="82" fillId="91" borderId="0" applyNumberFormat="0" applyFont="0" applyBorder="0" applyProtection="0"/>
    <xf numFmtId="0" fontId="82" fillId="91" borderId="0" applyNumberFormat="0" applyFont="0" applyBorder="0" applyProtection="0"/>
    <xf numFmtId="0" fontId="82" fillId="91" borderId="0" applyNumberFormat="0" applyFont="0" applyBorder="0" applyProtection="0"/>
    <xf numFmtId="0" fontId="82" fillId="91" borderId="0" applyNumberFormat="0" applyFont="0" applyBorder="0" applyProtection="0"/>
    <xf numFmtId="0" fontId="97" fillId="92" borderId="0"/>
    <xf numFmtId="0" fontId="98" fillId="92" borderId="0"/>
    <xf numFmtId="0" fontId="82" fillId="92" borderId="0" applyNumberFormat="0" applyFont="0" applyBorder="0" applyProtection="0"/>
    <xf numFmtId="0" fontId="82" fillId="92" borderId="0" applyNumberFormat="0" applyFont="0" applyBorder="0" applyProtection="0"/>
    <xf numFmtId="0" fontId="82" fillId="92" borderId="0" applyNumberFormat="0" applyFont="0" applyBorder="0" applyProtection="0"/>
    <xf numFmtId="0" fontId="82" fillId="92" borderId="0" applyNumberFormat="0" applyFont="0" applyBorder="0" applyProtection="0"/>
    <xf numFmtId="0" fontId="82" fillId="92" borderId="0" applyNumberFormat="0" applyFont="0" applyBorder="0" applyProtection="0"/>
    <xf numFmtId="0" fontId="82" fillId="92" borderId="0" applyNumberFormat="0" applyFont="0" applyBorder="0" applyProtection="0"/>
    <xf numFmtId="0" fontId="97" fillId="86" borderId="0"/>
    <xf numFmtId="0" fontId="98" fillId="86" borderId="0"/>
    <xf numFmtId="0" fontId="82" fillId="86" borderId="0" applyNumberFormat="0" applyFont="0" applyBorder="0" applyProtection="0"/>
    <xf numFmtId="0" fontId="82" fillId="86" borderId="0" applyNumberFormat="0" applyFont="0" applyBorder="0" applyProtection="0"/>
    <xf numFmtId="0" fontId="82" fillId="86" borderId="0" applyNumberFormat="0" applyFont="0" applyBorder="0" applyProtection="0"/>
    <xf numFmtId="0" fontId="82" fillId="86" borderId="0" applyNumberFormat="0" applyFont="0" applyBorder="0" applyProtection="0"/>
    <xf numFmtId="0" fontId="82" fillId="86" borderId="0" applyNumberFormat="0" applyFont="0" applyBorder="0" applyProtection="0"/>
    <xf numFmtId="0" fontId="82" fillId="86" borderId="0" applyNumberFormat="0" applyFont="0" applyBorder="0" applyProtection="0"/>
    <xf numFmtId="0" fontId="97" fillId="87" borderId="0"/>
    <xf numFmtId="0" fontId="98" fillId="87" borderId="0"/>
    <xf numFmtId="0" fontId="82" fillId="87" borderId="0" applyNumberFormat="0" applyFont="0" applyBorder="0" applyProtection="0"/>
    <xf numFmtId="0" fontId="82" fillId="87" borderId="0" applyNumberFormat="0" applyFont="0" applyBorder="0" applyProtection="0"/>
    <xf numFmtId="0" fontId="82" fillId="87" borderId="0" applyNumberFormat="0" applyFont="0" applyBorder="0" applyProtection="0"/>
    <xf numFmtId="0" fontId="82" fillId="87" borderId="0" applyNumberFormat="0" applyFont="0" applyBorder="0" applyProtection="0"/>
    <xf numFmtId="0" fontId="82" fillId="87" borderId="0" applyNumberFormat="0" applyFont="0" applyBorder="0" applyProtection="0"/>
    <xf numFmtId="0" fontId="82" fillId="87" borderId="0" applyNumberFormat="0" applyFont="0" applyBorder="0" applyProtection="0"/>
    <xf numFmtId="0" fontId="97" fillId="94" borderId="0"/>
    <xf numFmtId="0" fontId="98" fillId="94" borderId="0"/>
    <xf numFmtId="0" fontId="82" fillId="94" borderId="0" applyNumberFormat="0" applyFont="0" applyBorder="0" applyProtection="0"/>
    <xf numFmtId="0" fontId="82" fillId="94" borderId="0" applyNumberFormat="0" applyFont="0" applyBorder="0" applyProtection="0"/>
    <xf numFmtId="0" fontId="82" fillId="94" borderId="0" applyNumberFormat="0" applyFont="0" applyBorder="0" applyProtection="0"/>
    <xf numFmtId="0" fontId="82" fillId="94" borderId="0" applyNumberFormat="0" applyFont="0" applyBorder="0" applyProtection="0"/>
    <xf numFmtId="0" fontId="82" fillId="94" borderId="0" applyNumberFormat="0" applyFont="0" applyBorder="0" applyProtection="0"/>
    <xf numFmtId="0" fontId="82" fillId="94" borderId="0" applyNumberFormat="0" applyFont="0" applyBorder="0" applyProtection="0"/>
    <xf numFmtId="0" fontId="97" fillId="81" borderId="0"/>
    <xf numFmtId="0" fontId="98" fillId="81" borderId="0"/>
    <xf numFmtId="0" fontId="82" fillId="81" borderId="0" applyNumberFormat="0" applyFont="0" applyBorder="0" applyProtection="0"/>
    <xf numFmtId="0" fontId="82" fillId="81" borderId="0" applyNumberFormat="0" applyFont="0" applyBorder="0" applyProtection="0"/>
    <xf numFmtId="0" fontId="82" fillId="81" borderId="0" applyNumberFormat="0" applyFont="0" applyBorder="0" applyProtection="0"/>
    <xf numFmtId="0" fontId="82" fillId="81" borderId="0" applyNumberFormat="0" applyFont="0" applyBorder="0" applyProtection="0"/>
    <xf numFmtId="0" fontId="82" fillId="81" borderId="0" applyNumberFormat="0" applyFont="0" applyBorder="0" applyProtection="0"/>
    <xf numFmtId="0" fontId="82" fillId="81" borderId="0" applyNumberFormat="0" applyFont="0" applyBorder="0" applyProtection="0"/>
    <xf numFmtId="0" fontId="97" fillId="91" borderId="0"/>
    <xf numFmtId="0" fontId="98" fillId="91" borderId="0"/>
    <xf numFmtId="0" fontId="82" fillId="91" borderId="0" applyNumberFormat="0" applyFont="0" applyBorder="0" applyProtection="0"/>
    <xf numFmtId="0" fontId="82" fillId="91" borderId="0" applyNumberFormat="0" applyFont="0" applyBorder="0" applyProtection="0"/>
    <xf numFmtId="0" fontId="82" fillId="91" borderId="0" applyNumberFormat="0" applyFont="0" applyBorder="0" applyProtection="0"/>
    <xf numFmtId="0" fontId="82" fillId="91" borderId="0" applyNumberFormat="0" applyFont="0" applyBorder="0" applyProtection="0"/>
    <xf numFmtId="0" fontId="82" fillId="91" borderId="0" applyNumberFormat="0" applyFont="0" applyBorder="0" applyProtection="0"/>
    <xf numFmtId="0" fontId="82" fillId="91" borderId="0" applyNumberFormat="0" applyFont="0" applyBorder="0" applyProtection="0"/>
    <xf numFmtId="0" fontId="97" fillId="92" borderId="0"/>
    <xf numFmtId="0" fontId="98" fillId="92" borderId="0"/>
    <xf numFmtId="0" fontId="82" fillId="92" borderId="0" applyNumberFormat="0" applyFont="0" applyBorder="0" applyProtection="0"/>
    <xf numFmtId="0" fontId="82" fillId="92" borderId="0" applyNumberFormat="0" applyFont="0" applyBorder="0" applyProtection="0"/>
    <xf numFmtId="0" fontId="82" fillId="92" borderId="0" applyNumberFormat="0" applyFont="0" applyBorder="0" applyProtection="0"/>
    <xf numFmtId="0" fontId="82" fillId="92" borderId="0" applyNumberFormat="0" applyFont="0" applyBorder="0" applyProtection="0"/>
    <xf numFmtId="0" fontId="82" fillId="92" borderId="0" applyNumberFormat="0" applyFont="0" applyBorder="0" applyProtection="0"/>
    <xf numFmtId="0" fontId="82" fillId="92" borderId="0" applyNumberFormat="0" applyFont="0" applyBorder="0" applyProtection="0"/>
    <xf numFmtId="0" fontId="97" fillId="86" borderId="0"/>
    <xf numFmtId="0" fontId="98" fillId="86" borderId="0"/>
    <xf numFmtId="0" fontId="82" fillId="86" borderId="0" applyNumberFormat="0" applyFont="0" applyBorder="0" applyProtection="0"/>
    <xf numFmtId="0" fontId="82" fillId="86" borderId="0" applyNumberFormat="0" applyFont="0" applyBorder="0" applyProtection="0"/>
    <xf numFmtId="0" fontId="82" fillId="86" borderId="0" applyNumberFormat="0" applyFont="0" applyBorder="0" applyProtection="0"/>
    <xf numFmtId="0" fontId="82" fillId="86" borderId="0" applyNumberFormat="0" applyFont="0" applyBorder="0" applyProtection="0"/>
    <xf numFmtId="0" fontId="82" fillId="86" borderId="0" applyNumberFormat="0" applyFont="0" applyBorder="0" applyProtection="0"/>
    <xf numFmtId="0" fontId="82" fillId="86" borderId="0" applyNumberFormat="0" applyFont="0" applyBorder="0" applyProtection="0"/>
    <xf numFmtId="0" fontId="97" fillId="87" borderId="0"/>
    <xf numFmtId="0" fontId="98" fillId="87" borderId="0"/>
    <xf numFmtId="0" fontId="82" fillId="87" borderId="0" applyNumberFormat="0" applyFont="0" applyBorder="0" applyProtection="0"/>
    <xf numFmtId="0" fontId="82" fillId="87" borderId="0" applyNumberFormat="0" applyFont="0" applyBorder="0" applyProtection="0"/>
    <xf numFmtId="0" fontId="82" fillId="87" borderId="0" applyNumberFormat="0" applyFont="0" applyBorder="0" applyProtection="0"/>
    <xf numFmtId="0" fontId="82" fillId="87" borderId="0" applyNumberFormat="0" applyFont="0" applyBorder="0" applyProtection="0"/>
    <xf numFmtId="0" fontId="82" fillId="87" borderId="0" applyNumberFormat="0" applyFont="0" applyBorder="0" applyProtection="0"/>
    <xf numFmtId="0" fontId="82" fillId="87" borderId="0" applyNumberFormat="0" applyFont="0" applyBorder="0" applyProtection="0"/>
    <xf numFmtId="0" fontId="97" fillId="94" borderId="0"/>
    <xf numFmtId="0" fontId="98" fillId="94" borderId="0"/>
    <xf numFmtId="0" fontId="82" fillId="94" borderId="0" applyNumberFormat="0" applyFont="0" applyBorder="0" applyProtection="0"/>
    <xf numFmtId="0" fontId="82" fillId="94" borderId="0" applyNumberFormat="0" applyFont="0" applyBorder="0" applyProtection="0"/>
    <xf numFmtId="0" fontId="82" fillId="94" borderId="0" applyNumberFormat="0" applyFont="0" applyBorder="0" applyProtection="0"/>
    <xf numFmtId="0" fontId="82" fillId="94" borderId="0" applyNumberFormat="0" applyFont="0" applyBorder="0" applyProtection="0"/>
    <xf numFmtId="0" fontId="82" fillId="94" borderId="0" applyNumberFormat="0" applyFont="0" applyBorder="0" applyProtection="0"/>
    <xf numFmtId="0" fontId="82" fillId="94" borderId="0" applyNumberFormat="0" applyFont="0" applyBorder="0" applyProtection="0"/>
    <xf numFmtId="0" fontId="97" fillId="81" borderId="0"/>
    <xf numFmtId="0" fontId="98" fillId="81" borderId="0"/>
    <xf numFmtId="0" fontId="82" fillId="81" borderId="0" applyNumberFormat="0" applyFont="0" applyBorder="0" applyProtection="0"/>
    <xf numFmtId="0" fontId="82" fillId="81" borderId="0" applyNumberFormat="0" applyFont="0" applyBorder="0" applyProtection="0"/>
    <xf numFmtId="0" fontId="82" fillId="81" borderId="0" applyNumberFormat="0" applyFont="0" applyBorder="0" applyProtection="0"/>
    <xf numFmtId="0" fontId="82" fillId="81" borderId="0" applyNumberFormat="0" applyFont="0" applyBorder="0" applyProtection="0"/>
    <xf numFmtId="0" fontId="82" fillId="81" borderId="0" applyNumberFormat="0" applyFont="0" applyBorder="0" applyProtection="0"/>
    <xf numFmtId="0" fontId="82" fillId="81" borderId="0" applyNumberFormat="0" applyFont="0" applyBorder="0" applyProtection="0"/>
    <xf numFmtId="0" fontId="97" fillId="91" borderId="0"/>
    <xf numFmtId="0" fontId="98" fillId="91" borderId="0"/>
    <xf numFmtId="0" fontId="82" fillId="91" borderId="0" applyNumberFormat="0" applyFont="0" applyBorder="0" applyProtection="0"/>
    <xf numFmtId="0" fontId="82" fillId="91" borderId="0" applyNumberFormat="0" applyFont="0" applyBorder="0" applyProtection="0"/>
    <xf numFmtId="0" fontId="82" fillId="91" borderId="0" applyNumberFormat="0" applyFont="0" applyBorder="0" applyProtection="0"/>
    <xf numFmtId="0" fontId="82" fillId="91" borderId="0" applyNumberFormat="0" applyFont="0" applyBorder="0" applyProtection="0"/>
    <xf numFmtId="0" fontId="82" fillId="91" borderId="0" applyNumberFormat="0" applyFont="0" applyBorder="0" applyProtection="0"/>
    <xf numFmtId="0" fontId="82" fillId="91" borderId="0" applyNumberFormat="0" applyFont="0" applyBorder="0" applyProtection="0"/>
    <xf numFmtId="0" fontId="97" fillId="92" borderId="0"/>
    <xf numFmtId="0" fontId="98" fillId="92" borderId="0"/>
    <xf numFmtId="0" fontId="82" fillId="92" borderId="0" applyNumberFormat="0" applyFont="0" applyBorder="0" applyProtection="0"/>
    <xf numFmtId="0" fontId="82" fillId="92" borderId="0" applyNumberFormat="0" applyFont="0" applyBorder="0" applyProtection="0"/>
    <xf numFmtId="0" fontId="82" fillId="92" borderId="0" applyNumberFormat="0" applyFont="0" applyBorder="0" applyProtection="0"/>
    <xf numFmtId="0" fontId="82" fillId="92" borderId="0" applyNumberFormat="0" applyFont="0" applyBorder="0" applyProtection="0"/>
    <xf numFmtId="0" fontId="82" fillId="92" borderId="0" applyNumberFormat="0" applyFont="0" applyBorder="0" applyProtection="0"/>
    <xf numFmtId="0" fontId="82" fillId="92" borderId="0" applyNumberFormat="0" applyFont="0" applyBorder="0" applyProtection="0"/>
    <xf numFmtId="0" fontId="97" fillId="86" borderId="0"/>
    <xf numFmtId="0" fontId="98" fillId="86" borderId="0"/>
    <xf numFmtId="0" fontId="82" fillId="86" borderId="0" applyNumberFormat="0" applyFont="0" applyBorder="0" applyProtection="0"/>
    <xf numFmtId="0" fontId="82" fillId="86" borderId="0" applyNumberFormat="0" applyFont="0" applyBorder="0" applyProtection="0"/>
    <xf numFmtId="0" fontId="82" fillId="86" borderId="0" applyNumberFormat="0" applyFont="0" applyBorder="0" applyProtection="0"/>
    <xf numFmtId="0" fontId="82" fillId="86" borderId="0" applyNumberFormat="0" applyFont="0" applyBorder="0" applyProtection="0"/>
    <xf numFmtId="0" fontId="82" fillId="86" borderId="0" applyNumberFormat="0" applyFont="0" applyBorder="0" applyProtection="0"/>
    <xf numFmtId="0" fontId="82" fillId="86" borderId="0" applyNumberFormat="0" applyFont="0" applyBorder="0" applyProtection="0"/>
    <xf numFmtId="0" fontId="93" fillId="84" borderId="0"/>
    <xf numFmtId="0" fontId="94" fillId="84" borderId="0"/>
    <xf numFmtId="0" fontId="95" fillId="95" borderId="0" applyNumberFormat="0" applyBorder="0" applyProtection="0"/>
    <xf numFmtId="0" fontId="94" fillId="84" borderId="0" applyNumberFormat="0" applyBorder="0" applyProtection="0"/>
    <xf numFmtId="0" fontId="93" fillId="96" borderId="0"/>
    <xf numFmtId="0" fontId="94" fillId="96" borderId="0"/>
    <xf numFmtId="0" fontId="95" fillId="96" borderId="0" applyNumberFormat="0" applyBorder="0" applyProtection="0"/>
    <xf numFmtId="0" fontId="94" fillId="96" borderId="0" applyNumberFormat="0" applyBorder="0" applyProtection="0"/>
    <xf numFmtId="0" fontId="93" fillId="97" borderId="0"/>
    <xf numFmtId="0" fontId="94" fillId="97" borderId="0"/>
    <xf numFmtId="0" fontId="95" fillId="82" borderId="0" applyNumberFormat="0" applyBorder="0" applyProtection="0"/>
    <xf numFmtId="0" fontId="94" fillId="97" borderId="0" applyNumberFormat="0" applyBorder="0" applyProtection="0"/>
    <xf numFmtId="0" fontId="93" fillId="84" borderId="0"/>
    <xf numFmtId="0" fontId="94" fillId="84" borderId="0"/>
    <xf numFmtId="0" fontId="95" fillId="91" borderId="0" applyNumberFormat="0" applyBorder="0" applyProtection="0"/>
    <xf numFmtId="0" fontId="94" fillId="84" borderId="0" applyNumberFormat="0" applyBorder="0" applyProtection="0"/>
    <xf numFmtId="0" fontId="93" fillId="95" borderId="0"/>
    <xf numFmtId="0" fontId="94" fillId="95" borderId="0"/>
    <xf numFmtId="0" fontId="95" fillId="95" borderId="0" applyNumberFormat="0" applyBorder="0" applyProtection="0"/>
    <xf numFmtId="0" fontId="94" fillId="95" borderId="0" applyNumberFormat="0" applyBorder="0" applyProtection="0"/>
    <xf numFmtId="0" fontId="93" fillId="86" borderId="0"/>
    <xf numFmtId="0" fontId="94" fillId="86" borderId="0"/>
    <xf numFmtId="0" fontId="95" fillId="98" borderId="0" applyNumberFormat="0" applyBorder="0" applyProtection="0"/>
    <xf numFmtId="0" fontId="94" fillId="86" borderId="0" applyNumberFormat="0" applyBorder="0" applyProtection="0"/>
    <xf numFmtId="0" fontId="96" fillId="95" borderId="0"/>
    <xf numFmtId="0" fontId="96" fillId="95" borderId="0"/>
    <xf numFmtId="0" fontId="95" fillId="95" borderId="0" applyNumberFormat="0" applyBorder="0" applyProtection="0"/>
    <xf numFmtId="0" fontId="96" fillId="96" borderId="0"/>
    <xf numFmtId="0" fontId="96" fillId="96" borderId="0"/>
    <xf numFmtId="0" fontId="95" fillId="96" borderId="0" applyNumberFormat="0" applyBorder="0" applyProtection="0"/>
    <xf numFmtId="0" fontId="96" fillId="82" borderId="0"/>
    <xf numFmtId="0" fontId="96" fillId="82" borderId="0"/>
    <xf numFmtId="0" fontId="95" fillId="82" borderId="0" applyNumberFormat="0" applyBorder="0" applyProtection="0"/>
    <xf numFmtId="0" fontId="96" fillId="91" borderId="0"/>
    <xf numFmtId="0" fontId="96" fillId="91" borderId="0"/>
    <xf numFmtId="0" fontId="95" fillId="91" borderId="0" applyNumberFormat="0" applyBorder="0" applyProtection="0"/>
    <xf numFmtId="0" fontId="96" fillId="95" borderId="0"/>
    <xf numFmtId="0" fontId="96" fillId="95" borderId="0"/>
    <xf numFmtId="0" fontId="95" fillId="95" borderId="0" applyNumberFormat="0" applyBorder="0" applyProtection="0"/>
    <xf numFmtId="0" fontId="96" fillId="98" borderId="0"/>
    <xf numFmtId="0" fontId="96" fillId="98" borderId="0"/>
    <xf numFmtId="0" fontId="95" fillId="98" borderId="0" applyNumberFormat="0" applyBorder="0" applyProtection="0"/>
    <xf numFmtId="0" fontId="97" fillId="95" borderId="0"/>
    <xf numFmtId="0" fontId="98" fillId="95" borderId="0"/>
    <xf numFmtId="0" fontId="82" fillId="95" borderId="0" applyNumberFormat="0" applyFont="0" applyBorder="0" applyProtection="0"/>
    <xf numFmtId="0" fontId="82" fillId="95" borderId="0" applyNumberFormat="0" applyFont="0" applyBorder="0" applyProtection="0"/>
    <xf numFmtId="0" fontId="82" fillId="95" borderId="0" applyNumberFormat="0" applyFont="0" applyBorder="0" applyProtection="0"/>
    <xf numFmtId="0" fontId="82" fillId="95" borderId="0" applyNumberFormat="0" applyFont="0" applyBorder="0" applyProtection="0"/>
    <xf numFmtId="0" fontId="82" fillId="95" borderId="0" applyNumberFormat="0" applyFont="0" applyBorder="0" applyProtection="0"/>
    <xf numFmtId="0" fontId="82" fillId="95" borderId="0" applyNumberFormat="0" applyFont="0" applyBorder="0" applyProtection="0"/>
    <xf numFmtId="0" fontId="97" fillId="96" borderId="0"/>
    <xf numFmtId="0" fontId="98" fillId="96" borderId="0"/>
    <xf numFmtId="0" fontId="82" fillId="96" borderId="0" applyNumberFormat="0" applyFont="0" applyBorder="0" applyProtection="0"/>
    <xf numFmtId="0" fontId="82" fillId="96" borderId="0" applyNumberFormat="0" applyFont="0" applyBorder="0" applyProtection="0"/>
    <xf numFmtId="0" fontId="82" fillId="96" borderId="0" applyNumberFormat="0" applyFont="0" applyBorder="0" applyProtection="0"/>
    <xf numFmtId="0" fontId="82" fillId="96" borderId="0" applyNumberFormat="0" applyFont="0" applyBorder="0" applyProtection="0"/>
    <xf numFmtId="0" fontId="82" fillId="96" borderId="0" applyNumberFormat="0" applyFont="0" applyBorder="0" applyProtection="0"/>
    <xf numFmtId="0" fontId="82" fillId="96" borderId="0" applyNumberFormat="0" applyFont="0" applyBorder="0" applyProtection="0"/>
    <xf numFmtId="0" fontId="97" fillId="99" borderId="0"/>
    <xf numFmtId="0" fontId="98" fillId="99" borderId="0"/>
    <xf numFmtId="0" fontId="82" fillId="99" borderId="0" applyNumberFormat="0" applyFont="0" applyBorder="0" applyProtection="0"/>
    <xf numFmtId="0" fontId="82" fillId="99" borderId="0" applyNumberFormat="0" applyFont="0" applyBorder="0" applyProtection="0"/>
    <xf numFmtId="0" fontId="82" fillId="99" borderId="0" applyNumberFormat="0" applyFont="0" applyBorder="0" applyProtection="0"/>
    <xf numFmtId="0" fontId="82" fillId="99" borderId="0" applyNumberFormat="0" applyFont="0" applyBorder="0" applyProtection="0"/>
    <xf numFmtId="0" fontId="82" fillId="99" borderId="0" applyNumberFormat="0" applyFont="0" applyBorder="0" applyProtection="0"/>
    <xf numFmtId="0" fontId="82" fillId="99" borderId="0" applyNumberFormat="0" applyFont="0" applyBorder="0" applyProtection="0"/>
    <xf numFmtId="0" fontId="97" fillId="91" borderId="0"/>
    <xf numFmtId="0" fontId="98" fillId="91" borderId="0"/>
    <xf numFmtId="0" fontId="82" fillId="91" borderId="0" applyNumberFormat="0" applyFont="0" applyBorder="0" applyProtection="0"/>
    <xf numFmtId="0" fontId="82" fillId="91" borderId="0" applyNumberFormat="0" applyFont="0" applyBorder="0" applyProtection="0"/>
    <xf numFmtId="0" fontId="82" fillId="91" borderId="0" applyNumberFormat="0" applyFont="0" applyBorder="0" applyProtection="0"/>
    <xf numFmtId="0" fontId="82" fillId="91" borderId="0" applyNumberFormat="0" applyFont="0" applyBorder="0" applyProtection="0"/>
    <xf numFmtId="0" fontId="82" fillId="91" borderId="0" applyNumberFormat="0" applyFont="0" applyBorder="0" applyProtection="0"/>
    <xf numFmtId="0" fontId="82" fillId="91" borderId="0" applyNumberFormat="0" applyFont="0" applyBorder="0" applyProtection="0"/>
    <xf numFmtId="0" fontId="97" fillId="95" borderId="0"/>
    <xf numFmtId="0" fontId="98" fillId="95" borderId="0"/>
    <xf numFmtId="0" fontId="82" fillId="95" borderId="0" applyNumberFormat="0" applyFont="0" applyBorder="0" applyProtection="0"/>
    <xf numFmtId="0" fontId="82" fillId="95" borderId="0" applyNumberFormat="0" applyFont="0" applyBorder="0" applyProtection="0"/>
    <xf numFmtId="0" fontId="82" fillId="95" borderId="0" applyNumberFormat="0" applyFont="0" applyBorder="0" applyProtection="0"/>
    <xf numFmtId="0" fontId="82" fillId="95" borderId="0" applyNumberFormat="0" applyFont="0" applyBorder="0" applyProtection="0"/>
    <xf numFmtId="0" fontId="82" fillId="95" borderId="0" applyNumberFormat="0" applyFont="0" applyBorder="0" applyProtection="0"/>
    <xf numFmtId="0" fontId="82" fillId="95" borderId="0" applyNumberFormat="0" applyFont="0" applyBorder="0" applyProtection="0"/>
    <xf numFmtId="0" fontId="97" fillId="100" borderId="0"/>
    <xf numFmtId="0" fontId="98" fillId="100" borderId="0"/>
    <xf numFmtId="0" fontId="82" fillId="100" borderId="0" applyNumberFormat="0" applyFont="0" applyBorder="0" applyProtection="0"/>
    <xf numFmtId="0" fontId="82" fillId="100" borderId="0" applyNumberFormat="0" applyFont="0" applyBorder="0" applyProtection="0"/>
    <xf numFmtId="0" fontId="82" fillId="100" borderId="0" applyNumberFormat="0" applyFont="0" applyBorder="0" applyProtection="0"/>
    <xf numFmtId="0" fontId="82" fillId="100" borderId="0" applyNumberFormat="0" applyFont="0" applyBorder="0" applyProtection="0"/>
    <xf numFmtId="0" fontId="82" fillId="100" borderId="0" applyNumberFormat="0" applyFont="0" applyBorder="0" applyProtection="0"/>
    <xf numFmtId="0" fontId="82" fillId="100" borderId="0" applyNumberFormat="0" applyFont="0" applyBorder="0" applyProtection="0"/>
    <xf numFmtId="0" fontId="97" fillId="95" borderId="0"/>
    <xf numFmtId="0" fontId="98" fillId="95" borderId="0"/>
    <xf numFmtId="0" fontId="82" fillId="95" borderId="0" applyNumberFormat="0" applyFont="0" applyBorder="0" applyProtection="0"/>
    <xf numFmtId="0" fontId="82" fillId="95" borderId="0" applyNumberFormat="0" applyFont="0" applyBorder="0" applyProtection="0"/>
    <xf numFmtId="0" fontId="82" fillId="95" borderId="0" applyNumberFormat="0" applyFont="0" applyBorder="0" applyProtection="0"/>
    <xf numFmtId="0" fontId="82" fillId="95" borderId="0" applyNumberFormat="0" applyFont="0" applyBorder="0" applyProtection="0"/>
    <xf numFmtId="0" fontId="82" fillId="95" borderId="0" applyNumberFormat="0" applyFont="0" applyBorder="0" applyProtection="0"/>
    <xf numFmtId="0" fontId="82" fillId="95" borderId="0" applyNumberFormat="0" applyFont="0" applyBorder="0" applyProtection="0"/>
    <xf numFmtId="0" fontId="97" fillId="96" borderId="0"/>
    <xf numFmtId="0" fontId="98" fillId="96" borderId="0"/>
    <xf numFmtId="0" fontId="82" fillId="96" borderId="0" applyNumberFormat="0" applyFont="0" applyBorder="0" applyProtection="0"/>
    <xf numFmtId="0" fontId="82" fillId="96" borderId="0" applyNumberFormat="0" applyFont="0" applyBorder="0" applyProtection="0"/>
    <xf numFmtId="0" fontId="82" fillId="96" borderId="0" applyNumberFormat="0" applyFont="0" applyBorder="0" applyProtection="0"/>
    <xf numFmtId="0" fontId="82" fillId="96" borderId="0" applyNumberFormat="0" applyFont="0" applyBorder="0" applyProtection="0"/>
    <xf numFmtId="0" fontId="82" fillId="96" borderId="0" applyNumberFormat="0" applyFont="0" applyBorder="0" applyProtection="0"/>
    <xf numFmtId="0" fontId="82" fillId="96" borderId="0" applyNumberFormat="0" applyFont="0" applyBorder="0" applyProtection="0"/>
    <xf numFmtId="0" fontId="97" fillId="99" borderId="0"/>
    <xf numFmtId="0" fontId="98" fillId="99" borderId="0"/>
    <xf numFmtId="0" fontId="82" fillId="99" borderId="0" applyNumberFormat="0" applyFont="0" applyBorder="0" applyProtection="0"/>
    <xf numFmtId="0" fontId="82" fillId="99" borderId="0" applyNumberFormat="0" applyFont="0" applyBorder="0" applyProtection="0"/>
    <xf numFmtId="0" fontId="82" fillId="99" borderId="0" applyNumberFormat="0" applyFont="0" applyBorder="0" applyProtection="0"/>
    <xf numFmtId="0" fontId="82" fillId="99" borderId="0" applyNumberFormat="0" applyFont="0" applyBorder="0" applyProtection="0"/>
    <xf numFmtId="0" fontId="82" fillId="99" borderId="0" applyNumberFormat="0" applyFont="0" applyBorder="0" applyProtection="0"/>
    <xf numFmtId="0" fontId="82" fillId="99" borderId="0" applyNumberFormat="0" applyFont="0" applyBorder="0" applyProtection="0"/>
    <xf numFmtId="0" fontId="97" fillId="91" borderId="0"/>
    <xf numFmtId="0" fontId="98" fillId="91" borderId="0"/>
    <xf numFmtId="0" fontId="82" fillId="91" borderId="0" applyNumberFormat="0" applyFont="0" applyBorder="0" applyProtection="0"/>
    <xf numFmtId="0" fontId="82" fillId="91" borderId="0" applyNumberFormat="0" applyFont="0" applyBorder="0" applyProtection="0"/>
    <xf numFmtId="0" fontId="82" fillId="91" borderId="0" applyNumberFormat="0" applyFont="0" applyBorder="0" applyProtection="0"/>
    <xf numFmtId="0" fontId="82" fillId="91" borderId="0" applyNumberFormat="0" applyFont="0" applyBorder="0" applyProtection="0"/>
    <xf numFmtId="0" fontId="82" fillId="91" borderId="0" applyNumberFormat="0" applyFont="0" applyBorder="0" applyProtection="0"/>
    <xf numFmtId="0" fontId="82" fillId="91" borderId="0" applyNumberFormat="0" applyFont="0" applyBorder="0" applyProtection="0"/>
    <xf numFmtId="0" fontId="97" fillId="95" borderId="0"/>
    <xf numFmtId="0" fontId="98" fillId="95" borderId="0"/>
    <xf numFmtId="0" fontId="82" fillId="95" borderId="0" applyNumberFormat="0" applyFont="0" applyBorder="0" applyProtection="0"/>
    <xf numFmtId="0" fontId="82" fillId="95" borderId="0" applyNumberFormat="0" applyFont="0" applyBorder="0" applyProtection="0"/>
    <xf numFmtId="0" fontId="82" fillId="95" borderId="0" applyNumberFormat="0" applyFont="0" applyBorder="0" applyProtection="0"/>
    <xf numFmtId="0" fontId="82" fillId="95" borderId="0" applyNumberFormat="0" applyFont="0" applyBorder="0" applyProtection="0"/>
    <xf numFmtId="0" fontId="82" fillId="95" borderId="0" applyNumberFormat="0" applyFont="0" applyBorder="0" applyProtection="0"/>
    <xf numFmtId="0" fontId="82" fillId="95" borderId="0" applyNumberFormat="0" applyFont="0" applyBorder="0" applyProtection="0"/>
    <xf numFmtId="0" fontId="97" fillId="100" borderId="0"/>
    <xf numFmtId="0" fontId="98" fillId="100" borderId="0"/>
    <xf numFmtId="0" fontId="82" fillId="100" borderId="0" applyNumberFormat="0" applyFont="0" applyBorder="0" applyProtection="0"/>
    <xf numFmtId="0" fontId="82" fillId="100" borderId="0" applyNumberFormat="0" applyFont="0" applyBorder="0" applyProtection="0"/>
    <xf numFmtId="0" fontId="82" fillId="100" borderId="0" applyNumberFormat="0" applyFont="0" applyBorder="0" applyProtection="0"/>
    <xf numFmtId="0" fontId="82" fillId="100" borderId="0" applyNumberFormat="0" applyFont="0" applyBorder="0" applyProtection="0"/>
    <xf numFmtId="0" fontId="82" fillId="100" borderId="0" applyNumberFormat="0" applyFont="0" applyBorder="0" applyProtection="0"/>
    <xf numFmtId="0" fontId="82" fillId="100" borderId="0" applyNumberFormat="0" applyFont="0" applyBorder="0" applyProtection="0"/>
    <xf numFmtId="0" fontId="97" fillId="95" borderId="0"/>
    <xf numFmtId="0" fontId="98" fillId="95" borderId="0"/>
    <xf numFmtId="0" fontId="82" fillId="95" borderId="0" applyNumberFormat="0" applyFont="0" applyBorder="0" applyProtection="0"/>
    <xf numFmtId="0" fontId="82" fillId="95" borderId="0" applyNumberFormat="0" applyFont="0" applyBorder="0" applyProtection="0"/>
    <xf numFmtId="0" fontId="82" fillId="95" borderId="0" applyNumberFormat="0" applyFont="0" applyBorder="0" applyProtection="0"/>
    <xf numFmtId="0" fontId="82" fillId="95" borderId="0" applyNumberFormat="0" applyFont="0" applyBorder="0" applyProtection="0"/>
    <xf numFmtId="0" fontId="82" fillId="95" borderId="0" applyNumberFormat="0" applyFont="0" applyBorder="0" applyProtection="0"/>
    <xf numFmtId="0" fontId="82" fillId="95" borderId="0" applyNumberFormat="0" applyFont="0" applyBorder="0" applyProtection="0"/>
    <xf numFmtId="0" fontId="97" fillId="96" borderId="0"/>
    <xf numFmtId="0" fontId="98" fillId="96" borderId="0"/>
    <xf numFmtId="0" fontId="82" fillId="96" borderId="0" applyNumberFormat="0" applyFont="0" applyBorder="0" applyProtection="0"/>
    <xf numFmtId="0" fontId="82" fillId="96" borderId="0" applyNumberFormat="0" applyFont="0" applyBorder="0" applyProtection="0"/>
    <xf numFmtId="0" fontId="82" fillId="96" borderId="0" applyNumberFormat="0" applyFont="0" applyBorder="0" applyProtection="0"/>
    <xf numFmtId="0" fontId="82" fillId="96" borderId="0" applyNumberFormat="0" applyFont="0" applyBorder="0" applyProtection="0"/>
    <xf numFmtId="0" fontId="82" fillId="96" borderId="0" applyNumberFormat="0" applyFont="0" applyBorder="0" applyProtection="0"/>
    <xf numFmtId="0" fontId="82" fillId="96" borderId="0" applyNumberFormat="0" applyFont="0" applyBorder="0" applyProtection="0"/>
    <xf numFmtId="0" fontId="97" fillId="82" borderId="0"/>
    <xf numFmtId="0" fontId="98" fillId="82" borderId="0"/>
    <xf numFmtId="0" fontId="82" fillId="82" borderId="0" applyNumberFormat="0" applyFont="0" applyBorder="0" applyProtection="0"/>
    <xf numFmtId="0" fontId="82" fillId="82" borderId="0" applyNumberFormat="0" applyFont="0" applyBorder="0" applyProtection="0"/>
    <xf numFmtId="0" fontId="82" fillId="82" borderId="0" applyNumberFormat="0" applyFont="0" applyBorder="0" applyProtection="0"/>
    <xf numFmtId="0" fontId="82" fillId="82" borderId="0" applyNumberFormat="0" applyFont="0" applyBorder="0" applyProtection="0"/>
    <xf numFmtId="0" fontId="82" fillId="82" borderId="0" applyNumberFormat="0" applyFont="0" applyBorder="0" applyProtection="0"/>
    <xf numFmtId="0" fontId="82" fillId="82" borderId="0" applyNumberFormat="0" applyFont="0" applyBorder="0" applyProtection="0"/>
    <xf numFmtId="0" fontId="97" fillId="91" borderId="0"/>
    <xf numFmtId="0" fontId="98" fillId="91" borderId="0"/>
    <xf numFmtId="0" fontId="82" fillId="91" borderId="0" applyNumberFormat="0" applyFont="0" applyBorder="0" applyProtection="0"/>
    <xf numFmtId="0" fontId="82" fillId="91" borderId="0" applyNumberFormat="0" applyFont="0" applyBorder="0" applyProtection="0"/>
    <xf numFmtId="0" fontId="82" fillId="91" borderId="0" applyNumberFormat="0" applyFont="0" applyBorder="0" applyProtection="0"/>
    <xf numFmtId="0" fontId="82" fillId="91" borderId="0" applyNumberFormat="0" applyFont="0" applyBorder="0" applyProtection="0"/>
    <xf numFmtId="0" fontId="82" fillId="91" borderId="0" applyNumberFormat="0" applyFont="0" applyBorder="0" applyProtection="0"/>
    <xf numFmtId="0" fontId="82" fillId="91" borderId="0" applyNumberFormat="0" applyFont="0" applyBorder="0" applyProtection="0"/>
    <xf numFmtId="0" fontId="97" fillId="95" borderId="0"/>
    <xf numFmtId="0" fontId="98" fillId="95" borderId="0"/>
    <xf numFmtId="0" fontId="82" fillId="95" borderId="0" applyNumberFormat="0" applyFont="0" applyBorder="0" applyProtection="0"/>
    <xf numFmtId="0" fontId="82" fillId="95" borderId="0" applyNumberFormat="0" applyFont="0" applyBorder="0" applyProtection="0"/>
    <xf numFmtId="0" fontId="82" fillId="95" borderId="0" applyNumberFormat="0" applyFont="0" applyBorder="0" applyProtection="0"/>
    <xf numFmtId="0" fontId="82" fillId="95" borderId="0" applyNumberFormat="0" applyFont="0" applyBorder="0" applyProtection="0"/>
    <xf numFmtId="0" fontId="82" fillId="95" borderId="0" applyNumberFormat="0" applyFont="0" applyBorder="0" applyProtection="0"/>
    <xf numFmtId="0" fontId="82" fillId="95" borderId="0" applyNumberFormat="0" applyFont="0" applyBorder="0" applyProtection="0"/>
    <xf numFmtId="0" fontId="97" fillId="100" borderId="0"/>
    <xf numFmtId="0" fontId="98" fillId="100" borderId="0"/>
    <xf numFmtId="0" fontId="82" fillId="100" borderId="0" applyNumberFormat="0" applyFont="0" applyBorder="0" applyProtection="0"/>
    <xf numFmtId="0" fontId="82" fillId="100" borderId="0" applyNumberFormat="0" applyFont="0" applyBorder="0" applyProtection="0"/>
    <xf numFmtId="0" fontId="82" fillId="100" borderId="0" applyNumberFormat="0" applyFont="0" applyBorder="0" applyProtection="0"/>
    <xf numFmtId="0" fontId="82" fillId="100" borderId="0" applyNumberFormat="0" applyFont="0" applyBorder="0" applyProtection="0"/>
    <xf numFmtId="0" fontId="82" fillId="100" borderId="0" applyNumberFormat="0" applyFont="0" applyBorder="0" applyProtection="0"/>
    <xf numFmtId="0" fontId="82" fillId="100" borderId="0" applyNumberFormat="0" applyFont="0" applyBorder="0" applyProtection="0"/>
    <xf numFmtId="0" fontId="97" fillId="0" borderId="0">
      <alignment horizontal="left" vertical="center" indent="7"/>
    </xf>
    <xf numFmtId="0" fontId="98" fillId="0" borderId="0">
      <alignment horizontal="left" vertical="center" indent="7"/>
    </xf>
    <xf numFmtId="0" fontId="82" fillId="0" borderId="0" applyNumberFormat="0" applyFont="0" applyBorder="0" applyProtection="0">
      <alignment horizontal="left" vertical="center" indent="7"/>
    </xf>
    <xf numFmtId="0" fontId="82" fillId="0" borderId="0" applyNumberFormat="0" applyFont="0" applyBorder="0" applyProtection="0">
      <alignment horizontal="left" vertical="center" indent="7"/>
    </xf>
    <xf numFmtId="0" fontId="82" fillId="0" borderId="0" applyNumberFormat="0" applyFont="0" applyBorder="0" applyProtection="0">
      <alignment horizontal="left" vertical="center" indent="7"/>
    </xf>
    <xf numFmtId="0" fontId="82" fillId="0" borderId="0" applyNumberFormat="0" applyFont="0" applyBorder="0" applyProtection="0">
      <alignment horizontal="left" vertical="center" indent="7"/>
    </xf>
    <xf numFmtId="0" fontId="82" fillId="0" borderId="0" applyNumberFormat="0" applyFont="0" applyBorder="0" applyProtection="0">
      <alignment horizontal="left" vertical="center" indent="7"/>
    </xf>
    <xf numFmtId="0" fontId="82" fillId="0" borderId="0" applyNumberFormat="0" applyFont="0" applyBorder="0" applyProtection="0">
      <alignment horizontal="left" vertical="center" indent="7"/>
    </xf>
    <xf numFmtId="0" fontId="88" fillId="0" borderId="0" applyNumberFormat="0" applyFont="0" applyBorder="0" applyProtection="0">
      <alignment horizontal="left" vertical="center" indent="7"/>
    </xf>
    <xf numFmtId="0" fontId="99" fillId="101" borderId="0"/>
    <xf numFmtId="0" fontId="100" fillId="101" borderId="0"/>
    <xf numFmtId="0" fontId="101" fillId="99" borderId="0" applyNumberFormat="0" applyBorder="0" applyProtection="0"/>
    <xf numFmtId="0" fontId="100" fillId="101" borderId="0" applyNumberFormat="0" applyBorder="0" applyProtection="0"/>
    <xf numFmtId="0" fontId="99" fillId="96" borderId="0"/>
    <xf numFmtId="0" fontId="100" fillId="96" borderId="0"/>
    <xf numFmtId="0" fontId="101" fillId="96" borderId="0" applyNumberFormat="0" applyBorder="0" applyProtection="0"/>
    <xf numFmtId="0" fontId="100" fillId="96" borderId="0" applyNumberFormat="0" applyBorder="0" applyProtection="0"/>
    <xf numFmtId="0" fontId="99" fillId="97" borderId="0"/>
    <xf numFmtId="0" fontId="100" fillId="97" borderId="0"/>
    <xf numFmtId="0" fontId="101" fillId="82" borderId="0" applyNumberFormat="0" applyBorder="0" applyProtection="0"/>
    <xf numFmtId="0" fontId="100" fillId="97" borderId="0" applyNumberFormat="0" applyBorder="0" applyProtection="0"/>
    <xf numFmtId="0" fontId="99" fillId="84" borderId="0"/>
    <xf numFmtId="0" fontId="100" fillId="84" borderId="0"/>
    <xf numFmtId="0" fontId="101" fillId="102" borderId="0" applyNumberFormat="0" applyBorder="0" applyProtection="0"/>
    <xf numFmtId="0" fontId="100" fillId="84" borderId="0" applyNumberFormat="0" applyBorder="0" applyProtection="0"/>
    <xf numFmtId="0" fontId="99" fillId="101" borderId="0"/>
    <xf numFmtId="0" fontId="100" fillId="101" borderId="0"/>
    <xf numFmtId="0" fontId="101" fillId="101" borderId="0" applyNumberFormat="0" applyBorder="0" applyProtection="0"/>
    <xf numFmtId="0" fontId="100" fillId="101" borderId="0" applyNumberFormat="0" applyBorder="0" applyProtection="0"/>
    <xf numFmtId="0" fontId="99" fillId="86" borderId="0"/>
    <xf numFmtId="0" fontId="100" fillId="86" borderId="0"/>
    <xf numFmtId="0" fontId="101" fillId="103" borderId="0" applyNumberFormat="0" applyBorder="0" applyProtection="0"/>
    <xf numFmtId="0" fontId="100" fillId="86" borderId="0" applyNumberFormat="0" applyBorder="0" applyProtection="0"/>
    <xf numFmtId="0" fontId="102" fillId="99" borderId="0"/>
    <xf numFmtId="0" fontId="102" fillId="99" borderId="0"/>
    <xf numFmtId="0" fontId="101" fillId="99" borderId="0" applyNumberFormat="0" applyBorder="0" applyProtection="0"/>
    <xf numFmtId="0" fontId="102" fillId="96" borderId="0"/>
    <xf numFmtId="0" fontId="102" fillId="96" borderId="0"/>
    <xf numFmtId="0" fontId="101" fillId="96" borderId="0" applyNumberFormat="0" applyBorder="0" applyProtection="0"/>
    <xf numFmtId="0" fontId="102" fillId="82" borderId="0"/>
    <xf numFmtId="0" fontId="102" fillId="82" borderId="0"/>
    <xf numFmtId="0" fontId="101" fillId="82" borderId="0" applyNumberFormat="0" applyBorder="0" applyProtection="0"/>
    <xf numFmtId="0" fontId="102" fillId="102" borderId="0"/>
    <xf numFmtId="0" fontId="102" fillId="102" borderId="0"/>
    <xf numFmtId="0" fontId="101" fillId="102" borderId="0" applyNumberFormat="0" applyBorder="0" applyProtection="0"/>
    <xf numFmtId="0" fontId="102" fillId="101" borderId="0"/>
    <xf numFmtId="0" fontId="102" fillId="101" borderId="0"/>
    <xf numFmtId="0" fontId="101" fillId="101" borderId="0" applyNumberFormat="0" applyBorder="0" applyProtection="0"/>
    <xf numFmtId="0" fontId="102" fillId="103" borderId="0"/>
    <xf numFmtId="0" fontId="102" fillId="103" borderId="0"/>
    <xf numFmtId="0" fontId="101" fillId="103" borderId="0" applyNumberFormat="0" applyBorder="0" applyProtection="0"/>
    <xf numFmtId="0" fontId="103" fillId="104" borderId="0"/>
    <xf numFmtId="0" fontId="104" fillId="104" borderId="0"/>
    <xf numFmtId="0" fontId="104" fillId="104" borderId="0" applyNumberFormat="0" applyBorder="0" applyProtection="0"/>
    <xf numFmtId="0" fontId="103" fillId="96" borderId="0"/>
    <xf numFmtId="0" fontId="104" fillId="96" borderId="0"/>
    <xf numFmtId="0" fontId="104" fillId="96" borderId="0" applyNumberFormat="0" applyBorder="0" applyProtection="0"/>
    <xf numFmtId="0" fontId="103" fillId="99" borderId="0"/>
    <xf numFmtId="0" fontId="104" fillId="99" borderId="0"/>
    <xf numFmtId="0" fontId="104" fillId="99" borderId="0" applyNumberFormat="0" applyBorder="0" applyProtection="0"/>
    <xf numFmtId="0" fontId="103" fillId="102" borderId="0"/>
    <xf numFmtId="0" fontId="104" fillId="102" borderId="0"/>
    <xf numFmtId="0" fontId="104" fillId="102" borderId="0" applyNumberFormat="0" applyBorder="0" applyProtection="0"/>
    <xf numFmtId="0" fontId="103" fillId="101" borderId="0"/>
    <xf numFmtId="0" fontId="104" fillId="101" borderId="0"/>
    <xf numFmtId="0" fontId="104" fillId="101" borderId="0" applyNumberFormat="0" applyBorder="0" applyProtection="0"/>
    <xf numFmtId="0" fontId="103" fillId="105" borderId="0"/>
    <xf numFmtId="0" fontId="104" fillId="105" borderId="0"/>
    <xf numFmtId="0" fontId="104" fillId="105" borderId="0" applyNumberFormat="0" applyBorder="0" applyProtection="0"/>
    <xf numFmtId="0" fontId="103" fillId="104" borderId="0"/>
    <xf numFmtId="0" fontId="104" fillId="104" borderId="0"/>
    <xf numFmtId="0" fontId="104" fillId="104" borderId="0" applyNumberFormat="0" applyBorder="0" applyProtection="0"/>
    <xf numFmtId="0" fontId="103" fillId="96" borderId="0"/>
    <xf numFmtId="0" fontId="104" fillId="96" borderId="0"/>
    <xf numFmtId="0" fontId="104" fillId="96" borderId="0" applyNumberFormat="0" applyBorder="0" applyProtection="0"/>
    <xf numFmtId="0" fontId="103" fillId="99" borderId="0"/>
    <xf numFmtId="0" fontId="104" fillId="99" borderId="0"/>
    <xf numFmtId="0" fontId="104" fillId="99" borderId="0" applyNumberFormat="0" applyBorder="0" applyProtection="0"/>
    <xf numFmtId="0" fontId="103" fillId="102" borderId="0"/>
    <xf numFmtId="0" fontId="104" fillId="102" borderId="0"/>
    <xf numFmtId="0" fontId="104" fillId="102" borderId="0" applyNumberFormat="0" applyBorder="0" applyProtection="0"/>
    <xf numFmtId="0" fontId="103" fillId="101" borderId="0"/>
    <xf numFmtId="0" fontId="104" fillId="101" borderId="0"/>
    <xf numFmtId="0" fontId="104" fillId="101" borderId="0" applyNumberFormat="0" applyBorder="0" applyProtection="0"/>
    <xf numFmtId="0" fontId="103" fillId="105" borderId="0"/>
    <xf numFmtId="0" fontId="104" fillId="105" borderId="0"/>
    <xf numFmtId="0" fontId="104" fillId="105" borderId="0" applyNumberFormat="0" applyBorder="0" applyProtection="0"/>
    <xf numFmtId="0" fontId="103" fillId="104" borderId="0"/>
    <xf numFmtId="0" fontId="104" fillId="104" borderId="0"/>
    <xf numFmtId="0" fontId="104" fillId="104" borderId="0" applyNumberFormat="0" applyBorder="0" applyProtection="0"/>
    <xf numFmtId="0" fontId="103" fillId="96" borderId="0"/>
    <xf numFmtId="0" fontId="104" fillId="96" borderId="0"/>
    <xf numFmtId="0" fontId="104" fillId="96" borderId="0" applyNumberFormat="0" applyBorder="0" applyProtection="0"/>
    <xf numFmtId="0" fontId="103" fillId="82" borderId="0"/>
    <xf numFmtId="0" fontId="104" fillId="82" borderId="0"/>
    <xf numFmtId="0" fontId="104" fillId="82" borderId="0" applyNumberFormat="0" applyBorder="0" applyProtection="0"/>
    <xf numFmtId="0" fontId="103" fillId="102" borderId="0"/>
    <xf numFmtId="0" fontId="104" fillId="102" borderId="0"/>
    <xf numFmtId="0" fontId="104" fillId="102" borderId="0" applyNumberFormat="0" applyBorder="0" applyProtection="0"/>
    <xf numFmtId="0" fontId="103" fillId="101" borderId="0"/>
    <xf numFmtId="0" fontId="104" fillId="101" borderId="0"/>
    <xf numFmtId="0" fontId="104" fillId="101" borderId="0" applyNumberFormat="0" applyBorder="0" applyProtection="0"/>
    <xf numFmtId="0" fontId="103" fillId="105" borderId="0"/>
    <xf numFmtId="0" fontId="104" fillId="105" borderId="0"/>
    <xf numFmtId="0" fontId="104" fillId="105" borderId="0" applyNumberFormat="0" applyBorder="0" applyProtection="0"/>
    <xf numFmtId="0" fontId="102" fillId="106" borderId="0"/>
    <xf numFmtId="0" fontId="102" fillId="106" borderId="0"/>
    <xf numFmtId="0" fontId="101" fillId="106" borderId="0" applyNumberFormat="0" applyBorder="0" applyProtection="0"/>
    <xf numFmtId="0" fontId="102" fillId="83" borderId="0"/>
    <xf numFmtId="0" fontId="102" fillId="83" borderId="0"/>
    <xf numFmtId="0" fontId="101" fillId="83" borderId="0" applyNumberFormat="0" applyBorder="0" applyProtection="0"/>
    <xf numFmtId="0" fontId="102" fillId="107" borderId="0"/>
    <xf numFmtId="0" fontId="102" fillId="107" borderId="0"/>
    <xf numFmtId="0" fontId="101" fillId="107" borderId="0" applyNumberFormat="0" applyBorder="0" applyProtection="0"/>
    <xf numFmtId="0" fontId="102" fillId="102" borderId="0"/>
    <xf numFmtId="0" fontId="102" fillId="102" borderId="0"/>
    <xf numFmtId="0" fontId="101" fillId="102" borderId="0" applyNumberFormat="0" applyBorder="0" applyProtection="0"/>
    <xf numFmtId="0" fontId="102" fillId="101" borderId="0"/>
    <xf numFmtId="0" fontId="102" fillId="101" borderId="0"/>
    <xf numFmtId="0" fontId="101" fillId="101" borderId="0" applyNumberFormat="0" applyBorder="0" applyProtection="0"/>
    <xf numFmtId="0" fontId="102" fillId="108" borderId="0"/>
    <xf numFmtId="0" fontId="102" fillId="108" borderId="0"/>
    <xf numFmtId="0" fontId="101" fillId="108" borderId="0" applyNumberFormat="0" applyBorder="0" applyProtection="0"/>
    <xf numFmtId="0" fontId="105" fillId="0" borderId="0"/>
    <xf numFmtId="0" fontId="105" fillId="0" borderId="0"/>
    <xf numFmtId="0" fontId="106" fillId="0" borderId="0" applyNumberFormat="0" applyBorder="0" applyProtection="0"/>
    <xf numFmtId="0" fontId="107" fillId="94" borderId="0"/>
    <xf numFmtId="0" fontId="108" fillId="94" borderId="0"/>
    <xf numFmtId="0" fontId="108" fillId="94" borderId="0" applyNumberFormat="0" applyBorder="0" applyProtection="0"/>
    <xf numFmtId="4" fontId="109" fillId="0" borderId="0">
      <alignment horizontal="right" vertical="center"/>
    </xf>
    <xf numFmtId="4" fontId="110" fillId="0" borderId="0">
      <alignment horizontal="right" vertical="center"/>
    </xf>
    <xf numFmtId="4" fontId="110" fillId="0" borderId="0" applyBorder="0" applyProtection="0">
      <alignment horizontal="right" vertical="center"/>
    </xf>
    <xf numFmtId="0" fontId="111" fillId="81" borderId="0"/>
    <xf numFmtId="0" fontId="112" fillId="81" borderId="0"/>
    <xf numFmtId="0" fontId="112" fillId="81" borderId="0" applyNumberFormat="0" applyBorder="0" applyProtection="0"/>
    <xf numFmtId="0" fontId="113" fillId="81" borderId="0"/>
    <xf numFmtId="0" fontId="114" fillId="81" borderId="0"/>
    <xf numFmtId="0" fontId="114" fillId="81" borderId="0" applyNumberFormat="0" applyBorder="0" applyProtection="0"/>
    <xf numFmtId="0" fontId="115" fillId="84" borderId="44"/>
    <xf numFmtId="0" fontId="116" fillId="84" borderId="44"/>
    <xf numFmtId="0" fontId="116" fillId="84" borderId="44" applyNumberFormat="0" applyProtection="0"/>
    <xf numFmtId="0" fontId="117" fillId="84" borderId="44"/>
    <xf numFmtId="0" fontId="117" fillId="84" borderId="44"/>
    <xf numFmtId="0" fontId="118" fillId="84" borderId="44" applyNumberFormat="0" applyProtection="0"/>
    <xf numFmtId="0" fontId="115" fillId="84" borderId="44"/>
    <xf numFmtId="0" fontId="116" fillId="84" borderId="44"/>
    <xf numFmtId="0" fontId="116" fillId="84" borderId="44" applyNumberFormat="0" applyProtection="0"/>
    <xf numFmtId="0" fontId="115" fillId="84" borderId="44"/>
    <xf numFmtId="0" fontId="116" fillId="84" borderId="44"/>
    <xf numFmtId="0" fontId="116" fillId="84" borderId="44" applyNumberFormat="0" applyProtection="0"/>
    <xf numFmtId="0" fontId="119" fillId="109" borderId="39"/>
    <xf numFmtId="0" fontId="62" fillId="109" borderId="39"/>
    <xf numFmtId="0" fontId="62" fillId="109" borderId="45" applyNumberFormat="0" applyProtection="0"/>
    <xf numFmtId="0" fontId="120" fillId="0" borderId="40"/>
    <xf numFmtId="0" fontId="121" fillId="0" borderId="40"/>
    <xf numFmtId="0" fontId="121" fillId="0" borderId="46" applyNumberFormat="0" applyProtection="0"/>
    <xf numFmtId="0" fontId="120" fillId="0" borderId="40"/>
    <xf numFmtId="0" fontId="121" fillId="0" borderId="40"/>
    <xf numFmtId="0" fontId="121" fillId="0" borderId="46" applyNumberFormat="0" applyProtection="0"/>
    <xf numFmtId="0" fontId="119" fillId="109" borderId="39"/>
    <xf numFmtId="0" fontId="62" fillId="109" borderId="39"/>
    <xf numFmtId="0" fontId="62" fillId="109" borderId="45" applyNumberFormat="0" applyProtection="0"/>
    <xf numFmtId="0" fontId="122" fillId="0" borderId="40"/>
    <xf numFmtId="0" fontId="122" fillId="0" borderId="40"/>
    <xf numFmtId="0" fontId="123" fillId="0" borderId="46" applyNumberFormat="0" applyProtection="0"/>
    <xf numFmtId="0" fontId="119" fillId="109" borderId="39"/>
    <xf numFmtId="0" fontId="62" fillId="109" borderId="39"/>
    <xf numFmtId="0" fontId="62" fillId="109" borderId="45" applyNumberFormat="0" applyProtection="0"/>
    <xf numFmtId="0" fontId="124" fillId="84" borderId="44">
      <alignment horizontal="center" vertical="center"/>
    </xf>
    <xf numFmtId="0" fontId="124" fillId="84" borderId="44">
      <alignment horizontal="center" vertical="center"/>
    </xf>
    <xf numFmtId="0" fontId="124" fillId="84" borderId="44">
      <alignment horizontal="center" vertical="center"/>
    </xf>
    <xf numFmtId="0" fontId="124" fillId="84" borderId="44" applyNumberFormat="0" applyProtection="0">
      <alignment horizontal="center" vertical="center"/>
    </xf>
    <xf numFmtId="0" fontId="124" fillId="84" borderId="44">
      <alignment horizontal="center" vertical="center"/>
    </xf>
    <xf numFmtId="0" fontId="124" fillId="84" borderId="44">
      <alignment horizontal="center" vertical="center"/>
    </xf>
    <xf numFmtId="0" fontId="124" fillId="84" borderId="44" applyNumberFormat="0" applyProtection="0">
      <alignment horizontal="center" vertical="center"/>
    </xf>
    <xf numFmtId="0" fontId="124" fillId="84" borderId="44">
      <alignment horizontal="center" vertical="center"/>
    </xf>
    <xf numFmtId="0" fontId="124" fillId="84" borderId="44">
      <alignment horizontal="center" vertical="center"/>
    </xf>
    <xf numFmtId="0" fontId="124" fillId="84" borderId="44" applyNumberFormat="0" applyProtection="0">
      <alignment horizontal="center" vertical="center"/>
    </xf>
    <xf numFmtId="0" fontId="124" fillId="84" borderId="44">
      <alignment horizontal="center" vertical="center"/>
    </xf>
    <xf numFmtId="0" fontId="124" fillId="84" borderId="44">
      <alignment horizontal="center" vertical="center"/>
    </xf>
    <xf numFmtId="0" fontId="124" fillId="84" borderId="44" applyNumberFormat="0" applyProtection="0">
      <alignment horizontal="center" vertical="center"/>
    </xf>
    <xf numFmtId="0" fontId="124" fillId="84" borderId="44">
      <alignment horizontal="center" vertical="center"/>
    </xf>
    <xf numFmtId="0" fontId="124" fillId="84" borderId="44" applyNumberFormat="0" applyProtection="0">
      <alignment horizontal="center" vertical="center"/>
    </xf>
    <xf numFmtId="49" fontId="125" fillId="110" borderId="0">
      <alignment horizontal="center" vertical="center" wrapText="1"/>
    </xf>
    <xf numFmtId="49" fontId="125" fillId="111" borderId="47">
      <alignment horizontal="center" vertical="center" wrapText="1"/>
    </xf>
    <xf numFmtId="49" fontId="125" fillId="110" borderId="47">
      <alignment horizontal="center" vertical="center" wrapText="1"/>
    </xf>
    <xf numFmtId="49" fontId="125" fillId="110" borderId="47">
      <alignment horizontal="center" vertical="center" wrapText="1"/>
    </xf>
    <xf numFmtId="49" fontId="125" fillId="110" borderId="47" applyProtection="0">
      <alignment horizontal="center" vertical="center" wrapText="1"/>
    </xf>
    <xf numFmtId="49" fontId="125" fillId="111" borderId="47">
      <alignment horizontal="center" vertical="center" wrapText="1"/>
    </xf>
    <xf numFmtId="49" fontId="125" fillId="111" borderId="47" applyProtection="0">
      <alignment horizontal="center" vertical="center" wrapText="1"/>
    </xf>
    <xf numFmtId="49" fontId="125" fillId="91" borderId="47">
      <alignment horizontal="center" vertical="center" wrapText="1"/>
    </xf>
    <xf numFmtId="49" fontId="125" fillId="91" borderId="47">
      <alignment horizontal="center" vertical="center" wrapText="1"/>
    </xf>
    <xf numFmtId="49" fontId="125" fillId="91" borderId="47" applyProtection="0">
      <alignment horizontal="center" vertical="center" wrapText="1"/>
    </xf>
    <xf numFmtId="49" fontId="125" fillId="110" borderId="47">
      <alignment horizontal="center" vertical="center" wrapText="1"/>
    </xf>
    <xf numFmtId="49" fontId="125" fillId="110" borderId="47">
      <alignment horizontal="center" vertical="center" wrapText="1"/>
    </xf>
    <xf numFmtId="49" fontId="125" fillId="110" borderId="47" applyProtection="0">
      <alignment horizontal="center" vertical="center" wrapText="1"/>
    </xf>
    <xf numFmtId="49" fontId="125" fillId="110" borderId="0">
      <alignment horizontal="center" vertical="center" wrapText="1"/>
    </xf>
    <xf numFmtId="49" fontId="125" fillId="110" borderId="0" applyBorder="0" applyProtection="0">
      <alignment horizontal="center" vertical="center" wrapText="1"/>
    </xf>
    <xf numFmtId="49" fontId="125" fillId="107" borderId="0">
      <alignment horizontal="center" vertical="center" wrapText="1"/>
    </xf>
    <xf numFmtId="49" fontId="125" fillId="112" borderId="48">
      <alignment horizontal="center" vertical="center" wrapText="1"/>
    </xf>
    <xf numFmtId="49" fontId="125" fillId="112" borderId="48">
      <alignment horizontal="center" vertical="center" wrapText="1"/>
    </xf>
    <xf numFmtId="49" fontId="125" fillId="112" borderId="48" applyProtection="0">
      <alignment horizontal="center" vertical="center" wrapText="1"/>
    </xf>
    <xf numFmtId="49" fontId="125" fillId="94" borderId="48">
      <alignment horizontal="center" vertical="center" wrapText="1"/>
    </xf>
    <xf numFmtId="49" fontId="125" fillId="94" borderId="48">
      <alignment horizontal="center" vertical="center" wrapText="1"/>
    </xf>
    <xf numFmtId="49" fontId="125" fillId="94" borderId="48" applyProtection="0">
      <alignment horizontal="center" vertical="center" wrapText="1"/>
    </xf>
    <xf numFmtId="49" fontId="125" fillId="108" borderId="48">
      <alignment horizontal="center" vertical="center" wrapText="1"/>
    </xf>
    <xf numFmtId="49" fontId="125" fillId="108" borderId="48">
      <alignment horizontal="center" vertical="center" wrapText="1"/>
    </xf>
    <xf numFmtId="49" fontId="125" fillId="108" borderId="48" applyProtection="0">
      <alignment horizontal="center" vertical="center" wrapText="1"/>
    </xf>
    <xf numFmtId="49" fontId="125" fillId="91" borderId="48">
      <alignment horizontal="center" vertical="center" wrapText="1"/>
    </xf>
    <xf numFmtId="49" fontId="125" fillId="91" borderId="48">
      <alignment horizontal="center" vertical="center" wrapText="1"/>
    </xf>
    <xf numFmtId="49" fontId="125" fillId="91" borderId="48" applyProtection="0">
      <alignment horizontal="center" vertical="center" wrapText="1"/>
    </xf>
    <xf numFmtId="49" fontId="125" fillId="107" borderId="0">
      <alignment horizontal="center" vertical="center" wrapText="1"/>
    </xf>
    <xf numFmtId="49" fontId="125" fillId="107" borderId="0" applyBorder="0" applyProtection="0">
      <alignment horizontal="center" vertical="center" wrapText="1"/>
    </xf>
    <xf numFmtId="49" fontId="125" fillId="113" borderId="0">
      <alignment horizontal="center" vertical="center" wrapText="1"/>
    </xf>
    <xf numFmtId="49" fontId="125" fillId="105" borderId="48">
      <alignment horizontal="center" vertical="center" wrapText="1"/>
    </xf>
    <xf numFmtId="49" fontId="125" fillId="111" borderId="48">
      <alignment horizontal="center" vertical="center" wrapText="1"/>
    </xf>
    <xf numFmtId="49" fontId="125" fillId="111" borderId="48">
      <alignment horizontal="center" vertical="center" wrapText="1"/>
    </xf>
    <xf numFmtId="49" fontId="125" fillId="111" borderId="48" applyProtection="0">
      <alignment horizontal="center" vertical="center" wrapText="1"/>
    </xf>
    <xf numFmtId="49" fontId="125" fillId="105" borderId="48">
      <alignment horizontal="center" vertical="center" wrapText="1"/>
    </xf>
    <xf numFmtId="49" fontId="125" fillId="105" borderId="48" applyProtection="0">
      <alignment horizontal="center" vertical="center" wrapText="1"/>
    </xf>
    <xf numFmtId="49" fontId="125" fillId="111" borderId="48">
      <alignment horizontal="center" vertical="center" wrapText="1"/>
    </xf>
    <xf numFmtId="49" fontId="125" fillId="111" borderId="48">
      <alignment horizontal="center" vertical="center" wrapText="1"/>
    </xf>
    <xf numFmtId="49" fontId="125" fillId="111" borderId="48" applyProtection="0">
      <alignment horizontal="center" vertical="center" wrapText="1"/>
    </xf>
    <xf numFmtId="49" fontId="125" fillId="110" borderId="48">
      <alignment horizontal="center" vertical="center" wrapText="1"/>
    </xf>
    <xf numFmtId="49" fontId="125" fillId="110" borderId="48">
      <alignment horizontal="center" vertical="center" wrapText="1"/>
    </xf>
    <xf numFmtId="49" fontId="125" fillId="110" borderId="48" applyProtection="0">
      <alignment horizontal="center" vertical="center" wrapText="1"/>
    </xf>
    <xf numFmtId="49" fontId="125" fillId="111" borderId="48">
      <alignment horizontal="center" vertical="center" wrapText="1"/>
    </xf>
    <xf numFmtId="49" fontId="125" fillId="111" borderId="48">
      <alignment horizontal="center" vertical="center" wrapText="1"/>
    </xf>
    <xf numFmtId="49" fontId="125" fillId="111" borderId="48" applyProtection="0">
      <alignment horizontal="center" vertical="center" wrapText="1"/>
    </xf>
    <xf numFmtId="49" fontId="125" fillId="113" borderId="0">
      <alignment horizontal="center" vertical="center" wrapText="1"/>
    </xf>
    <xf numFmtId="49" fontId="125" fillId="113" borderId="0" applyBorder="0" applyProtection="0">
      <alignment horizontal="center" vertical="center" wrapText="1"/>
    </xf>
    <xf numFmtId="49" fontId="125" fillId="113" borderId="0">
      <alignment horizontal="center" vertical="center" wrapText="1"/>
    </xf>
    <xf numFmtId="49" fontId="125" fillId="105" borderId="49">
      <alignment horizontal="center" vertical="center" wrapText="1"/>
    </xf>
    <xf numFmtId="49" fontId="125" fillId="111" borderId="49">
      <alignment horizontal="center" vertical="center" wrapText="1"/>
    </xf>
    <xf numFmtId="49" fontId="125" fillId="111" borderId="49">
      <alignment horizontal="center" vertical="center" wrapText="1"/>
    </xf>
    <xf numFmtId="49" fontId="125" fillId="111" borderId="49" applyProtection="0">
      <alignment horizontal="center" vertical="center" wrapText="1"/>
    </xf>
    <xf numFmtId="49" fontId="125" fillId="105" borderId="49">
      <alignment horizontal="center" vertical="center" wrapText="1"/>
    </xf>
    <xf numFmtId="49" fontId="125" fillId="105" borderId="49" applyProtection="0">
      <alignment horizontal="center" vertical="center" wrapText="1"/>
    </xf>
    <xf numFmtId="49" fontId="125" fillId="111" borderId="50">
      <alignment horizontal="center" vertical="center" wrapText="1"/>
    </xf>
    <xf numFmtId="49" fontId="125" fillId="111" borderId="50">
      <alignment horizontal="center" vertical="center" wrapText="1"/>
    </xf>
    <xf numFmtId="49" fontId="125" fillId="111" borderId="50" applyProtection="0">
      <alignment horizontal="center" vertical="center" wrapText="1"/>
    </xf>
    <xf numFmtId="49" fontId="125" fillId="110" borderId="51">
      <alignment horizontal="center" vertical="center" wrapText="1"/>
    </xf>
    <xf numFmtId="49" fontId="125" fillId="110" borderId="51">
      <alignment horizontal="center" vertical="center" wrapText="1"/>
    </xf>
    <xf numFmtId="49" fontId="125" fillId="110" borderId="51" applyProtection="0">
      <alignment horizontal="center" vertical="center" wrapText="1"/>
    </xf>
    <xf numFmtId="49" fontId="125" fillId="111" borderId="49">
      <alignment horizontal="center" vertical="center" wrapText="1"/>
    </xf>
    <xf numFmtId="49" fontId="125" fillId="111" borderId="49">
      <alignment horizontal="center" vertical="center" wrapText="1"/>
    </xf>
    <xf numFmtId="49" fontId="125" fillId="111" borderId="49" applyProtection="0">
      <alignment horizontal="center" vertical="center" wrapText="1"/>
    </xf>
    <xf numFmtId="49" fontId="125" fillId="113" borderId="0">
      <alignment horizontal="center" vertical="center" wrapText="1"/>
    </xf>
    <xf numFmtId="49" fontId="125" fillId="113" borderId="0" applyBorder="0" applyProtection="0">
      <alignment horizontal="center" vertical="center" wrapText="1"/>
    </xf>
    <xf numFmtId="49" fontId="125" fillId="107" borderId="0">
      <alignment horizontal="center" vertical="center" wrapText="1"/>
    </xf>
    <xf numFmtId="49" fontId="125" fillId="112" borderId="49">
      <alignment horizontal="center" vertical="center" wrapText="1"/>
    </xf>
    <xf numFmtId="49" fontId="125" fillId="112" borderId="49">
      <alignment horizontal="center" vertical="center" wrapText="1"/>
    </xf>
    <xf numFmtId="49" fontId="125" fillId="112" borderId="49" applyProtection="0">
      <alignment horizontal="center" vertical="center" wrapText="1"/>
    </xf>
    <xf numFmtId="49" fontId="125" fillId="94" borderId="50">
      <alignment horizontal="center" vertical="center" wrapText="1"/>
    </xf>
    <xf numFmtId="49" fontId="125" fillId="94" borderId="50">
      <alignment horizontal="center" vertical="center" wrapText="1"/>
    </xf>
    <xf numFmtId="49" fontId="125" fillId="94" borderId="50" applyProtection="0">
      <alignment horizontal="center" vertical="center" wrapText="1"/>
    </xf>
    <xf numFmtId="49" fontId="125" fillId="108" borderId="51">
      <alignment horizontal="center" vertical="center" wrapText="1"/>
    </xf>
    <xf numFmtId="49" fontId="125" fillId="108" borderId="51">
      <alignment horizontal="center" vertical="center" wrapText="1"/>
    </xf>
    <xf numFmtId="49" fontId="125" fillId="108" borderId="51" applyProtection="0">
      <alignment horizontal="center" vertical="center" wrapText="1"/>
    </xf>
    <xf numFmtId="49" fontId="125" fillId="91" borderId="49">
      <alignment horizontal="center" vertical="center" wrapText="1"/>
    </xf>
    <xf numFmtId="49" fontId="125" fillId="91" borderId="49">
      <alignment horizontal="center" vertical="center" wrapText="1"/>
    </xf>
    <xf numFmtId="49" fontId="125" fillId="91" borderId="49" applyProtection="0">
      <alignment horizontal="center" vertical="center" wrapText="1"/>
    </xf>
    <xf numFmtId="49" fontId="125" fillId="107" borderId="0">
      <alignment horizontal="center" vertical="center" wrapText="1"/>
    </xf>
    <xf numFmtId="49" fontId="125" fillId="107" borderId="0" applyBorder="0" applyProtection="0">
      <alignment horizontal="center" vertical="center" wrapText="1"/>
    </xf>
    <xf numFmtId="49" fontId="125" fillId="110" borderId="0">
      <alignment horizontal="center" vertical="center" wrapText="1"/>
    </xf>
    <xf numFmtId="49" fontId="125" fillId="111" borderId="52">
      <alignment horizontal="center" vertical="center" wrapText="1"/>
    </xf>
    <xf numFmtId="49" fontId="125" fillId="110" borderId="52">
      <alignment horizontal="center" vertical="center" wrapText="1"/>
    </xf>
    <xf numFmtId="49" fontId="125" fillId="110" borderId="52">
      <alignment horizontal="center" vertical="center" wrapText="1"/>
    </xf>
    <xf numFmtId="49" fontId="125" fillId="110" borderId="52" applyProtection="0">
      <alignment horizontal="center" vertical="center" wrapText="1"/>
    </xf>
    <xf numFmtId="49" fontId="125" fillId="111" borderId="52">
      <alignment horizontal="center" vertical="center" wrapText="1"/>
    </xf>
    <xf numFmtId="49" fontId="125" fillId="111" borderId="52" applyProtection="0">
      <alignment horizontal="center" vertical="center" wrapText="1"/>
    </xf>
    <xf numFmtId="49" fontId="125" fillId="91" borderId="53">
      <alignment horizontal="center" vertical="center" wrapText="1"/>
    </xf>
    <xf numFmtId="49" fontId="125" fillId="91" borderId="53">
      <alignment horizontal="center" vertical="center" wrapText="1"/>
    </xf>
    <xf numFmtId="49" fontId="125" fillId="91" borderId="53" applyProtection="0">
      <alignment horizontal="center" vertical="center" wrapText="1"/>
    </xf>
    <xf numFmtId="49" fontId="125" fillId="91" borderId="54">
      <alignment horizontal="center" vertical="center" wrapText="1"/>
    </xf>
    <xf numFmtId="49" fontId="125" fillId="91" borderId="54">
      <alignment horizontal="center" vertical="center" wrapText="1"/>
    </xf>
    <xf numFmtId="49" fontId="125" fillId="91" borderId="54" applyProtection="0">
      <alignment horizontal="center" vertical="center" wrapText="1"/>
    </xf>
    <xf numFmtId="49" fontId="125" fillId="110" borderId="52">
      <alignment horizontal="center" vertical="center" wrapText="1"/>
    </xf>
    <xf numFmtId="49" fontId="125" fillId="110" borderId="52">
      <alignment horizontal="center" vertical="center" wrapText="1"/>
    </xf>
    <xf numFmtId="49" fontId="125" fillId="110" borderId="52" applyProtection="0">
      <alignment horizontal="center" vertical="center" wrapText="1"/>
    </xf>
    <xf numFmtId="49" fontId="125" fillId="110" borderId="0">
      <alignment horizontal="center" vertical="center" wrapText="1"/>
    </xf>
    <xf numFmtId="49" fontId="125" fillId="110" borderId="0" applyBorder="0" applyProtection="0">
      <alignment horizontal="center" vertical="center" wrapText="1"/>
    </xf>
    <xf numFmtId="0" fontId="126" fillId="106" borderId="39">
      <alignment horizontal="left" vertical="center"/>
    </xf>
    <xf numFmtId="0" fontId="126" fillId="106" borderId="39">
      <alignment horizontal="left" vertical="center"/>
    </xf>
    <xf numFmtId="0" fontId="126" fillId="106" borderId="39">
      <alignment horizontal="left" vertical="center"/>
    </xf>
    <xf numFmtId="0" fontId="127" fillId="106" borderId="45" applyNumberFormat="0" applyProtection="0">
      <alignment horizontal="left" vertical="center"/>
    </xf>
    <xf numFmtId="0" fontId="126" fillId="106" borderId="39">
      <alignment horizontal="left" vertical="center"/>
    </xf>
    <xf numFmtId="0" fontId="126" fillId="106" borderId="39">
      <alignment horizontal="left" vertical="center"/>
    </xf>
    <xf numFmtId="0" fontId="127" fillId="106" borderId="45" applyNumberFormat="0" applyProtection="0">
      <alignment horizontal="left" vertical="center"/>
    </xf>
    <xf numFmtId="0" fontId="126" fillId="106" borderId="39">
      <alignment horizontal="left" vertical="center"/>
    </xf>
    <xf numFmtId="0" fontId="126" fillId="106" borderId="39">
      <alignment horizontal="left" vertical="center"/>
    </xf>
    <xf numFmtId="0" fontId="127" fillId="106" borderId="45" applyNumberFormat="0" applyProtection="0">
      <alignment horizontal="left" vertical="center"/>
    </xf>
    <xf numFmtId="0" fontId="126" fillId="106" borderId="39">
      <alignment horizontal="left" vertical="center"/>
    </xf>
    <xf numFmtId="0" fontId="126" fillId="106" borderId="39">
      <alignment horizontal="left" vertical="center"/>
    </xf>
    <xf numFmtId="0" fontId="127" fillId="106" borderId="45" applyNumberFormat="0" applyProtection="0">
      <alignment horizontal="left" vertical="center"/>
    </xf>
    <xf numFmtId="0" fontId="126" fillId="106" borderId="39">
      <alignment horizontal="left" vertical="center"/>
    </xf>
    <xf numFmtId="0" fontId="127" fillId="106" borderId="45" applyNumberFormat="0" applyProtection="0">
      <alignment horizontal="left" vertical="center"/>
    </xf>
    <xf numFmtId="0" fontId="128" fillId="114" borderId="55">
      <alignment horizontal="center" vertical="center"/>
    </xf>
    <xf numFmtId="0" fontId="128" fillId="114" borderId="55">
      <alignment horizontal="center" vertical="center"/>
    </xf>
    <xf numFmtId="0" fontId="128" fillId="114" borderId="55">
      <alignment horizontal="center" vertical="center"/>
    </xf>
    <xf numFmtId="0" fontId="128" fillId="114" borderId="55">
      <alignment horizontal="center" vertical="center"/>
    </xf>
    <xf numFmtId="0" fontId="128" fillId="114" borderId="55" applyNumberFormat="0" applyProtection="0">
      <alignment horizontal="center" vertical="center"/>
    </xf>
    <xf numFmtId="0" fontId="128" fillId="114" borderId="55">
      <alignment horizontal="center" vertical="center"/>
    </xf>
    <xf numFmtId="0" fontId="128" fillId="114" borderId="55" applyNumberFormat="0" applyProtection="0">
      <alignment horizontal="center" vertical="center"/>
    </xf>
    <xf numFmtId="0" fontId="128" fillId="114" borderId="55">
      <alignment horizontal="center" vertical="center"/>
    </xf>
    <xf numFmtId="0" fontId="128" fillId="114" borderId="55">
      <alignment horizontal="center" vertical="center"/>
    </xf>
    <xf numFmtId="0" fontId="128" fillId="114" borderId="55" applyNumberFormat="0" applyProtection="0">
      <alignment horizontal="center" vertical="center"/>
    </xf>
    <xf numFmtId="0" fontId="128" fillId="114" borderId="55">
      <alignment horizontal="center" vertical="center"/>
    </xf>
    <xf numFmtId="0" fontId="128" fillId="114" borderId="55">
      <alignment horizontal="center" vertical="center"/>
    </xf>
    <xf numFmtId="0" fontId="128" fillId="114" borderId="55" applyNumberFormat="0" applyProtection="0">
      <alignment horizontal="center" vertical="center"/>
    </xf>
    <xf numFmtId="0" fontId="128" fillId="114" borderId="55">
      <alignment horizontal="center" vertical="center"/>
    </xf>
    <xf numFmtId="0" fontId="128" fillId="114" borderId="55" applyNumberFormat="0" applyProtection="0">
      <alignment horizontal="center" vertical="center"/>
    </xf>
    <xf numFmtId="0" fontId="129" fillId="97" borderId="56">
      <alignment horizontal="left" vertical="top" wrapText="1"/>
    </xf>
    <xf numFmtId="0" fontId="129" fillId="97" borderId="56">
      <alignment horizontal="left" vertical="top" wrapText="1"/>
    </xf>
    <xf numFmtId="0" fontId="129" fillId="97" borderId="56">
      <alignment horizontal="left" vertical="top" wrapText="1"/>
    </xf>
    <xf numFmtId="0" fontId="129" fillId="97" borderId="57" applyNumberFormat="0" applyProtection="0">
      <alignment horizontal="left" vertical="top" wrapText="1"/>
    </xf>
    <xf numFmtId="0" fontId="129" fillId="97" borderId="56">
      <alignment horizontal="left" vertical="top" wrapText="1"/>
    </xf>
    <xf numFmtId="0" fontId="129" fillId="97" borderId="56">
      <alignment horizontal="left" vertical="top" wrapText="1"/>
    </xf>
    <xf numFmtId="0" fontId="129" fillId="97" borderId="57" applyNumberFormat="0" applyProtection="0">
      <alignment horizontal="left" vertical="top" wrapText="1"/>
    </xf>
    <xf numFmtId="0" fontId="129" fillId="97" borderId="56">
      <alignment horizontal="left" vertical="top" wrapText="1"/>
    </xf>
    <xf numFmtId="0" fontId="129" fillId="97" borderId="57" applyNumberFormat="0" applyProtection="0">
      <alignment horizontal="left" vertical="top" wrapText="1"/>
    </xf>
    <xf numFmtId="49" fontId="125" fillId="115" borderId="39">
      <alignment vertical="center" wrapText="1"/>
    </xf>
    <xf numFmtId="49" fontId="125" fillId="115" borderId="58">
      <alignment vertical="center" wrapText="1"/>
    </xf>
    <xf numFmtId="49" fontId="125" fillId="115" borderId="58">
      <alignment vertical="center" wrapText="1"/>
    </xf>
    <xf numFmtId="49" fontId="125" fillId="115" borderId="59" applyProtection="0">
      <alignment vertical="center" wrapText="1"/>
    </xf>
    <xf numFmtId="49" fontId="125" fillId="115" borderId="58">
      <alignment vertical="center" wrapText="1"/>
    </xf>
    <xf numFmtId="49" fontId="125" fillId="115" borderId="58">
      <alignment vertical="center" wrapText="1"/>
    </xf>
    <xf numFmtId="49" fontId="125" fillId="115" borderId="59" applyProtection="0">
      <alignment vertical="center" wrapText="1"/>
    </xf>
    <xf numFmtId="49" fontId="125" fillId="115" borderId="58">
      <alignment vertical="center" wrapText="1"/>
    </xf>
    <xf numFmtId="49" fontId="125" fillId="115" borderId="58">
      <alignment vertical="center" wrapText="1"/>
    </xf>
    <xf numFmtId="49" fontId="125" fillId="115" borderId="59" applyProtection="0">
      <alignment vertical="center" wrapText="1"/>
    </xf>
    <xf numFmtId="49" fontId="125" fillId="109" borderId="58">
      <alignment vertical="center" wrapText="1"/>
    </xf>
    <xf numFmtId="49" fontId="125" fillId="109" borderId="58">
      <alignment vertical="center" wrapText="1"/>
    </xf>
    <xf numFmtId="49" fontId="125" fillId="109" borderId="59" applyProtection="0">
      <alignment vertical="center" wrapText="1"/>
    </xf>
    <xf numFmtId="49" fontId="125" fillId="115" borderId="39">
      <alignment vertical="center" wrapText="1"/>
    </xf>
    <xf numFmtId="49" fontId="125" fillId="115" borderId="45" applyProtection="0">
      <alignment vertical="center" wrapText="1"/>
    </xf>
    <xf numFmtId="49" fontId="125" fillId="116" borderId="39">
      <alignment wrapText="1"/>
    </xf>
    <xf numFmtId="49" fontId="125" fillId="116" borderId="58">
      <alignment wrapText="1"/>
    </xf>
    <xf numFmtId="49" fontId="125" fillId="116" borderId="58">
      <alignment wrapText="1"/>
    </xf>
    <xf numFmtId="49" fontId="125" fillId="116" borderId="59" applyProtection="0">
      <alignment wrapText="1"/>
    </xf>
    <xf numFmtId="49" fontId="125" fillId="116" borderId="58">
      <alignment wrapText="1"/>
    </xf>
    <xf numFmtId="49" fontId="125" fillId="116" borderId="58">
      <alignment wrapText="1"/>
    </xf>
    <xf numFmtId="49" fontId="125" fillId="116" borderId="59" applyProtection="0">
      <alignment wrapText="1"/>
    </xf>
    <xf numFmtId="49" fontId="125" fillId="116" borderId="39">
      <alignment wrapText="1"/>
    </xf>
    <xf numFmtId="49" fontId="125" fillId="116" borderId="45" applyProtection="0">
      <alignment wrapText="1"/>
    </xf>
    <xf numFmtId="49" fontId="125" fillId="117" borderId="39">
      <alignment wrapText="1"/>
    </xf>
    <xf numFmtId="49" fontId="125" fillId="117" borderId="39">
      <alignment wrapText="1"/>
    </xf>
    <xf numFmtId="49" fontId="125" fillId="118" borderId="39">
      <alignment wrapText="1"/>
    </xf>
    <xf numFmtId="49" fontId="125" fillId="118" borderId="39">
      <alignment wrapText="1"/>
    </xf>
    <xf numFmtId="49" fontId="125" fillId="118" borderId="45" applyProtection="0">
      <alignment wrapText="1"/>
    </xf>
    <xf numFmtId="49" fontId="125" fillId="117" borderId="39">
      <alignment wrapText="1"/>
    </xf>
    <xf numFmtId="49" fontId="125" fillId="117" borderId="45" applyProtection="0">
      <alignment wrapText="1"/>
    </xf>
    <xf numFmtId="49" fontId="125" fillId="113" borderId="39">
      <alignment wrapText="1"/>
    </xf>
    <xf numFmtId="49" fontId="125" fillId="113" borderId="39">
      <alignment wrapText="1"/>
    </xf>
    <xf numFmtId="49" fontId="125" fillId="113" borderId="45" applyProtection="0">
      <alignment wrapText="1"/>
    </xf>
    <xf numFmtId="49" fontId="125" fillId="117" borderId="39">
      <alignment wrapText="1"/>
    </xf>
    <xf numFmtId="49" fontId="125" fillId="117" borderId="45" applyProtection="0">
      <alignment wrapText="1"/>
    </xf>
    <xf numFmtId="49" fontId="125" fillId="118" borderId="39">
      <alignment vertical="center" wrapText="1"/>
    </xf>
    <xf numFmtId="49" fontId="125" fillId="119" borderId="58">
      <alignment vertical="center" wrapText="1"/>
    </xf>
    <xf numFmtId="49" fontId="125" fillId="113" borderId="58">
      <alignment vertical="center" wrapText="1"/>
    </xf>
    <xf numFmtId="49" fontId="125" fillId="113" borderId="58">
      <alignment vertical="center" wrapText="1"/>
    </xf>
    <xf numFmtId="49" fontId="125" fillId="113" borderId="59" applyProtection="0">
      <alignment vertical="center" wrapText="1"/>
    </xf>
    <xf numFmtId="49" fontId="125" fillId="119" borderId="58">
      <alignment vertical="center" wrapText="1"/>
    </xf>
    <xf numFmtId="49" fontId="125" fillId="119" borderId="59" applyProtection="0">
      <alignment vertical="center" wrapText="1"/>
    </xf>
    <xf numFmtId="49" fontId="125" fillId="113" borderId="58">
      <alignment vertical="center" wrapText="1"/>
    </xf>
    <xf numFmtId="49" fontId="125" fillId="113" borderId="58">
      <alignment vertical="center" wrapText="1"/>
    </xf>
    <xf numFmtId="49" fontId="125" fillId="113" borderId="59" applyProtection="0">
      <alignment vertical="center" wrapText="1"/>
    </xf>
    <xf numFmtId="49" fontId="125" fillId="120" borderId="58">
      <alignment vertical="center" wrapText="1"/>
    </xf>
    <xf numFmtId="49" fontId="125" fillId="120" borderId="58">
      <alignment vertical="center" wrapText="1"/>
    </xf>
    <xf numFmtId="49" fontId="125" fillId="120" borderId="59" applyProtection="0">
      <alignment vertical="center" wrapText="1"/>
    </xf>
    <xf numFmtId="49" fontId="125" fillId="102" borderId="58">
      <alignment vertical="center" wrapText="1"/>
    </xf>
    <xf numFmtId="49" fontId="125" fillId="102" borderId="58">
      <alignment vertical="center" wrapText="1"/>
    </xf>
    <xf numFmtId="49" fontId="125" fillId="102" borderId="59" applyProtection="0">
      <alignment vertical="center" wrapText="1"/>
    </xf>
    <xf numFmtId="49" fontId="125" fillId="118" borderId="39">
      <alignment vertical="center" wrapText="1"/>
    </xf>
    <xf numFmtId="49" fontId="125" fillId="118" borderId="45" applyProtection="0">
      <alignment vertical="center" wrapText="1"/>
    </xf>
    <xf numFmtId="49" fontId="125" fillId="117" borderId="39">
      <alignment wrapText="1"/>
    </xf>
    <xf numFmtId="49" fontId="125" fillId="86" borderId="58">
      <alignment wrapText="1"/>
    </xf>
    <xf numFmtId="49" fontId="125" fillId="86" borderId="58">
      <alignment wrapText="1"/>
    </xf>
    <xf numFmtId="49" fontId="125" fillId="86" borderId="59" applyProtection="0">
      <alignment wrapText="1"/>
    </xf>
    <xf numFmtId="49" fontId="125" fillId="119" borderId="58">
      <alignment wrapText="1"/>
    </xf>
    <xf numFmtId="49" fontId="125" fillId="119" borderId="58">
      <alignment wrapText="1"/>
    </xf>
    <xf numFmtId="49" fontId="125" fillId="119" borderId="59" applyProtection="0">
      <alignment wrapText="1"/>
    </xf>
    <xf numFmtId="49" fontId="125" fillId="86" borderId="58">
      <alignment wrapText="1"/>
    </xf>
    <xf numFmtId="49" fontId="125" fillId="86" borderId="58">
      <alignment wrapText="1"/>
    </xf>
    <xf numFmtId="49" fontId="125" fillId="86" borderId="59" applyProtection="0">
      <alignment wrapText="1"/>
    </xf>
    <xf numFmtId="49" fontId="125" fillId="92" borderId="58">
      <alignment wrapText="1"/>
    </xf>
    <xf numFmtId="49" fontId="125" fillId="92" borderId="58">
      <alignment wrapText="1"/>
    </xf>
    <xf numFmtId="49" fontId="125" fillId="92" borderId="59" applyProtection="0">
      <alignment wrapText="1"/>
    </xf>
    <xf numFmtId="49" fontId="125" fillId="117" borderId="39">
      <alignment wrapText="1"/>
    </xf>
    <xf numFmtId="49" fontId="125" fillId="117" borderId="45" applyProtection="0">
      <alignment wrapText="1"/>
    </xf>
    <xf numFmtId="49" fontId="125" fillId="121" borderId="39">
      <alignment vertical="center" wrapText="1"/>
    </xf>
    <xf numFmtId="49" fontId="125" fillId="122" borderId="58">
      <alignment vertical="center" wrapText="1"/>
    </xf>
    <xf numFmtId="49" fontId="125" fillId="122" borderId="58">
      <alignment vertical="center" wrapText="1"/>
    </xf>
    <xf numFmtId="49" fontId="125" fillId="122" borderId="59" applyProtection="0">
      <alignment vertical="center" wrapText="1"/>
    </xf>
    <xf numFmtId="49" fontId="125" fillId="107" borderId="58">
      <alignment vertical="center" wrapText="1"/>
    </xf>
    <xf numFmtId="49" fontId="125" fillId="107" borderId="58">
      <alignment vertical="center" wrapText="1"/>
    </xf>
    <xf numFmtId="49" fontId="125" fillId="107" borderId="59" applyProtection="0">
      <alignment vertical="center" wrapText="1"/>
    </xf>
    <xf numFmtId="49" fontId="125" fillId="115" borderId="58">
      <alignment vertical="center" wrapText="1"/>
    </xf>
    <xf numFmtId="49" fontId="125" fillId="115" borderId="58">
      <alignment vertical="center" wrapText="1"/>
    </xf>
    <xf numFmtId="49" fontId="125" fillId="115" borderId="59" applyProtection="0">
      <alignment vertical="center" wrapText="1"/>
    </xf>
    <xf numFmtId="49" fontId="125" fillId="121" borderId="39">
      <alignment vertical="center" wrapText="1"/>
    </xf>
    <xf numFmtId="49" fontId="125" fillId="121" borderId="45" applyProtection="0">
      <alignment vertical="center" wrapText="1"/>
    </xf>
    <xf numFmtId="49" fontId="125" fillId="115" borderId="39">
      <alignment vertical="center" wrapText="1"/>
    </xf>
    <xf numFmtId="49" fontId="125" fillId="120" borderId="58">
      <alignment vertical="center" wrapText="1"/>
    </xf>
    <xf numFmtId="49" fontId="125" fillId="99" borderId="58">
      <alignment vertical="center" wrapText="1"/>
    </xf>
    <xf numFmtId="49" fontId="125" fillId="99" borderId="58">
      <alignment vertical="center" wrapText="1"/>
    </xf>
    <xf numFmtId="49" fontId="125" fillId="99" borderId="59" applyProtection="0">
      <alignment vertical="center" wrapText="1"/>
    </xf>
    <xf numFmtId="49" fontId="125" fillId="120" borderId="58">
      <alignment vertical="center" wrapText="1"/>
    </xf>
    <xf numFmtId="49" fontId="125" fillId="120" borderId="59" applyProtection="0">
      <alignment vertical="center" wrapText="1"/>
    </xf>
    <xf numFmtId="49" fontId="125" fillId="98" borderId="58">
      <alignment vertical="center" wrapText="1"/>
    </xf>
    <xf numFmtId="49" fontId="125" fillId="98" borderId="58">
      <alignment vertical="center" wrapText="1"/>
    </xf>
    <xf numFmtId="49" fontId="125" fillId="98" borderId="59" applyProtection="0">
      <alignment vertical="center" wrapText="1"/>
    </xf>
    <xf numFmtId="49" fontId="125" fillId="123" borderId="58">
      <alignment vertical="center" wrapText="1"/>
    </xf>
    <xf numFmtId="49" fontId="125" fillId="123" borderId="58">
      <alignment vertical="center" wrapText="1"/>
    </xf>
    <xf numFmtId="49" fontId="125" fillId="123" borderId="59" applyProtection="0">
      <alignment vertical="center" wrapText="1"/>
    </xf>
    <xf numFmtId="49" fontId="125" fillId="99" borderId="58">
      <alignment vertical="center" wrapText="1"/>
    </xf>
    <xf numFmtId="49" fontId="125" fillId="99" borderId="58">
      <alignment vertical="center" wrapText="1"/>
    </xf>
    <xf numFmtId="49" fontId="125" fillId="99" borderId="59" applyProtection="0">
      <alignment vertical="center" wrapText="1"/>
    </xf>
    <xf numFmtId="49" fontId="125" fillId="115" borderId="39">
      <alignment vertical="center" wrapText="1"/>
    </xf>
    <xf numFmtId="49" fontId="125" fillId="115" borderId="45" applyProtection="0">
      <alignment vertical="center" wrapText="1"/>
    </xf>
    <xf numFmtId="49" fontId="125" fillId="93" borderId="0">
      <alignment vertical="center" wrapText="1"/>
    </xf>
    <xf numFmtId="49" fontId="125" fillId="119" borderId="60">
      <alignment vertical="center" wrapText="1"/>
    </xf>
    <xf numFmtId="49" fontId="125" fillId="93" borderId="60">
      <alignment vertical="center" wrapText="1"/>
    </xf>
    <xf numFmtId="49" fontId="125" fillId="93" borderId="60">
      <alignment vertical="center" wrapText="1"/>
    </xf>
    <xf numFmtId="49" fontId="125" fillId="93" borderId="60" applyProtection="0">
      <alignment vertical="center" wrapText="1"/>
    </xf>
    <xf numFmtId="49" fontId="125" fillId="119" borderId="60">
      <alignment vertical="center" wrapText="1"/>
    </xf>
    <xf numFmtId="49" fontId="125" fillId="119" borderId="60" applyProtection="0">
      <alignment vertical="center" wrapText="1"/>
    </xf>
    <xf numFmtId="49" fontId="125" fillId="93" borderId="60">
      <alignment vertical="center" wrapText="1"/>
    </xf>
    <xf numFmtId="49" fontId="125" fillId="93" borderId="60">
      <alignment vertical="center" wrapText="1"/>
    </xf>
    <xf numFmtId="49" fontId="125" fillId="93" borderId="60" applyProtection="0">
      <alignment vertical="center" wrapText="1"/>
    </xf>
    <xf numFmtId="49" fontId="125" fillId="93" borderId="60">
      <alignment vertical="center" wrapText="1"/>
    </xf>
    <xf numFmtId="49" fontId="125" fillId="93" borderId="60">
      <alignment vertical="center" wrapText="1"/>
    </xf>
    <xf numFmtId="49" fontId="125" fillId="93" borderId="60" applyProtection="0">
      <alignment vertical="center" wrapText="1"/>
    </xf>
    <xf numFmtId="49" fontId="125" fillId="93" borderId="60">
      <alignment vertical="center" wrapText="1"/>
    </xf>
    <xf numFmtId="49" fontId="125" fillId="93" borderId="60">
      <alignment vertical="center" wrapText="1"/>
    </xf>
    <xf numFmtId="49" fontId="125" fillId="93" borderId="60" applyProtection="0">
      <alignment vertical="center" wrapText="1"/>
    </xf>
    <xf numFmtId="49" fontId="125" fillId="93" borderId="0">
      <alignment vertical="center" wrapText="1"/>
    </xf>
    <xf numFmtId="49" fontId="125" fillId="93" borderId="0" applyBorder="0" applyProtection="0">
      <alignment vertical="center" wrapText="1"/>
    </xf>
    <xf numFmtId="49" fontId="130" fillId="89" borderId="0">
      <alignment vertical="center" wrapText="1"/>
    </xf>
    <xf numFmtId="49" fontId="131" fillId="89" borderId="0">
      <alignment vertical="center" wrapText="1" shrinkToFit="1"/>
    </xf>
    <xf numFmtId="49" fontId="132" fillId="89" borderId="0">
      <alignment vertical="center" wrapText="1" shrinkToFit="1"/>
    </xf>
    <xf numFmtId="49" fontId="132" fillId="89" borderId="0">
      <alignment vertical="center" wrapText="1" shrinkToFit="1"/>
    </xf>
    <xf numFmtId="49" fontId="132" fillId="89" borderId="0" applyBorder="0" applyProtection="0">
      <alignment vertical="center" wrapText="1" shrinkToFit="1"/>
    </xf>
    <xf numFmtId="49" fontId="131" fillId="89" borderId="0">
      <alignment vertical="center" wrapText="1" shrinkToFit="1"/>
    </xf>
    <xf numFmtId="49" fontId="131" fillId="89" borderId="0" applyBorder="0" applyProtection="0">
      <alignment vertical="center" wrapText="1" shrinkToFit="1"/>
    </xf>
    <xf numFmtId="49" fontId="130" fillId="89" borderId="0">
      <alignment vertical="center" wrapText="1" shrinkToFit="1"/>
    </xf>
    <xf numFmtId="49" fontId="130" fillId="89" borderId="0">
      <alignment vertical="center" wrapText="1" shrinkToFit="1"/>
    </xf>
    <xf numFmtId="49" fontId="130" fillId="89" borderId="0" applyBorder="0" applyProtection="0">
      <alignment vertical="center" wrapText="1" shrinkToFit="1"/>
    </xf>
    <xf numFmtId="49" fontId="133" fillId="89" borderId="0">
      <alignment vertical="center" wrapText="1" shrinkToFit="1"/>
    </xf>
    <xf numFmtId="49" fontId="133" fillId="89" borderId="0">
      <alignment vertical="center" wrapText="1" shrinkToFit="1"/>
    </xf>
    <xf numFmtId="49" fontId="133" fillId="89" borderId="0" applyBorder="0" applyProtection="0">
      <alignment vertical="center" wrapText="1" shrinkToFit="1"/>
    </xf>
    <xf numFmtId="49" fontId="132" fillId="89" borderId="0">
      <alignment vertical="center" wrapText="1" shrinkToFit="1"/>
    </xf>
    <xf numFmtId="49" fontId="132" fillId="89" borderId="0">
      <alignment vertical="center" wrapText="1" shrinkToFit="1"/>
    </xf>
    <xf numFmtId="49" fontId="132" fillId="89" borderId="0" applyBorder="0" applyProtection="0">
      <alignment vertical="center" wrapText="1" shrinkToFit="1"/>
    </xf>
    <xf numFmtId="49" fontId="130" fillId="89" borderId="0">
      <alignment vertical="center" wrapText="1"/>
    </xf>
    <xf numFmtId="49" fontId="130" fillId="89" borderId="0" applyBorder="0" applyProtection="0">
      <alignment vertical="center" wrapText="1"/>
    </xf>
    <xf numFmtId="49" fontId="134" fillId="89" borderId="0">
      <alignment vertical="center" wrapText="1"/>
    </xf>
    <xf numFmtId="49" fontId="134" fillId="89" borderId="0">
      <alignment vertical="center" wrapText="1"/>
    </xf>
    <xf numFmtId="49" fontId="134" fillId="89" borderId="0">
      <alignment vertical="center" wrapText="1"/>
    </xf>
    <xf numFmtId="49" fontId="134" fillId="89" borderId="0">
      <alignment vertical="center" wrapText="1"/>
    </xf>
    <xf numFmtId="49" fontId="134" fillId="89" borderId="0" applyBorder="0" applyProtection="0">
      <alignment vertical="center" wrapText="1"/>
    </xf>
    <xf numFmtId="49" fontId="134" fillId="89" borderId="0">
      <alignment vertical="center" wrapText="1"/>
    </xf>
    <xf numFmtId="49" fontId="134" fillId="89" borderId="0" applyBorder="0" applyProtection="0">
      <alignment vertical="center" wrapText="1"/>
    </xf>
    <xf numFmtId="49" fontId="134" fillId="89" borderId="0">
      <alignment vertical="center" wrapText="1"/>
    </xf>
    <xf numFmtId="49" fontId="134" fillId="89" borderId="0">
      <alignment vertical="center" wrapText="1"/>
    </xf>
    <xf numFmtId="49" fontId="134" fillId="89" borderId="0" applyBorder="0" applyProtection="0">
      <alignment vertical="center" wrapText="1"/>
    </xf>
    <xf numFmtId="49" fontId="134" fillId="89" borderId="0">
      <alignment vertical="center" wrapText="1"/>
    </xf>
    <xf numFmtId="49" fontId="134" fillId="89" borderId="0" applyBorder="0" applyProtection="0">
      <alignment vertical="center" wrapText="1"/>
    </xf>
    <xf numFmtId="49" fontId="125" fillId="85" borderId="0">
      <alignment vertical="center" wrapText="1"/>
    </xf>
    <xf numFmtId="49" fontId="125" fillId="85" borderId="0">
      <alignment vertical="center" wrapText="1"/>
    </xf>
    <xf numFmtId="49" fontId="125" fillId="111" borderId="0">
      <alignment vertical="center" wrapText="1"/>
    </xf>
    <xf numFmtId="49" fontId="125" fillId="111" borderId="0">
      <alignment vertical="center" wrapText="1"/>
    </xf>
    <xf numFmtId="49" fontId="125" fillId="111" borderId="0" applyBorder="0" applyProtection="0">
      <alignment vertical="center" wrapText="1"/>
    </xf>
    <xf numFmtId="49" fontId="125" fillId="85" borderId="0">
      <alignment vertical="center" wrapText="1"/>
    </xf>
    <xf numFmtId="49" fontId="125" fillId="85" borderId="0" applyBorder="0" applyProtection="0">
      <alignment vertical="center" wrapText="1"/>
    </xf>
    <xf numFmtId="49" fontId="125" fillId="85" borderId="0">
      <alignment vertical="center" wrapText="1"/>
    </xf>
    <xf numFmtId="49" fontId="125" fillId="85" borderId="0">
      <alignment vertical="center" wrapText="1"/>
    </xf>
    <xf numFmtId="49" fontId="125" fillId="85" borderId="0" applyBorder="0" applyProtection="0">
      <alignment vertical="center" wrapText="1"/>
    </xf>
    <xf numFmtId="49" fontId="125" fillId="85" borderId="0">
      <alignment vertical="center" wrapText="1"/>
    </xf>
    <xf numFmtId="49" fontId="125" fillId="85" borderId="0">
      <alignment vertical="center" wrapText="1"/>
    </xf>
    <xf numFmtId="49" fontId="125" fillId="85" borderId="0" applyBorder="0" applyProtection="0">
      <alignment vertical="center" wrapText="1"/>
    </xf>
    <xf numFmtId="49" fontId="125" fillId="110" borderId="0">
      <alignment vertical="center" wrapText="1"/>
    </xf>
    <xf numFmtId="49" fontId="125" fillId="110" borderId="0">
      <alignment vertical="center" wrapText="1"/>
    </xf>
    <xf numFmtId="49" fontId="125" fillId="110" borderId="0" applyBorder="0" applyProtection="0">
      <alignment vertical="center" wrapText="1"/>
    </xf>
    <xf numFmtId="49" fontId="125" fillId="85" borderId="0">
      <alignment vertical="center" wrapText="1"/>
    </xf>
    <xf numFmtId="49" fontId="125" fillId="85" borderId="0" applyBorder="0" applyProtection="0">
      <alignment vertical="center" wrapText="1"/>
    </xf>
    <xf numFmtId="49" fontId="134" fillId="124" borderId="0">
      <alignment vertical="center" wrapText="1"/>
    </xf>
    <xf numFmtId="49" fontId="134" fillId="124" borderId="0">
      <alignment vertical="center" wrapText="1" shrinkToFit="1"/>
    </xf>
    <xf numFmtId="49" fontId="134" fillId="124" borderId="0">
      <alignment vertical="center" wrapText="1" shrinkToFit="1"/>
    </xf>
    <xf numFmtId="49" fontId="134" fillId="124" borderId="0" applyBorder="0" applyProtection="0">
      <alignment vertical="center" wrapText="1" shrinkToFit="1"/>
    </xf>
    <xf numFmtId="49" fontId="134" fillId="125" borderId="0">
      <alignment vertical="center" wrapText="1" shrinkToFit="1"/>
    </xf>
    <xf numFmtId="49" fontId="134" fillId="125" borderId="0">
      <alignment vertical="center" wrapText="1" shrinkToFit="1"/>
    </xf>
    <xf numFmtId="49" fontId="134" fillId="125" borderId="0" applyBorder="0" applyProtection="0">
      <alignment vertical="center" wrapText="1" shrinkToFit="1"/>
    </xf>
    <xf numFmtId="49" fontId="134" fillId="124" borderId="0">
      <alignment vertical="center" wrapText="1" shrinkToFit="1"/>
    </xf>
    <xf numFmtId="49" fontId="134" fillId="124" borderId="0">
      <alignment vertical="center" wrapText="1" shrinkToFit="1"/>
    </xf>
    <xf numFmtId="49" fontId="134" fillId="124" borderId="0" applyBorder="0" applyProtection="0">
      <alignment vertical="center" wrapText="1" shrinkToFit="1"/>
    </xf>
    <xf numFmtId="49" fontId="134" fillId="124" borderId="0">
      <alignment vertical="center" wrapText="1"/>
    </xf>
    <xf numFmtId="49" fontId="134" fillId="124" borderId="0" applyBorder="0" applyProtection="0">
      <alignment vertical="center" wrapText="1"/>
    </xf>
    <xf numFmtId="49" fontId="125" fillId="125" borderId="0">
      <alignment vertical="center" wrapText="1"/>
    </xf>
    <xf numFmtId="49" fontId="125" fillId="104" borderId="0">
      <alignment vertical="center" wrapText="1"/>
    </xf>
    <xf numFmtId="49" fontId="125" fillId="104" borderId="0">
      <alignment vertical="center" wrapText="1"/>
    </xf>
    <xf numFmtId="49" fontId="125" fillId="104" borderId="0" applyBorder="0" applyProtection="0">
      <alignment vertical="center" wrapText="1"/>
    </xf>
    <xf numFmtId="49" fontId="125" fillId="102" borderId="0">
      <alignment vertical="center" wrapText="1"/>
    </xf>
    <xf numFmtId="49" fontId="125" fillId="102" borderId="0">
      <alignment vertical="center" wrapText="1"/>
    </xf>
    <xf numFmtId="49" fontId="125" fillId="102" borderId="0" applyBorder="0" applyProtection="0">
      <alignment vertical="center" wrapText="1"/>
    </xf>
    <xf numFmtId="49" fontId="125" fillId="104" borderId="0">
      <alignment vertical="center" wrapText="1"/>
    </xf>
    <xf numFmtId="49" fontId="125" fillId="104" borderId="0">
      <alignment vertical="center" wrapText="1"/>
    </xf>
    <xf numFmtId="49" fontId="125" fillId="104" borderId="0" applyBorder="0" applyProtection="0">
      <alignment vertical="center" wrapText="1"/>
    </xf>
    <xf numFmtId="49" fontId="125" fillId="82" borderId="0">
      <alignment vertical="center" wrapText="1"/>
    </xf>
    <xf numFmtId="49" fontId="125" fillId="82" borderId="0">
      <alignment vertical="center" wrapText="1"/>
    </xf>
    <xf numFmtId="49" fontId="125" fillId="82" borderId="0" applyBorder="0" applyProtection="0">
      <alignment vertical="center" wrapText="1"/>
    </xf>
    <xf numFmtId="49" fontId="125" fillId="125" borderId="0">
      <alignment vertical="center" wrapText="1"/>
    </xf>
    <xf numFmtId="49" fontId="125" fillId="125" borderId="0" applyBorder="0" applyProtection="0">
      <alignment vertical="center" wrapText="1"/>
    </xf>
    <xf numFmtId="49" fontId="135" fillId="102" borderId="41">
      <alignment vertical="center" wrapText="1"/>
    </xf>
    <xf numFmtId="49" fontId="135" fillId="120" borderId="41">
      <alignment vertical="center" wrapText="1"/>
    </xf>
    <xf numFmtId="49" fontId="136" fillId="120" borderId="41">
      <alignment vertical="center" wrapText="1"/>
    </xf>
    <xf numFmtId="49" fontId="136" fillId="120" borderId="61" applyProtection="0">
      <alignment vertical="center" wrapText="1"/>
    </xf>
    <xf numFmtId="49" fontId="135" fillId="120" borderId="41">
      <alignment vertical="center" wrapText="1"/>
    </xf>
    <xf numFmtId="49" fontId="136" fillId="120" borderId="41">
      <alignment vertical="center" wrapText="1"/>
    </xf>
    <xf numFmtId="49" fontId="136" fillId="120" borderId="61" applyProtection="0">
      <alignment vertical="center" wrapText="1"/>
    </xf>
    <xf numFmtId="49" fontId="135" fillId="94" borderId="41">
      <alignment vertical="center" wrapText="1"/>
    </xf>
    <xf numFmtId="49" fontId="136" fillId="94" borderId="41">
      <alignment vertical="center" wrapText="1"/>
    </xf>
    <xf numFmtId="49" fontId="136" fillId="94" borderId="61" applyProtection="0">
      <alignment vertical="center" wrapText="1"/>
    </xf>
    <xf numFmtId="49" fontId="135" fillId="100" borderId="41">
      <alignment vertical="center" wrapText="1"/>
    </xf>
    <xf numFmtId="49" fontId="136" fillId="100" borderId="41">
      <alignment vertical="center" wrapText="1"/>
    </xf>
    <xf numFmtId="49" fontId="136" fillId="100" borderId="61" applyProtection="0">
      <alignment vertical="center" wrapText="1"/>
    </xf>
    <xf numFmtId="49" fontId="136" fillId="102" borderId="41">
      <alignment vertical="center" wrapText="1"/>
    </xf>
    <xf numFmtId="49" fontId="136" fillId="102" borderId="61" applyProtection="0">
      <alignment vertical="center" wrapText="1"/>
    </xf>
    <xf numFmtId="0" fontId="137" fillId="86" borderId="42">
      <alignment horizontal="left" vertical="center" wrapText="1"/>
    </xf>
    <xf numFmtId="0" fontId="137" fillId="102" borderId="42">
      <alignment horizontal="left" vertical="center" wrapText="1"/>
    </xf>
    <xf numFmtId="0" fontId="137" fillId="126" borderId="42">
      <alignment horizontal="left" vertical="center" wrapText="1"/>
    </xf>
    <xf numFmtId="0" fontId="138" fillId="126" borderId="42">
      <alignment horizontal="left" vertical="center" wrapText="1"/>
    </xf>
    <xf numFmtId="0" fontId="138" fillId="126" borderId="62" applyNumberFormat="0" applyProtection="0">
      <alignment horizontal="left" vertical="center" wrapText="1"/>
    </xf>
    <xf numFmtId="0" fontId="138" fillId="102" borderId="42">
      <alignment horizontal="left" vertical="center" wrapText="1"/>
    </xf>
    <xf numFmtId="0" fontId="138" fillId="102" borderId="62" applyNumberFormat="0" applyProtection="0">
      <alignment horizontal="left" vertical="center" wrapText="1"/>
    </xf>
    <xf numFmtId="0" fontId="137" fillId="102" borderId="42">
      <alignment horizontal="left" vertical="center" wrapText="1"/>
    </xf>
    <xf numFmtId="0" fontId="138" fillId="102" borderId="42">
      <alignment horizontal="left" vertical="center" wrapText="1"/>
    </xf>
    <xf numFmtId="0" fontId="138" fillId="102" borderId="62" applyNumberFormat="0" applyProtection="0">
      <alignment horizontal="left" vertical="center" wrapText="1"/>
    </xf>
    <xf numFmtId="0" fontId="137" fillId="126" borderId="42">
      <alignment horizontal="left" vertical="center" wrapText="1"/>
    </xf>
    <xf numFmtId="0" fontId="138" fillId="126" borderId="42">
      <alignment horizontal="left" vertical="center" wrapText="1"/>
    </xf>
    <xf numFmtId="0" fontId="138" fillId="126" borderId="62" applyNumberFormat="0" applyProtection="0">
      <alignment horizontal="left" vertical="center" wrapText="1"/>
    </xf>
    <xf numFmtId="0" fontId="138" fillId="86" borderId="42">
      <alignment horizontal="left" vertical="center" wrapText="1"/>
    </xf>
    <xf numFmtId="0" fontId="138" fillId="86" borderId="62" applyNumberFormat="0" applyProtection="0">
      <alignment horizontal="left" vertical="center" wrapText="1"/>
    </xf>
    <xf numFmtId="49" fontId="125" fillId="105" borderId="38">
      <alignment vertical="center" wrapText="1"/>
    </xf>
    <xf numFmtId="49" fontId="125" fillId="103" borderId="38">
      <alignment vertical="center" wrapText="1"/>
    </xf>
    <xf numFmtId="49" fontId="125" fillId="103" borderId="38">
      <alignment vertical="center" wrapText="1"/>
    </xf>
    <xf numFmtId="49" fontId="125" fillId="103" borderId="38" applyProtection="0">
      <alignment vertical="center" wrapText="1"/>
    </xf>
    <xf numFmtId="49" fontId="125" fillId="110" borderId="38">
      <alignment vertical="center" wrapText="1"/>
    </xf>
    <xf numFmtId="49" fontId="125" fillId="110" borderId="38">
      <alignment vertical="center" wrapText="1"/>
    </xf>
    <xf numFmtId="49" fontId="125" fillId="110" borderId="38" applyProtection="0">
      <alignment vertical="center" wrapText="1"/>
    </xf>
    <xf numFmtId="49" fontId="125" fillId="127" borderId="38">
      <alignment vertical="center" wrapText="1"/>
    </xf>
    <xf numFmtId="49" fontId="125" fillId="127" borderId="38">
      <alignment vertical="center" wrapText="1"/>
    </xf>
    <xf numFmtId="49" fontId="125" fillId="127" borderId="38" applyProtection="0">
      <alignment vertical="center" wrapText="1"/>
    </xf>
    <xf numFmtId="49" fontId="125" fillId="103" borderId="38">
      <alignment vertical="center" wrapText="1"/>
    </xf>
    <xf numFmtId="49" fontId="125" fillId="103" borderId="38">
      <alignment vertical="center" wrapText="1"/>
    </xf>
    <xf numFmtId="49" fontId="125" fillId="103" borderId="38" applyProtection="0">
      <alignment vertical="center" wrapText="1"/>
    </xf>
    <xf numFmtId="49" fontId="125" fillId="105" borderId="38">
      <alignment vertical="center" wrapText="1"/>
    </xf>
    <xf numFmtId="49" fontId="125" fillId="105" borderId="38" applyProtection="0">
      <alignment vertical="center" wrapText="1"/>
    </xf>
    <xf numFmtId="49" fontId="125" fillId="103" borderId="38">
      <alignment vertical="center" wrapText="1"/>
    </xf>
    <xf numFmtId="49" fontId="125" fillId="102" borderId="38">
      <alignment vertical="center" wrapText="1"/>
    </xf>
    <xf numFmtId="49" fontId="125" fillId="102" borderId="38">
      <alignment vertical="center" wrapText="1"/>
    </xf>
    <xf numFmtId="49" fontId="125" fillId="102" borderId="38" applyProtection="0">
      <alignment vertical="center" wrapText="1"/>
    </xf>
    <xf numFmtId="49" fontId="125" fillId="105" borderId="38">
      <alignment vertical="center" wrapText="1"/>
    </xf>
    <xf numFmtId="49" fontId="125" fillId="105" borderId="38">
      <alignment vertical="center" wrapText="1"/>
    </xf>
    <xf numFmtId="49" fontId="125" fillId="105" borderId="38" applyProtection="0">
      <alignment vertical="center" wrapText="1"/>
    </xf>
    <xf numFmtId="49" fontId="125" fillId="85" borderId="38">
      <alignment vertical="center" wrapText="1"/>
    </xf>
    <xf numFmtId="49" fontId="125" fillId="85" borderId="38">
      <alignment vertical="center" wrapText="1"/>
    </xf>
    <xf numFmtId="49" fontId="125" fillId="85" borderId="38" applyProtection="0">
      <alignment vertical="center" wrapText="1"/>
    </xf>
    <xf numFmtId="49" fontId="125" fillId="103" borderId="38">
      <alignment vertical="center" wrapText="1"/>
    </xf>
    <xf numFmtId="49" fontId="125" fillId="103" borderId="38" applyProtection="0">
      <alignment vertical="center" wrapText="1"/>
    </xf>
    <xf numFmtId="49" fontId="125" fillId="100" borderId="38">
      <alignment vertical="center" wrapText="1"/>
    </xf>
    <xf numFmtId="49" fontId="125" fillId="98" borderId="38">
      <alignment vertical="center" wrapText="1"/>
    </xf>
    <xf numFmtId="49" fontId="125" fillId="98" borderId="38">
      <alignment vertical="center" wrapText="1"/>
    </xf>
    <xf numFmtId="49" fontId="125" fillId="98" borderId="38" applyProtection="0">
      <alignment vertical="center" wrapText="1"/>
    </xf>
    <xf numFmtId="49" fontId="125" fillId="109" borderId="38">
      <alignment vertical="center" wrapText="1"/>
    </xf>
    <xf numFmtId="49" fontId="125" fillId="109" borderId="38">
      <alignment vertical="center" wrapText="1"/>
    </xf>
    <xf numFmtId="49" fontId="125" fillId="109" borderId="38" applyProtection="0">
      <alignment vertical="center" wrapText="1"/>
    </xf>
    <xf numFmtId="49" fontId="125" fillId="100" borderId="38">
      <alignment vertical="center" wrapText="1"/>
    </xf>
    <xf numFmtId="49" fontId="125" fillId="100" borderId="38" applyProtection="0">
      <alignment vertical="center" wrapText="1"/>
    </xf>
    <xf numFmtId="49" fontId="125" fillId="98" borderId="38">
      <alignment vertical="center" wrapText="1"/>
    </xf>
    <xf numFmtId="49" fontId="125" fillId="90" borderId="38">
      <alignment vertical="center" wrapText="1"/>
    </xf>
    <xf numFmtId="49" fontId="125" fillId="90" borderId="38">
      <alignment vertical="center" wrapText="1"/>
    </xf>
    <xf numFmtId="49" fontId="125" fillId="90" borderId="38" applyProtection="0">
      <alignment vertical="center" wrapText="1"/>
    </xf>
    <xf numFmtId="49" fontId="125" fillId="103" borderId="38">
      <alignment vertical="center" wrapText="1"/>
    </xf>
    <xf numFmtId="49" fontId="125" fillId="103" borderId="38">
      <alignment vertical="center" wrapText="1"/>
    </xf>
    <xf numFmtId="49" fontId="125" fillId="103" borderId="38" applyProtection="0">
      <alignment vertical="center" wrapText="1"/>
    </xf>
    <xf numFmtId="49" fontId="125" fillId="98" borderId="38">
      <alignment vertical="center" wrapText="1"/>
    </xf>
    <xf numFmtId="49" fontId="125" fillId="98" borderId="38">
      <alignment vertical="center" wrapText="1"/>
    </xf>
    <xf numFmtId="49" fontId="125" fillId="98" borderId="38" applyProtection="0">
      <alignment vertical="center" wrapText="1"/>
    </xf>
    <xf numFmtId="49" fontId="125" fillId="90" borderId="38">
      <alignment vertical="center" wrapText="1"/>
    </xf>
    <xf numFmtId="49" fontId="125" fillId="90" borderId="38">
      <alignment vertical="center" wrapText="1"/>
    </xf>
    <xf numFmtId="49" fontId="125" fillId="90" borderId="38" applyProtection="0">
      <alignment vertical="center" wrapText="1"/>
    </xf>
    <xf numFmtId="49" fontId="125" fillId="98" borderId="38">
      <alignment vertical="center" wrapText="1"/>
    </xf>
    <xf numFmtId="49" fontId="125" fillId="98" borderId="38" applyProtection="0">
      <alignment vertical="center" wrapText="1"/>
    </xf>
    <xf numFmtId="49" fontId="125" fillId="90" borderId="38">
      <alignment vertical="center" wrapText="1"/>
    </xf>
    <xf numFmtId="49" fontId="125" fillId="90" borderId="38">
      <alignment vertical="center" wrapText="1"/>
    </xf>
    <xf numFmtId="49" fontId="125" fillId="90" borderId="38">
      <alignment vertical="center" wrapText="1"/>
    </xf>
    <xf numFmtId="49" fontId="125" fillId="90" borderId="38" applyProtection="0">
      <alignment vertical="center" wrapText="1"/>
    </xf>
    <xf numFmtId="49" fontId="125" fillId="90" borderId="38">
      <alignment vertical="center" wrapText="1"/>
    </xf>
    <xf numFmtId="49" fontId="125" fillId="90" borderId="38">
      <alignment vertical="center" wrapText="1"/>
    </xf>
    <xf numFmtId="49" fontId="125" fillId="90" borderId="38" applyProtection="0">
      <alignment vertical="center" wrapText="1"/>
    </xf>
    <xf numFmtId="49" fontId="125" fillId="90" borderId="38">
      <alignment vertical="center" wrapText="1"/>
    </xf>
    <xf numFmtId="49" fontId="125" fillId="90" borderId="38" applyProtection="0">
      <alignment vertical="center" wrapText="1"/>
    </xf>
    <xf numFmtId="49" fontId="89" fillId="92" borderId="63">
      <alignment vertical="top" wrapText="1"/>
    </xf>
    <xf numFmtId="49" fontId="89" fillId="95" borderId="63">
      <alignment vertical="top" wrapText="1"/>
    </xf>
    <xf numFmtId="49" fontId="89" fillId="95" borderId="63">
      <alignment vertical="top" wrapText="1"/>
    </xf>
    <xf numFmtId="49" fontId="90" fillId="95" borderId="63" applyProtection="0">
      <alignment vertical="top" wrapText="1"/>
    </xf>
    <xf numFmtId="49" fontId="89" fillId="95" borderId="64">
      <alignment vertical="top" wrapText="1"/>
    </xf>
    <xf numFmtId="49" fontId="89" fillId="95" borderId="64">
      <alignment vertical="top" wrapText="1"/>
    </xf>
    <xf numFmtId="49" fontId="90" fillId="95" borderId="64" applyProtection="0">
      <alignment vertical="top" wrapText="1"/>
    </xf>
    <xf numFmtId="49" fontId="89" fillId="92" borderId="63">
      <alignment vertical="top" wrapText="1"/>
    </xf>
    <xf numFmtId="49" fontId="90" fillId="92" borderId="63" applyProtection="0">
      <alignment vertical="top" wrapText="1"/>
    </xf>
    <xf numFmtId="0" fontId="103" fillId="106" borderId="0"/>
    <xf numFmtId="0" fontId="104" fillId="106" borderId="0"/>
    <xf numFmtId="0" fontId="104" fillId="106" borderId="0" applyNumberFormat="0" applyBorder="0" applyProtection="0"/>
    <xf numFmtId="0" fontId="103" fillId="83" borderId="0"/>
    <xf numFmtId="0" fontId="104" fillId="83" borderId="0"/>
    <xf numFmtId="0" fontId="104" fillId="83" borderId="0" applyNumberFormat="0" applyBorder="0" applyProtection="0"/>
    <xf numFmtId="0" fontId="103" fillId="128" borderId="0"/>
    <xf numFmtId="0" fontId="104" fillId="128" borderId="0"/>
    <xf numFmtId="0" fontId="104" fillId="128" borderId="0" applyNumberFormat="0" applyBorder="0" applyProtection="0"/>
    <xf numFmtId="0" fontId="103" fillId="102" borderId="0"/>
    <xf numFmtId="0" fontId="104" fillId="102" borderId="0"/>
    <xf numFmtId="0" fontId="104" fillId="102" borderId="0" applyNumberFormat="0" applyBorder="0" applyProtection="0"/>
    <xf numFmtId="0" fontId="103" fillId="101" borderId="0"/>
    <xf numFmtId="0" fontId="104" fillId="101" borderId="0"/>
    <xf numFmtId="0" fontId="104" fillId="101" borderId="0" applyNumberFormat="0" applyBorder="0" applyProtection="0"/>
    <xf numFmtId="0" fontId="103" fillId="110" borderId="0"/>
    <xf numFmtId="0" fontId="104" fillId="110" borderId="0"/>
    <xf numFmtId="0" fontId="104" fillId="110" borderId="0" applyNumberFormat="0" applyBorder="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178" fontId="89" fillId="0" borderId="0"/>
    <xf numFmtId="178" fontId="89" fillId="0" borderId="0"/>
    <xf numFmtId="178" fontId="90" fillId="0" borderId="0" applyBorder="0" applyProtection="0"/>
    <xf numFmtId="0" fontId="89" fillId="114" borderId="65"/>
    <xf numFmtId="0" fontId="89" fillId="114" borderId="65"/>
    <xf numFmtId="0" fontId="90" fillId="114" borderId="65" applyNumberFormat="0" applyProtection="0"/>
    <xf numFmtId="177" fontId="34" fillId="0" borderId="0" applyFont="0" applyFill="0" applyBorder="0" applyAlignment="0" applyProtection="0"/>
    <xf numFmtId="177" fontId="34" fillId="0" borderId="0" applyFont="0" applyFill="0" applyBorder="0" applyAlignment="0" applyProtection="0"/>
    <xf numFmtId="179" fontId="89" fillId="0" borderId="0"/>
    <xf numFmtId="179" fontId="89" fillId="0" borderId="0"/>
    <xf numFmtId="179" fontId="89" fillId="0" borderId="0"/>
    <xf numFmtId="179" fontId="90" fillId="0" borderId="0" applyBorder="0" applyProtection="0"/>
    <xf numFmtId="179" fontId="89" fillId="0" borderId="0"/>
    <xf numFmtId="179" fontId="90" fillId="0" borderId="0" applyBorder="0" applyProtection="0"/>
    <xf numFmtId="0" fontId="139" fillId="90" borderId="0">
      <alignment wrapText="1"/>
    </xf>
    <xf numFmtId="0" fontId="139" fillId="90" borderId="0">
      <alignment wrapText="1"/>
    </xf>
    <xf numFmtId="0" fontId="140" fillId="90" borderId="0" applyNumberFormat="0" applyBorder="0" applyProtection="0">
      <alignment wrapText="1"/>
    </xf>
    <xf numFmtId="0" fontId="139" fillId="94" borderId="0"/>
    <xf numFmtId="0" fontId="139" fillId="94" borderId="0"/>
    <xf numFmtId="0" fontId="140" fillId="94" borderId="0" applyNumberFormat="0" applyBorder="0" applyProtection="0"/>
    <xf numFmtId="3" fontId="141" fillId="0" borderId="63">
      <alignment horizontal="right" vertical="top"/>
    </xf>
    <xf numFmtId="171" fontId="142" fillId="0" borderId="66"/>
    <xf numFmtId="171" fontId="141" fillId="0" borderId="67"/>
    <xf numFmtId="171" fontId="141" fillId="0" borderId="67"/>
    <xf numFmtId="171" fontId="143" fillId="0" borderId="67" applyProtection="0"/>
    <xf numFmtId="171" fontId="142" fillId="0" borderId="66"/>
    <xf numFmtId="171" fontId="144" fillId="0" borderId="66" applyProtection="0"/>
    <xf numFmtId="171" fontId="145" fillId="0" borderId="66"/>
    <xf numFmtId="171" fontId="146" fillId="0" borderId="67"/>
    <xf numFmtId="171" fontId="146" fillId="0" borderId="67"/>
    <xf numFmtId="171" fontId="147" fillId="0" borderId="67" applyProtection="0"/>
    <xf numFmtId="171" fontId="145" fillId="0" borderId="66"/>
    <xf numFmtId="171" fontId="148" fillId="0" borderId="66" applyProtection="0"/>
    <xf numFmtId="0" fontId="149" fillId="0" borderId="0"/>
    <xf numFmtId="0" fontId="150" fillId="0" borderId="0"/>
    <xf numFmtId="0" fontId="150" fillId="0" borderId="0" applyNumberFormat="0" applyBorder="0" applyProtection="0"/>
    <xf numFmtId="0" fontId="103" fillId="106" borderId="0"/>
    <xf numFmtId="0" fontId="104" fillId="106" borderId="0"/>
    <xf numFmtId="0" fontId="104" fillId="106" borderId="0" applyNumberFormat="0" applyBorder="0" applyProtection="0"/>
    <xf numFmtId="0" fontId="103" fillId="83" borderId="0"/>
    <xf numFmtId="0" fontId="104" fillId="83" borderId="0"/>
    <xf numFmtId="0" fontId="104" fillId="83" borderId="0" applyNumberFormat="0" applyBorder="0" applyProtection="0"/>
    <xf numFmtId="0" fontId="103" fillId="128" borderId="0"/>
    <xf numFmtId="0" fontId="104" fillId="128" borderId="0"/>
    <xf numFmtId="0" fontId="104" fillId="128" borderId="0" applyNumberFormat="0" applyBorder="0" applyProtection="0"/>
    <xf numFmtId="0" fontId="103" fillId="102" borderId="0"/>
    <xf numFmtId="0" fontId="104" fillId="102" borderId="0"/>
    <xf numFmtId="0" fontId="104" fillId="102" borderId="0" applyNumberFormat="0" applyBorder="0" applyProtection="0"/>
    <xf numFmtId="0" fontId="103" fillId="101" borderId="0"/>
    <xf numFmtId="0" fontId="104" fillId="101" borderId="0"/>
    <xf numFmtId="0" fontId="104" fillId="101" borderId="0" applyNumberFormat="0" applyBorder="0" applyProtection="0"/>
    <xf numFmtId="0" fontId="103" fillId="110" borderId="0"/>
    <xf numFmtId="0" fontId="104" fillId="110" borderId="0"/>
    <xf numFmtId="0" fontId="104" fillId="110" borderId="0" applyNumberFormat="0" applyBorder="0" applyProtection="0"/>
    <xf numFmtId="0" fontId="151" fillId="101" borderId="38">
      <alignment horizontal="center" vertical="top" wrapText="1"/>
    </xf>
    <xf numFmtId="0" fontId="152" fillId="0" borderId="0"/>
    <xf numFmtId="0" fontId="152" fillId="0" borderId="0"/>
    <xf numFmtId="0" fontId="152" fillId="0" borderId="0"/>
    <xf numFmtId="0" fontId="153" fillId="0" borderId="0" applyNumberFormat="0" applyBorder="0" applyProtection="0"/>
    <xf numFmtId="0" fontId="152" fillId="0" borderId="0"/>
    <xf numFmtId="0" fontId="153" fillId="0" borderId="0" applyNumberFormat="0" applyBorder="0" applyProtection="0"/>
    <xf numFmtId="0" fontId="154" fillId="0" borderId="0"/>
    <xf numFmtId="0" fontId="154" fillId="0" borderId="0"/>
    <xf numFmtId="0" fontId="154" fillId="0" borderId="0"/>
    <xf numFmtId="0" fontId="155" fillId="0" borderId="0" applyNumberFormat="0" applyBorder="0" applyProtection="0"/>
    <xf numFmtId="0" fontId="154" fillId="0" borderId="0"/>
    <xf numFmtId="0" fontId="155" fillId="0" borderId="0" applyNumberFormat="0" applyBorder="0" applyProtection="0"/>
    <xf numFmtId="0" fontId="156" fillId="0" borderId="0">
      <alignment horizontal="left" vertical="top"/>
    </xf>
    <xf numFmtId="0" fontId="157" fillId="86" borderId="44"/>
    <xf numFmtId="0" fontId="158" fillId="86" borderId="44"/>
    <xf numFmtId="0" fontId="158" fillId="86" borderId="44" applyNumberFormat="0" applyProtection="0"/>
    <xf numFmtId="0" fontId="159" fillId="85" borderId="44"/>
    <xf numFmtId="0" fontId="159" fillId="85" borderId="44"/>
    <xf numFmtId="0" fontId="160" fillId="85" borderId="44" applyNumberFormat="0" applyProtection="0"/>
    <xf numFmtId="180" fontId="89" fillId="0" borderId="0"/>
    <xf numFmtId="181" fontId="97" fillId="0" borderId="0"/>
    <xf numFmtId="181" fontId="98" fillId="0" borderId="0"/>
    <xf numFmtId="202" fontId="82" fillId="0" borderId="0" applyFont="0" applyBorder="0" applyProtection="0"/>
    <xf numFmtId="202" fontId="82" fillId="0" borderId="0" applyFont="0" applyBorder="0" applyProtection="0"/>
    <xf numFmtId="202" fontId="82" fillId="0" borderId="0" applyFont="0" applyBorder="0" applyProtection="0"/>
    <xf numFmtId="202" fontId="82" fillId="0" borderId="0" applyFont="0" applyBorder="0" applyProtection="0"/>
    <xf numFmtId="202" fontId="82" fillId="0" borderId="0" applyFont="0" applyBorder="0" applyProtection="0"/>
    <xf numFmtId="202" fontId="82" fillId="0" borderId="0" applyFont="0" applyBorder="0" applyProtection="0"/>
    <xf numFmtId="180" fontId="89" fillId="0" borderId="0"/>
    <xf numFmtId="180" fontId="90" fillId="0" borderId="0" applyBorder="0" applyProtection="0"/>
    <xf numFmtId="180" fontId="89" fillId="0" borderId="0"/>
    <xf numFmtId="180" fontId="89" fillId="0" borderId="0"/>
    <xf numFmtId="180" fontId="89" fillId="0" borderId="0"/>
    <xf numFmtId="180" fontId="90" fillId="0" borderId="0" applyBorder="0" applyProtection="0"/>
    <xf numFmtId="182" fontId="89" fillId="0" borderId="0"/>
    <xf numFmtId="182" fontId="89" fillId="0" borderId="0"/>
    <xf numFmtId="182" fontId="90" fillId="0" borderId="0" applyBorder="0" applyProtection="0"/>
    <xf numFmtId="183" fontId="89" fillId="0" borderId="0"/>
    <xf numFmtId="183" fontId="89" fillId="0" borderId="0"/>
    <xf numFmtId="203" fontId="90" fillId="0" borderId="0" applyBorder="0" applyProtection="0"/>
    <xf numFmtId="180" fontId="89" fillId="0" borderId="0"/>
    <xf numFmtId="180" fontId="90" fillId="0" borderId="0" applyBorder="0" applyProtection="0"/>
    <xf numFmtId="180" fontId="89" fillId="0" borderId="0"/>
    <xf numFmtId="180" fontId="89" fillId="0" borderId="0"/>
    <xf numFmtId="183" fontId="89" fillId="0" borderId="0"/>
    <xf numFmtId="183" fontId="89" fillId="0" borderId="0"/>
    <xf numFmtId="203" fontId="90" fillId="0" borderId="0" applyBorder="0" applyProtection="0"/>
    <xf numFmtId="180" fontId="89" fillId="0" borderId="0"/>
    <xf numFmtId="180" fontId="90" fillId="0" borderId="0" applyBorder="0" applyProtection="0"/>
    <xf numFmtId="180" fontId="89" fillId="0" borderId="0"/>
    <xf numFmtId="180" fontId="89" fillId="0" borderId="0"/>
    <xf numFmtId="180" fontId="89" fillId="0" borderId="0"/>
    <xf numFmtId="180" fontId="90" fillId="0" borderId="0" applyBorder="0" applyProtection="0"/>
    <xf numFmtId="182" fontId="89" fillId="0" borderId="0"/>
    <xf numFmtId="182" fontId="89" fillId="0" borderId="0"/>
    <xf numFmtId="182" fontId="90" fillId="0" borderId="0" applyBorder="0" applyProtection="0"/>
    <xf numFmtId="180" fontId="89" fillId="0" borderId="0"/>
    <xf numFmtId="180" fontId="90" fillId="0" borderId="0" applyBorder="0" applyProtection="0"/>
    <xf numFmtId="180" fontId="89" fillId="0" borderId="0"/>
    <xf numFmtId="180" fontId="89" fillId="0" borderId="0"/>
    <xf numFmtId="180" fontId="89" fillId="0" borderId="0"/>
    <xf numFmtId="180" fontId="90" fillId="0" borderId="0" applyBorder="0" applyProtection="0"/>
    <xf numFmtId="184" fontId="89" fillId="0" borderId="0"/>
    <xf numFmtId="184" fontId="89" fillId="0" borderId="0"/>
    <xf numFmtId="204" fontId="90" fillId="0" borderId="0" applyBorder="0" applyProtection="0"/>
    <xf numFmtId="181" fontId="91" fillId="0" borderId="0"/>
    <xf numFmtId="181" fontId="92" fillId="0" borderId="0"/>
    <xf numFmtId="202" fontId="92" fillId="0" borderId="0" applyBorder="0" applyProtection="0"/>
    <xf numFmtId="181" fontId="97" fillId="0" borderId="0"/>
    <xf numFmtId="181" fontId="98" fillId="0" borderId="0"/>
    <xf numFmtId="202" fontId="82" fillId="0" borderId="0" applyFont="0" applyBorder="0" applyProtection="0"/>
    <xf numFmtId="202" fontId="82" fillId="0" borderId="0" applyFont="0" applyBorder="0" applyProtection="0"/>
    <xf numFmtId="202" fontId="82" fillId="0" borderId="0" applyFont="0" applyBorder="0" applyProtection="0"/>
    <xf numFmtId="202" fontId="82" fillId="0" borderId="0" applyFont="0" applyBorder="0" applyProtection="0"/>
    <xf numFmtId="202" fontId="82" fillId="0" borderId="0" applyFont="0" applyBorder="0" applyProtection="0"/>
    <xf numFmtId="202" fontId="82" fillId="0" borderId="0" applyFont="0" applyBorder="0" applyProtection="0"/>
    <xf numFmtId="181" fontId="97" fillId="0" borderId="0"/>
    <xf numFmtId="181" fontId="98" fillId="0" borderId="0"/>
    <xf numFmtId="202" fontId="82" fillId="0" borderId="0" applyFont="0" applyBorder="0" applyProtection="0"/>
    <xf numFmtId="202" fontId="82" fillId="0" borderId="0" applyFont="0" applyBorder="0" applyProtection="0"/>
    <xf numFmtId="202" fontId="82" fillId="0" borderId="0" applyFont="0" applyBorder="0" applyProtection="0"/>
    <xf numFmtId="202" fontId="82" fillId="0" borderId="0" applyFont="0" applyBorder="0" applyProtection="0"/>
    <xf numFmtId="202" fontId="82" fillId="0" borderId="0" applyFont="0" applyBorder="0" applyProtection="0"/>
    <xf numFmtId="202" fontId="82" fillId="0" borderId="0" applyFont="0" applyBorder="0" applyProtection="0"/>
    <xf numFmtId="184" fontId="89" fillId="0" borderId="0"/>
    <xf numFmtId="0" fontId="98" fillId="0" borderId="0"/>
    <xf numFmtId="0" fontId="81" fillId="0" borderId="0"/>
    <xf numFmtId="0" fontId="81" fillId="0" borderId="0" applyNumberFormat="0" applyBorder="0" applyProtection="0"/>
    <xf numFmtId="0" fontId="98" fillId="0" borderId="0" applyNumberFormat="0" applyBorder="0" applyProtection="0"/>
    <xf numFmtId="9" fontId="98" fillId="0" borderId="0" applyBorder="0" applyProtection="0"/>
    <xf numFmtId="0" fontId="89" fillId="0" borderId="0"/>
    <xf numFmtId="0" fontId="89" fillId="0" borderId="0"/>
    <xf numFmtId="0" fontId="90" fillId="0" borderId="0" applyNumberFormat="0" applyBorder="0" applyProtection="0"/>
    <xf numFmtId="0" fontId="157" fillId="128" borderId="0"/>
    <xf numFmtId="0" fontId="161" fillId="0" borderId="0"/>
    <xf numFmtId="0" fontId="162" fillId="0" borderId="0"/>
    <xf numFmtId="0" fontId="162" fillId="0" borderId="0" applyNumberFormat="0" applyBorder="0" applyProtection="0"/>
    <xf numFmtId="2" fontId="91" fillId="0" borderId="0"/>
    <xf numFmtId="2" fontId="92" fillId="0" borderId="0"/>
    <xf numFmtId="2" fontId="92" fillId="0" borderId="0" applyBorder="0" applyProtection="0"/>
    <xf numFmtId="171" fontId="89" fillId="0" borderId="0"/>
    <xf numFmtId="171" fontId="89" fillId="0" borderId="0"/>
    <xf numFmtId="171" fontId="89" fillId="0" borderId="0"/>
    <xf numFmtId="171" fontId="90" fillId="0" borderId="0" applyBorder="0" applyProtection="0"/>
    <xf numFmtId="171" fontId="89" fillId="0" borderId="0"/>
    <xf numFmtId="171" fontId="90" fillId="0" borderId="0" applyBorder="0" applyProtection="0"/>
    <xf numFmtId="3" fontId="89" fillId="0" borderId="0"/>
    <xf numFmtId="3" fontId="89" fillId="0" borderId="0"/>
    <xf numFmtId="3" fontId="89" fillId="0" borderId="0"/>
    <xf numFmtId="3" fontId="90" fillId="0" borderId="0" applyBorder="0" applyProtection="0"/>
    <xf numFmtId="3" fontId="89" fillId="0" borderId="0"/>
    <xf numFmtId="3" fontId="90" fillId="0" borderId="0" applyBorder="0" applyProtection="0"/>
    <xf numFmtId="0" fontId="113" fillId="81" borderId="0"/>
    <xf numFmtId="0" fontId="114" fillId="81" borderId="0"/>
    <xf numFmtId="0" fontId="114" fillId="81" borderId="0" applyNumberFormat="0" applyBorder="0" applyProtection="0"/>
    <xf numFmtId="0" fontId="163" fillId="0" borderId="0">
      <alignment horizontal="center"/>
    </xf>
    <xf numFmtId="0" fontId="164" fillId="0" borderId="0">
      <alignment horizontal="center"/>
    </xf>
    <xf numFmtId="0" fontId="164" fillId="0" borderId="0">
      <alignment horizontal="center"/>
    </xf>
    <xf numFmtId="0" fontId="164" fillId="0" borderId="0" applyNumberFormat="0" applyBorder="0" applyProtection="0">
      <alignment horizontal="center"/>
    </xf>
    <xf numFmtId="0" fontId="165" fillId="0" borderId="68"/>
    <xf numFmtId="0" fontId="166" fillId="0" borderId="68"/>
    <xf numFmtId="0" fontId="166" fillId="0" borderId="68" applyNumberFormat="0" applyProtection="0"/>
    <xf numFmtId="0" fontId="167" fillId="0" borderId="69"/>
    <xf numFmtId="0" fontId="168" fillId="0" borderId="69"/>
    <xf numFmtId="0" fontId="168" fillId="0" borderId="69" applyNumberFormat="0" applyProtection="0"/>
    <xf numFmtId="0" fontId="149" fillId="0" borderId="70"/>
    <xf numFmtId="0" fontId="150" fillId="0" borderId="70"/>
    <xf numFmtId="0" fontId="150" fillId="0" borderId="70" applyNumberFormat="0" applyProtection="0"/>
    <xf numFmtId="0" fontId="149" fillId="0" borderId="0"/>
    <xf numFmtId="0" fontId="150" fillId="0" borderId="0"/>
    <xf numFmtId="0" fontId="150" fillId="0" borderId="0" applyNumberFormat="0" applyBorder="0" applyProtection="0"/>
    <xf numFmtId="0" fontId="169" fillId="0" borderId="0">
      <alignment horizontal="center"/>
    </xf>
    <xf numFmtId="0" fontId="169" fillId="0" borderId="0">
      <alignment horizontal="center"/>
    </xf>
    <xf numFmtId="0" fontId="169" fillId="0" borderId="0" applyNumberFormat="0" applyBorder="0" applyProtection="0">
      <alignment horizontal="center"/>
    </xf>
    <xf numFmtId="0" fontId="164" fillId="0" borderId="0" applyNumberFormat="0" applyBorder="0" applyProtection="0">
      <alignment horizontal="center"/>
    </xf>
    <xf numFmtId="0" fontId="163" fillId="0" borderId="0">
      <alignment horizontal="center" textRotation="90"/>
    </xf>
    <xf numFmtId="0" fontId="164" fillId="0" borderId="0">
      <alignment horizontal="center" textRotation="90"/>
    </xf>
    <xf numFmtId="0" fontId="164" fillId="0" borderId="0">
      <alignment horizontal="center" textRotation="90"/>
    </xf>
    <xf numFmtId="0" fontId="164" fillId="0" borderId="0" applyNumberFormat="0" applyBorder="0" applyProtection="0">
      <alignment horizontal="center" textRotation="90"/>
    </xf>
    <xf numFmtId="0" fontId="169" fillId="0" borderId="0">
      <alignment horizontal="center" textRotation="90"/>
    </xf>
    <xf numFmtId="0" fontId="169" fillId="0" borderId="0">
      <alignment horizontal="center" textRotation="90"/>
    </xf>
    <xf numFmtId="0" fontId="169" fillId="0" borderId="0" applyNumberFormat="0" applyBorder="0" applyProtection="0">
      <alignment horizontal="center" textRotation="90"/>
    </xf>
    <xf numFmtId="0" fontId="164" fillId="0" borderId="0" applyNumberFormat="0" applyBorder="0" applyProtection="0">
      <alignment horizontal="center" textRotation="90"/>
    </xf>
    <xf numFmtId="0" fontId="84" fillId="0" borderId="0" applyNumberFormat="0" applyFill="0" applyBorder="0" applyAlignment="0" applyProtection="0">
      <alignment vertical="top"/>
      <protection locked="0"/>
    </xf>
    <xf numFmtId="0" fontId="107" fillId="94" borderId="0"/>
    <xf numFmtId="0" fontId="108" fillId="94" borderId="0"/>
    <xf numFmtId="0" fontId="108" fillId="94" borderId="0" applyNumberFormat="0" applyBorder="0" applyProtection="0"/>
    <xf numFmtId="0" fontId="157" fillId="86" borderId="44"/>
    <xf numFmtId="0" fontId="158" fillId="86" borderId="44"/>
    <xf numFmtId="0" fontId="158" fillId="86" borderId="44" applyNumberFormat="0" applyProtection="0"/>
    <xf numFmtId="0" fontId="170" fillId="89" borderId="0"/>
    <xf numFmtId="0" fontId="170" fillId="89" borderId="0"/>
    <xf numFmtId="0" fontId="171" fillId="89" borderId="0" applyNumberFormat="0" applyBorder="0" applyProtection="0"/>
    <xf numFmtId="0" fontId="172" fillId="0" borderId="0"/>
    <xf numFmtId="0" fontId="173" fillId="0" borderId="0"/>
    <xf numFmtId="0" fontId="173" fillId="0" borderId="0"/>
    <xf numFmtId="0" fontId="174" fillId="0" borderId="0" applyNumberFormat="0" applyBorder="0" applyProtection="0"/>
    <xf numFmtId="0" fontId="172" fillId="0" borderId="0"/>
    <xf numFmtId="0" fontId="172" fillId="0" borderId="0"/>
    <xf numFmtId="0" fontId="175" fillId="0" borderId="0" applyNumberFormat="0" applyBorder="0" applyProtection="0"/>
    <xf numFmtId="0" fontId="172" fillId="0" borderId="0"/>
    <xf numFmtId="0" fontId="175" fillId="0" borderId="0" applyNumberFormat="0" applyBorder="0" applyProtection="0"/>
    <xf numFmtId="0" fontId="176" fillId="0" borderId="0"/>
    <xf numFmtId="0" fontId="177" fillId="0" borderId="0"/>
    <xf numFmtId="0" fontId="177" fillId="0" borderId="0" applyNumberFormat="0" applyBorder="0" applyProtection="0"/>
    <xf numFmtId="0" fontId="178" fillId="0" borderId="0" applyBorder="0" applyProtection="0"/>
    <xf numFmtId="0" fontId="91" fillId="88" borderId="0">
      <alignment horizontal="right"/>
      <protection locked="0"/>
    </xf>
    <xf numFmtId="0" fontId="89" fillId="88" borderId="0">
      <alignment horizontal="right"/>
      <protection locked="0"/>
    </xf>
    <xf numFmtId="0" fontId="89" fillId="88" borderId="0">
      <alignment horizontal="right"/>
      <protection locked="0"/>
    </xf>
    <xf numFmtId="0" fontId="90" fillId="88" borderId="0" applyNumberFormat="0" applyBorder="0">
      <alignment horizontal="right"/>
      <protection locked="0"/>
    </xf>
    <xf numFmtId="0" fontId="89" fillId="88" borderId="0">
      <alignment horizontal="right"/>
      <protection locked="0"/>
    </xf>
    <xf numFmtId="0" fontId="89" fillId="88" borderId="0">
      <alignment horizontal="right"/>
      <protection locked="0"/>
    </xf>
    <xf numFmtId="0" fontId="90" fillId="88" borderId="0" applyNumberFormat="0" applyBorder="0">
      <alignment horizontal="right"/>
      <protection locked="0"/>
    </xf>
    <xf numFmtId="0" fontId="89" fillId="88" borderId="0">
      <alignment horizontal="right"/>
      <protection locked="0"/>
    </xf>
    <xf numFmtId="0" fontId="89" fillId="88" borderId="0">
      <alignment horizontal="right"/>
      <protection locked="0"/>
    </xf>
    <xf numFmtId="0" fontId="90" fillId="88" borderId="0" applyNumberFormat="0" applyBorder="0">
      <alignment horizontal="right"/>
      <protection locked="0"/>
    </xf>
    <xf numFmtId="0" fontId="92" fillId="88" borderId="0">
      <alignment horizontal="right"/>
      <protection locked="0"/>
    </xf>
    <xf numFmtId="0" fontId="92" fillId="88" borderId="0" applyNumberFormat="0" applyBorder="0">
      <alignment horizontal="right"/>
      <protection locked="0"/>
    </xf>
    <xf numFmtId="0" fontId="179" fillId="0" borderId="0"/>
    <xf numFmtId="0" fontId="120" fillId="0" borderId="40"/>
    <xf numFmtId="0" fontId="121" fillId="0" borderId="40"/>
    <xf numFmtId="0" fontId="121" fillId="0" borderId="46" applyNumberFormat="0" applyProtection="0"/>
    <xf numFmtId="0" fontId="180" fillId="88" borderId="0">
      <alignment horizontal="right"/>
      <protection locked="0"/>
    </xf>
    <xf numFmtId="0" fontId="180" fillId="88" borderId="0">
      <alignment horizontal="right"/>
      <protection locked="0"/>
    </xf>
    <xf numFmtId="0" fontId="180" fillId="88" borderId="0">
      <alignment horizontal="right"/>
      <protection locked="0"/>
    </xf>
    <xf numFmtId="0" fontId="181" fillId="88" borderId="0" applyNumberFormat="0" applyBorder="0">
      <alignment horizontal="right"/>
      <protection locked="0"/>
    </xf>
    <xf numFmtId="0" fontId="180" fillId="88" borderId="0">
      <alignment horizontal="right"/>
      <protection locked="0"/>
    </xf>
    <xf numFmtId="0" fontId="180" fillId="88" borderId="0">
      <alignment horizontal="right"/>
      <protection locked="0"/>
    </xf>
    <xf numFmtId="0" fontId="181" fillId="88" borderId="0" applyNumberFormat="0" applyBorder="0">
      <alignment horizontal="right"/>
      <protection locked="0"/>
    </xf>
    <xf numFmtId="0" fontId="180" fillId="88" borderId="0">
      <alignment horizontal="right"/>
      <protection locked="0"/>
    </xf>
    <xf numFmtId="0" fontId="181" fillId="88" borderId="0" applyNumberFormat="0" applyBorder="0">
      <alignment horizontal="right"/>
      <protection locked="0"/>
    </xf>
    <xf numFmtId="0" fontId="182" fillId="88" borderId="0">
      <alignment horizontal="right"/>
      <protection locked="0"/>
    </xf>
    <xf numFmtId="0" fontId="182" fillId="88" borderId="0">
      <alignment horizontal="right"/>
      <protection locked="0"/>
    </xf>
    <xf numFmtId="0" fontId="182" fillId="88" borderId="0">
      <alignment horizontal="right"/>
      <protection locked="0"/>
    </xf>
    <xf numFmtId="0" fontId="183" fillId="88" borderId="0" applyNumberFormat="0" applyBorder="0">
      <alignment horizontal="right"/>
      <protection locked="0"/>
    </xf>
    <xf numFmtId="0" fontId="182" fillId="88" borderId="0">
      <alignment horizontal="right"/>
      <protection locked="0"/>
    </xf>
    <xf numFmtId="0" fontId="182" fillId="88" borderId="0">
      <alignment horizontal="right"/>
      <protection locked="0"/>
    </xf>
    <xf numFmtId="0" fontId="183" fillId="88" borderId="0" applyNumberFormat="0" applyBorder="0">
      <alignment horizontal="right"/>
      <protection locked="0"/>
    </xf>
    <xf numFmtId="0" fontId="182" fillId="88" borderId="0">
      <alignment horizontal="right"/>
      <protection locked="0"/>
    </xf>
    <xf numFmtId="0" fontId="183" fillId="88" borderId="0" applyNumberFormat="0" applyBorder="0">
      <alignment horizontal="right"/>
      <protection locked="0"/>
    </xf>
    <xf numFmtId="0" fontId="184" fillId="88" borderId="0">
      <alignment horizontal="right"/>
      <protection locked="0"/>
    </xf>
    <xf numFmtId="0" fontId="184" fillId="88" borderId="0">
      <alignment horizontal="right"/>
      <protection locked="0"/>
    </xf>
    <xf numFmtId="0" fontId="184" fillId="88" borderId="0">
      <alignment horizontal="right"/>
      <protection locked="0"/>
    </xf>
    <xf numFmtId="0" fontId="185" fillId="88" borderId="0" applyNumberFormat="0" applyBorder="0">
      <alignment horizontal="right"/>
      <protection locked="0"/>
    </xf>
    <xf numFmtId="0" fontId="184" fillId="88" borderId="0">
      <alignment horizontal="right"/>
      <protection locked="0"/>
    </xf>
    <xf numFmtId="0" fontId="184" fillId="88" borderId="0">
      <alignment horizontal="right"/>
      <protection locked="0"/>
    </xf>
    <xf numFmtId="0" fontId="185" fillId="88" borderId="0" applyNumberFormat="0" applyBorder="0">
      <alignment horizontal="right"/>
      <protection locked="0"/>
    </xf>
    <xf numFmtId="0" fontId="184" fillId="88" borderId="0">
      <alignment horizontal="right"/>
      <protection locked="0"/>
    </xf>
    <xf numFmtId="0" fontId="185" fillId="88" borderId="0" applyNumberFormat="0" applyBorder="0">
      <alignment horizontal="right"/>
      <protection locked="0"/>
    </xf>
    <xf numFmtId="0" fontId="186" fillId="97" borderId="0">
      <alignment horizontal="right" vertical="center"/>
      <protection locked="0"/>
    </xf>
    <xf numFmtId="0" fontId="186" fillId="97" borderId="0">
      <alignment horizontal="right" vertical="center"/>
      <protection locked="0"/>
    </xf>
    <xf numFmtId="0" fontId="186" fillId="97" borderId="0" applyNumberFormat="0" applyBorder="0">
      <alignment horizontal="right" vertical="center"/>
      <protection locked="0"/>
    </xf>
    <xf numFmtId="0" fontId="186" fillId="88" borderId="0">
      <alignment horizontal="right" vertical="center"/>
      <protection locked="0"/>
    </xf>
    <xf numFmtId="0" fontId="186" fillId="88" borderId="0">
      <alignment horizontal="right" vertical="center"/>
      <protection locked="0"/>
    </xf>
    <xf numFmtId="0" fontId="186" fillId="88" borderId="0" applyNumberFormat="0" applyBorder="0">
      <alignment horizontal="right" vertical="center"/>
      <protection locked="0"/>
    </xf>
    <xf numFmtId="43" fontId="82" fillId="0" borderId="0" applyFont="0" applyFill="0" applyBorder="0" applyAlignment="0" applyProtection="0"/>
    <xf numFmtId="186" fontId="187" fillId="0" borderId="0"/>
    <xf numFmtId="186" fontId="187" fillId="0" borderId="0"/>
    <xf numFmtId="186" fontId="187" fillId="0" borderId="0" applyBorder="0" applyProtection="0"/>
    <xf numFmtId="205" fontId="82" fillId="0" borderId="0" applyFont="0" applyFill="0" applyBorder="0" applyAlignment="0" applyProtection="0"/>
    <xf numFmtId="205" fontId="82" fillId="0" borderId="0" applyFont="0" applyFill="0" applyBorder="0" applyAlignment="0" applyProtection="0"/>
    <xf numFmtId="205" fontId="82" fillId="0" borderId="0" applyFont="0" applyFill="0" applyBorder="0" applyAlignment="0" applyProtection="0"/>
    <xf numFmtId="205" fontId="82" fillId="0" borderId="0" applyFont="0" applyFill="0" applyBorder="0" applyAlignment="0" applyProtection="0"/>
    <xf numFmtId="205" fontId="82" fillId="0" borderId="0" applyFont="0" applyFill="0" applyBorder="0" applyAlignment="0" applyProtection="0"/>
    <xf numFmtId="205"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173" fontId="56" fillId="0" borderId="0" applyBorder="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187" fontId="89" fillId="0" borderId="0"/>
    <xf numFmtId="187" fontId="90" fillId="0" borderId="0" applyBorder="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187" fontId="89" fillId="0" borderId="0"/>
    <xf numFmtId="187" fontId="89" fillId="0" borderId="0"/>
    <xf numFmtId="187" fontId="90" fillId="0" borderId="0" applyBorder="0" applyProtection="0"/>
    <xf numFmtId="187" fontId="89" fillId="0" borderId="0"/>
    <xf numFmtId="187" fontId="90" fillId="0" borderId="0" applyBorder="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187" fontId="89" fillId="0" borderId="0"/>
    <xf numFmtId="43" fontId="82" fillId="0" borderId="0" applyFont="0" applyFill="0" applyBorder="0" applyAlignment="0" applyProtection="0"/>
    <xf numFmtId="187" fontId="89" fillId="0" borderId="0"/>
    <xf numFmtId="187" fontId="90" fillId="0" borderId="0" applyBorder="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187" fontId="89" fillId="0" borderId="0"/>
    <xf numFmtId="187" fontId="89" fillId="0" borderId="0"/>
    <xf numFmtId="187" fontId="90" fillId="0" borderId="0" applyBorder="0" applyProtection="0"/>
    <xf numFmtId="187" fontId="89" fillId="0" borderId="0"/>
    <xf numFmtId="187" fontId="89" fillId="0" borderId="0"/>
    <xf numFmtId="187" fontId="90" fillId="0" borderId="0" applyBorder="0" applyProtection="0"/>
    <xf numFmtId="187" fontId="89" fillId="0" borderId="0"/>
    <xf numFmtId="187" fontId="89" fillId="0" borderId="0"/>
    <xf numFmtId="187" fontId="90" fillId="0" borderId="0" applyBorder="0" applyProtection="0"/>
    <xf numFmtId="186" fontId="187" fillId="0" borderId="0"/>
    <xf numFmtId="186" fontId="187" fillId="0" borderId="0"/>
    <xf numFmtId="186" fontId="187" fillId="0" borderId="0" applyBorder="0" applyProtection="0"/>
    <xf numFmtId="186" fontId="187" fillId="0" borderId="0"/>
    <xf numFmtId="186" fontId="187" fillId="0" borderId="0"/>
    <xf numFmtId="186" fontId="187" fillId="0" borderId="0" applyBorder="0" applyProtection="0"/>
    <xf numFmtId="186" fontId="187" fillId="0" borderId="0"/>
    <xf numFmtId="186" fontId="187" fillId="0" borderId="0"/>
    <xf numFmtId="186" fontId="187" fillId="0" borderId="0" applyBorder="0" applyProtection="0"/>
    <xf numFmtId="180" fontId="89" fillId="0" borderId="0"/>
    <xf numFmtId="180" fontId="89" fillId="0" borderId="0"/>
    <xf numFmtId="180" fontId="90" fillId="0" borderId="0" applyBorder="0" applyProtection="0"/>
    <xf numFmtId="180" fontId="89" fillId="0" borderId="0"/>
    <xf numFmtId="180" fontId="89" fillId="0" borderId="0"/>
    <xf numFmtId="180" fontId="90" fillId="0" borderId="0" applyBorder="0" applyProtection="0"/>
    <xf numFmtId="188" fontId="89" fillId="0" borderId="0"/>
    <xf numFmtId="188" fontId="89" fillId="0" borderId="0"/>
    <xf numFmtId="188" fontId="89" fillId="0" borderId="0"/>
    <xf numFmtId="188" fontId="90" fillId="0" borderId="0" applyBorder="0" applyProtection="0"/>
    <xf numFmtId="188" fontId="89" fillId="0" borderId="0"/>
    <xf numFmtId="188" fontId="90" fillId="0" borderId="0" applyBorder="0" applyProtection="0"/>
    <xf numFmtId="0" fontId="188" fillId="88" borderId="0"/>
    <xf numFmtId="0" fontId="189" fillId="97" borderId="0"/>
    <xf numFmtId="0" fontId="190" fillId="97" borderId="0"/>
    <xf numFmtId="0" fontId="190" fillId="97" borderId="0" applyNumberFormat="0" applyBorder="0" applyProtection="0"/>
    <xf numFmtId="0" fontId="189" fillId="97" borderId="0"/>
    <xf numFmtId="0" fontId="190" fillId="97" borderId="0"/>
    <xf numFmtId="0" fontId="190" fillId="97" borderId="0" applyNumberFormat="0" applyBorder="0" applyProtection="0"/>
    <xf numFmtId="0" fontId="191" fillId="97" borderId="0"/>
    <xf numFmtId="0" fontId="191" fillId="97" borderId="0"/>
    <xf numFmtId="0" fontId="192" fillId="97" borderId="0" applyNumberFormat="0" applyBorder="0" applyProtection="0"/>
    <xf numFmtId="0" fontId="188" fillId="88" borderId="0"/>
    <xf numFmtId="0" fontId="188" fillId="88" borderId="0"/>
    <xf numFmtId="189" fontId="193" fillId="0" borderId="0"/>
    <xf numFmtId="189" fontId="193" fillId="0" borderId="0"/>
    <xf numFmtId="189" fontId="194" fillId="0" borderId="0" applyBorder="0" applyProtection="0"/>
    <xf numFmtId="0" fontId="89" fillId="0" borderId="0"/>
    <xf numFmtId="0" fontId="89" fillId="0" borderId="0"/>
    <xf numFmtId="0" fontId="90" fillId="0" borderId="0" applyNumberFormat="0" applyBorder="0" applyProtection="0"/>
    <xf numFmtId="0" fontId="89" fillId="0" borderId="0"/>
    <xf numFmtId="0" fontId="89" fillId="0" borderId="0"/>
    <xf numFmtId="0" fontId="90" fillId="0" borderId="0" applyNumberFormat="0" applyBorder="0" applyProtection="0"/>
    <xf numFmtId="0" fontId="187" fillId="0" borderId="0"/>
    <xf numFmtId="0" fontId="89" fillId="0" borderId="0"/>
    <xf numFmtId="0" fontId="89" fillId="0" borderId="0"/>
    <xf numFmtId="0" fontId="90" fillId="0" borderId="0" applyNumberFormat="0" applyBorder="0" applyProtection="0"/>
    <xf numFmtId="0" fontId="89" fillId="0" borderId="0"/>
    <xf numFmtId="0" fontId="89" fillId="0" borderId="0"/>
    <xf numFmtId="0" fontId="90" fillId="0" borderId="0" applyNumberFormat="0" applyBorder="0" applyProtection="0"/>
    <xf numFmtId="0" fontId="187" fillId="0" borderId="0"/>
    <xf numFmtId="0" fontId="187" fillId="0" borderId="0" applyNumberFormat="0" applyBorder="0" applyProtection="0"/>
    <xf numFmtId="0" fontId="97" fillId="0" borderId="0"/>
    <xf numFmtId="0" fontId="98" fillId="0" borderId="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97" fillId="0" borderId="0"/>
    <xf numFmtId="0" fontId="98" fillId="0" borderId="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97" fillId="0" borderId="0"/>
    <xf numFmtId="0" fontId="98" fillId="0" borderId="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97" fillId="0" borderId="0"/>
    <xf numFmtId="0" fontId="98" fillId="0" borderId="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97" fillId="0" borderId="0"/>
    <xf numFmtId="0" fontId="98" fillId="0" borderId="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97" fillId="0" borderId="0"/>
    <xf numFmtId="0" fontId="98" fillId="0" borderId="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9" fillId="0" borderId="0"/>
    <xf numFmtId="0" fontId="89" fillId="0" borderId="0"/>
    <xf numFmtId="0" fontId="90" fillId="0" borderId="0" applyNumberFormat="0" applyBorder="0" applyProtection="0"/>
    <xf numFmtId="0" fontId="85" fillId="0" borderId="0"/>
    <xf numFmtId="0" fontId="89" fillId="0" borderId="0"/>
    <xf numFmtId="0" fontId="90" fillId="0" borderId="0" applyNumberFormat="0" applyBorder="0" applyProtection="0"/>
    <xf numFmtId="0" fontId="96" fillId="0" borderId="0"/>
    <xf numFmtId="0" fontId="86" fillId="0" borderId="0"/>
    <xf numFmtId="0" fontId="89" fillId="0" borderId="0"/>
    <xf numFmtId="0" fontId="89" fillId="0" borderId="0"/>
    <xf numFmtId="0" fontId="90" fillId="0" borderId="0" applyNumberFormat="0" applyBorder="0" applyProtection="0"/>
    <xf numFmtId="0" fontId="96" fillId="0" borderId="0"/>
    <xf numFmtId="0" fontId="95" fillId="0" borderId="0" applyNumberFormat="0" applyBorder="0" applyProtection="0"/>
    <xf numFmtId="0" fontId="89" fillId="0" borderId="0"/>
    <xf numFmtId="0" fontId="89" fillId="0" borderId="0"/>
    <xf numFmtId="0" fontId="90" fillId="0" borderId="0" applyNumberFormat="0" applyBorder="0" applyProtection="0"/>
    <xf numFmtId="0" fontId="97" fillId="0" borderId="0"/>
    <xf numFmtId="0" fontId="98" fillId="0" borderId="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187" fillId="0" borderId="0"/>
    <xf numFmtId="0" fontId="187" fillId="0" borderId="0" applyNumberFormat="0" applyBorder="0" applyProtection="0"/>
    <xf numFmtId="0" fontId="87" fillId="0" borderId="0"/>
    <xf numFmtId="0" fontId="89" fillId="0" borderId="0"/>
    <xf numFmtId="0" fontId="83" fillId="0" borderId="0"/>
    <xf numFmtId="0" fontId="89" fillId="0" borderId="0"/>
    <xf numFmtId="0" fontId="90" fillId="0" borderId="0" applyNumberFormat="0" applyBorder="0" applyProtection="0"/>
    <xf numFmtId="0" fontId="34" fillId="0" borderId="0"/>
    <xf numFmtId="0" fontId="195" fillId="0" borderId="0"/>
    <xf numFmtId="0" fontId="195" fillId="0" borderId="0" applyNumberFormat="0" applyBorder="0" applyProtection="0"/>
    <xf numFmtId="0" fontId="195" fillId="0" borderId="0"/>
    <xf numFmtId="0" fontId="195" fillId="0" borderId="0"/>
    <xf numFmtId="0" fontId="195" fillId="0" borderId="0" applyNumberFormat="0" applyBorder="0" applyProtection="0"/>
    <xf numFmtId="0" fontId="91" fillId="0" borderId="0"/>
    <xf numFmtId="0" fontId="92" fillId="0" borderId="0"/>
    <xf numFmtId="0" fontId="92" fillId="0" borderId="0" applyNumberFormat="0" applyBorder="0" applyProtection="0"/>
    <xf numFmtId="0" fontId="89" fillId="0" borderId="0"/>
    <xf numFmtId="0" fontId="89" fillId="0" borderId="0"/>
    <xf numFmtId="0" fontId="90" fillId="0" borderId="0" applyNumberFormat="0" applyBorder="0" applyProtection="0"/>
    <xf numFmtId="0" fontId="89" fillId="0" borderId="0"/>
    <xf numFmtId="0" fontId="89" fillId="0" borderId="0"/>
    <xf numFmtId="0" fontId="90" fillId="0" borderId="0" applyNumberFormat="0" applyBorder="0" applyProtection="0"/>
    <xf numFmtId="0" fontId="89" fillId="0" borderId="0"/>
    <xf numFmtId="0" fontId="89" fillId="0" borderId="0"/>
    <xf numFmtId="0" fontId="90" fillId="0" borderId="0" applyNumberFormat="0" applyBorder="0" applyProtection="0"/>
    <xf numFmtId="0" fontId="89" fillId="0" borderId="0"/>
    <xf numFmtId="0" fontId="89" fillId="0" borderId="0"/>
    <xf numFmtId="0" fontId="90" fillId="0" borderId="0" applyNumberFormat="0" applyBorder="0" applyProtection="0"/>
    <xf numFmtId="0" fontId="89" fillId="0" borderId="0"/>
    <xf numFmtId="0" fontId="89" fillId="0" borderId="0"/>
    <xf numFmtId="0" fontId="90" fillId="0" borderId="0" applyNumberFormat="0" applyBorder="0" applyProtection="0"/>
    <xf numFmtId="0" fontId="97" fillId="0" borderId="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34" fillId="0" borderId="0"/>
    <xf numFmtId="0" fontId="89" fillId="0" borderId="0">
      <alignment wrapText="1"/>
    </xf>
    <xf numFmtId="0" fontId="89" fillId="0" borderId="0">
      <alignment wrapText="1"/>
    </xf>
    <xf numFmtId="0" fontId="90" fillId="0" borderId="0" applyNumberFormat="0" applyBorder="0" applyProtection="0">
      <alignment wrapText="1"/>
    </xf>
    <xf numFmtId="0" fontId="196" fillId="0" borderId="0"/>
    <xf numFmtId="0" fontId="196" fillId="0" borderId="0"/>
    <xf numFmtId="0" fontId="196" fillId="0" borderId="0" applyNumberFormat="0" applyBorder="0" applyProtection="0"/>
    <xf numFmtId="0" fontId="89" fillId="0" borderId="0"/>
    <xf numFmtId="0" fontId="89" fillId="0" borderId="0"/>
    <xf numFmtId="0" fontId="90" fillId="0" borderId="0" applyNumberFormat="0" applyBorder="0" applyProtection="0"/>
    <xf numFmtId="0" fontId="91" fillId="0" borderId="0"/>
    <xf numFmtId="0" fontId="92" fillId="0" borderId="0"/>
    <xf numFmtId="0" fontId="92" fillId="0" borderId="0" applyNumberFormat="0" applyBorder="0" applyProtection="0"/>
    <xf numFmtId="0" fontId="89" fillId="0" borderId="0">
      <alignment wrapText="1"/>
    </xf>
    <xf numFmtId="0" fontId="90" fillId="0" borderId="0" applyNumberFormat="0" applyBorder="0" applyProtection="0">
      <alignment wrapText="1"/>
    </xf>
    <xf numFmtId="0" fontId="89" fillId="0" borderId="0">
      <alignment wrapText="1"/>
    </xf>
    <xf numFmtId="0" fontId="97" fillId="0" borderId="0"/>
    <xf numFmtId="0" fontId="86" fillId="0" borderId="0"/>
    <xf numFmtId="0" fontId="98" fillId="0" borderId="0"/>
    <xf numFmtId="0" fontId="195" fillId="0" borderId="0"/>
    <xf numFmtId="0" fontId="56" fillId="0" borderId="0"/>
    <xf numFmtId="0" fontId="34" fillId="0" borderId="0"/>
    <xf numFmtId="0" fontId="89" fillId="0" borderId="0"/>
    <xf numFmtId="0" fontId="89" fillId="0" borderId="0"/>
    <xf numFmtId="0" fontId="90" fillId="0" borderId="0" applyNumberFormat="0" applyBorder="0" applyProtection="0"/>
    <xf numFmtId="0" fontId="89" fillId="0" borderId="0">
      <alignment wrapText="1"/>
    </xf>
    <xf numFmtId="0" fontId="89" fillId="0" borderId="0">
      <alignment wrapText="1"/>
    </xf>
    <xf numFmtId="0" fontId="90" fillId="0" borderId="0" applyNumberFormat="0" applyBorder="0" applyProtection="0">
      <alignment wrapText="1"/>
    </xf>
    <xf numFmtId="0" fontId="89" fillId="0" borderId="0"/>
    <xf numFmtId="0" fontId="89" fillId="0" borderId="0"/>
    <xf numFmtId="0" fontId="90" fillId="0" borderId="0" applyNumberFormat="0" applyBorder="0" applyProtection="0"/>
    <xf numFmtId="0" fontId="97" fillId="0" borderId="0"/>
    <xf numFmtId="0" fontId="98" fillId="0" borderId="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9" fillId="0" borderId="0">
      <alignment wrapText="1"/>
    </xf>
    <xf numFmtId="0" fontId="90" fillId="0" borderId="0" applyNumberFormat="0" applyBorder="0" applyProtection="0">
      <alignment wrapText="1"/>
    </xf>
    <xf numFmtId="0" fontId="34" fillId="0" borderId="0"/>
    <xf numFmtId="0" fontId="89" fillId="0" borderId="0">
      <alignment wrapText="1"/>
    </xf>
    <xf numFmtId="0" fontId="89" fillId="0" borderId="0">
      <alignment wrapText="1"/>
    </xf>
    <xf numFmtId="0" fontId="89" fillId="0" borderId="0">
      <alignment wrapText="1"/>
    </xf>
    <xf numFmtId="0" fontId="89" fillId="0" borderId="0">
      <alignment wrapText="1"/>
    </xf>
    <xf numFmtId="0" fontId="90" fillId="0" borderId="0" applyNumberFormat="0" applyBorder="0" applyProtection="0">
      <alignment wrapText="1"/>
    </xf>
    <xf numFmtId="0" fontId="97" fillId="0" borderId="0"/>
    <xf numFmtId="0" fontId="98" fillId="0" borderId="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9" fillId="0" borderId="0"/>
    <xf numFmtId="0" fontId="89" fillId="0" borderId="0"/>
    <xf numFmtId="0" fontId="90" fillId="0" borderId="0" applyNumberFormat="0" applyBorder="0" applyProtection="0"/>
    <xf numFmtId="0" fontId="89" fillId="0" borderId="0">
      <alignment wrapText="1"/>
    </xf>
    <xf numFmtId="0" fontId="90" fillId="0" borderId="0" applyNumberFormat="0" applyBorder="0" applyProtection="0">
      <alignment wrapText="1"/>
    </xf>
    <xf numFmtId="0" fontId="89" fillId="0" borderId="0">
      <alignment wrapText="1"/>
    </xf>
    <xf numFmtId="0" fontId="97" fillId="0" borderId="0"/>
    <xf numFmtId="0" fontId="197" fillId="0" borderId="0"/>
    <xf numFmtId="0" fontId="197" fillId="0" borderId="0"/>
    <xf numFmtId="0" fontId="197" fillId="0" borderId="0" applyNumberFormat="0" applyBorder="0" applyProtection="0"/>
    <xf numFmtId="0" fontId="97" fillId="0" borderId="0"/>
    <xf numFmtId="0" fontId="98" fillId="0" borderId="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97" fillId="0" borderId="0"/>
    <xf numFmtId="0" fontId="98" fillId="0" borderId="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98" fillId="0" borderId="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97" fillId="0" borderId="0"/>
    <xf numFmtId="0" fontId="89" fillId="0" borderId="0"/>
    <xf numFmtId="0" fontId="89" fillId="0" borderId="0"/>
    <xf numFmtId="0" fontId="90" fillId="0" borderId="0" applyNumberFormat="0" applyBorder="0" applyProtection="0"/>
    <xf numFmtId="0" fontId="89" fillId="0" borderId="0"/>
    <xf numFmtId="0" fontId="89" fillId="0" borderId="0"/>
    <xf numFmtId="0" fontId="90" fillId="0" borderId="0" applyNumberFormat="0" applyBorder="0" applyProtection="0"/>
    <xf numFmtId="0" fontId="97" fillId="0" borderId="0"/>
    <xf numFmtId="0" fontId="98" fillId="0" borderId="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4" fontId="198" fillId="0" borderId="0">
      <alignment horizontal="right" vertical="center"/>
    </xf>
    <xf numFmtId="4" fontId="199" fillId="0" borderId="0">
      <alignment horizontal="right" vertical="center"/>
    </xf>
    <xf numFmtId="4" fontId="199" fillId="0" borderId="0" applyBorder="0" applyProtection="0">
      <alignment horizontal="right" vertical="center"/>
    </xf>
    <xf numFmtId="0" fontId="34" fillId="0" borderId="0" applyNumberFormat="0" applyFill="0" applyBorder="0" applyAlignment="0" applyProtection="0"/>
    <xf numFmtId="0" fontId="34" fillId="0" borderId="0" applyNumberFormat="0" applyFill="0" applyBorder="0" applyAlignment="0" applyProtection="0"/>
    <xf numFmtId="2" fontId="92" fillId="0" borderId="0"/>
    <xf numFmtId="2" fontId="91" fillId="0" borderId="0"/>
    <xf numFmtId="2" fontId="92" fillId="0" borderId="0" applyBorder="0" applyProtection="0"/>
    <xf numFmtId="0" fontId="89" fillId="90" borderId="65"/>
    <xf numFmtId="0" fontId="89" fillId="90" borderId="65"/>
    <xf numFmtId="0" fontId="90" fillId="90" borderId="65" applyNumberFormat="0" applyProtection="0"/>
    <xf numFmtId="0" fontId="89" fillId="90" borderId="65"/>
    <xf numFmtId="0" fontId="89" fillId="90" borderId="65"/>
    <xf numFmtId="0" fontId="90" fillId="90" borderId="65" applyNumberFormat="0" applyProtection="0"/>
    <xf numFmtId="0" fontId="200" fillId="0" borderId="0">
      <alignment vertical="top"/>
    </xf>
    <xf numFmtId="0" fontId="200" fillId="0" borderId="0">
      <alignment vertical="top"/>
    </xf>
    <xf numFmtId="0" fontId="201" fillId="0" borderId="0" applyNumberFormat="0" applyBorder="0" applyProtection="0">
      <alignment vertical="top"/>
    </xf>
    <xf numFmtId="0" fontId="89" fillId="90" borderId="65"/>
    <xf numFmtId="0" fontId="89" fillId="90" borderId="65"/>
    <xf numFmtId="0" fontId="90" fillId="90" borderId="65" applyNumberFormat="0" applyProtection="0"/>
    <xf numFmtId="0" fontId="200" fillId="0" borderId="0">
      <alignment vertical="top"/>
    </xf>
    <xf numFmtId="0" fontId="200" fillId="0" borderId="0">
      <alignment vertical="top"/>
    </xf>
    <xf numFmtId="0" fontId="201" fillId="0" borderId="0" applyNumberFormat="0" applyBorder="0" applyProtection="0">
      <alignment vertical="top"/>
    </xf>
    <xf numFmtId="190" fontId="202" fillId="0" borderId="0">
      <alignment horizontal="right"/>
    </xf>
    <xf numFmtId="0" fontId="188" fillId="88" borderId="0"/>
    <xf numFmtId="0" fontId="203" fillId="84" borderId="71"/>
    <xf numFmtId="0" fontId="204" fillId="84" borderId="71"/>
    <xf numFmtId="0" fontId="204" fillId="84" borderId="71" applyNumberFormat="0" applyProtection="0"/>
    <xf numFmtId="9" fontId="34" fillId="0" borderId="0" applyFont="0" applyFill="0" applyBorder="0" applyAlignment="0" applyProtection="0"/>
    <xf numFmtId="9" fontId="82" fillId="0" borderId="0" applyFont="0" applyFill="0" applyBorder="0" applyAlignment="0" applyProtection="0"/>
    <xf numFmtId="185" fontId="91" fillId="0" borderId="0"/>
    <xf numFmtId="185" fontId="92" fillId="0" borderId="0"/>
    <xf numFmtId="185" fontId="92" fillId="0" borderId="0" applyBorder="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212" fontId="56" fillId="0" borderId="0" applyBorder="0" applyProtection="0"/>
    <xf numFmtId="9" fontId="82" fillId="0" borderId="0" applyFont="0" applyFill="0" applyBorder="0" applyAlignment="0" applyProtection="0"/>
    <xf numFmtId="185" fontId="89" fillId="0" borderId="0"/>
    <xf numFmtId="185" fontId="97" fillId="0" borderId="0"/>
    <xf numFmtId="185" fontId="98" fillId="0" borderId="0"/>
    <xf numFmtId="185" fontId="82" fillId="0" borderId="0" applyFont="0" applyBorder="0" applyProtection="0"/>
    <xf numFmtId="185" fontId="82" fillId="0" borderId="0" applyFont="0" applyBorder="0" applyProtection="0"/>
    <xf numFmtId="185" fontId="82" fillId="0" borderId="0" applyFont="0" applyBorder="0" applyProtection="0"/>
    <xf numFmtId="185" fontId="82" fillId="0" borderId="0" applyFont="0" applyBorder="0" applyProtection="0"/>
    <xf numFmtId="185" fontId="82" fillId="0" borderId="0" applyFont="0" applyBorder="0" applyProtection="0"/>
    <xf numFmtId="185" fontId="82" fillId="0" borderId="0" applyFont="0" applyBorder="0" applyProtection="0"/>
    <xf numFmtId="185" fontId="89" fillId="0" borderId="0"/>
    <xf numFmtId="185" fontId="90" fillId="0" borderId="0" applyBorder="0" applyProtection="0"/>
    <xf numFmtId="9" fontId="86" fillId="0" borderId="0" applyFont="0" applyFill="0" applyBorder="0" applyAlignment="0" applyProtection="0"/>
    <xf numFmtId="185" fontId="89" fillId="0" borderId="0"/>
    <xf numFmtId="185" fontId="89" fillId="0" borderId="0"/>
    <xf numFmtId="185" fontId="90" fillId="0" borderId="0" applyBorder="0" applyProtection="0"/>
    <xf numFmtId="185" fontId="97" fillId="0" borderId="0"/>
    <xf numFmtId="185" fontId="89" fillId="0" borderId="0"/>
    <xf numFmtId="185" fontId="89" fillId="0" borderId="0"/>
    <xf numFmtId="185" fontId="90" fillId="0" borderId="0" applyBorder="0" applyProtection="0"/>
    <xf numFmtId="185" fontId="98" fillId="0" borderId="0"/>
    <xf numFmtId="185" fontId="82" fillId="0" borderId="0" applyFont="0" applyBorder="0" applyProtection="0"/>
    <xf numFmtId="185" fontId="82" fillId="0" borderId="0" applyFont="0" applyBorder="0" applyProtection="0"/>
    <xf numFmtId="185" fontId="82" fillId="0" borderId="0" applyFont="0" applyBorder="0" applyProtection="0"/>
    <xf numFmtId="185" fontId="82" fillId="0" borderId="0" applyFont="0" applyBorder="0" applyProtection="0"/>
    <xf numFmtId="185" fontId="82" fillId="0" borderId="0" applyFont="0" applyBorder="0" applyProtection="0"/>
    <xf numFmtId="185" fontId="82" fillId="0" borderId="0" applyFont="0" applyBorder="0" applyProtection="0"/>
    <xf numFmtId="185" fontId="89" fillId="0" borderId="0"/>
    <xf numFmtId="185" fontId="89" fillId="0" borderId="0"/>
    <xf numFmtId="185" fontId="90" fillId="0" borderId="0" applyBorder="0" applyProtection="0"/>
    <xf numFmtId="185" fontId="89" fillId="0" borderId="0"/>
    <xf numFmtId="185" fontId="89" fillId="0" borderId="0"/>
    <xf numFmtId="185" fontId="90" fillId="0" borderId="0" applyBorder="0" applyProtection="0"/>
    <xf numFmtId="185" fontId="89" fillId="0" borderId="0"/>
    <xf numFmtId="185" fontId="89" fillId="0" borderId="0"/>
    <xf numFmtId="185" fontId="90" fillId="0" borderId="0" applyBorder="0" applyProtection="0"/>
    <xf numFmtId="185" fontId="89" fillId="0" borderId="0"/>
    <xf numFmtId="185" fontId="89" fillId="0" borderId="0"/>
    <xf numFmtId="185" fontId="90" fillId="0" borderId="0" applyBorder="0" applyProtection="0"/>
    <xf numFmtId="185" fontId="89" fillId="0" borderId="0"/>
    <xf numFmtId="185" fontId="89" fillId="0" borderId="0"/>
    <xf numFmtId="185" fontId="90" fillId="0" borderId="0" applyBorder="0" applyProtection="0"/>
    <xf numFmtId="0" fontId="89" fillId="90" borderId="65"/>
    <xf numFmtId="0" fontId="91" fillId="114" borderId="65"/>
    <xf numFmtId="0" fontId="92" fillId="114" borderId="65"/>
    <xf numFmtId="0" fontId="92" fillId="114" borderId="65" applyNumberFormat="0" applyProtection="0"/>
    <xf numFmtId="0" fontId="89" fillId="90" borderId="65"/>
    <xf numFmtId="0" fontId="90" fillId="90" borderId="65" applyNumberFormat="0" applyProtection="0"/>
    <xf numFmtId="0" fontId="205" fillId="0" borderId="0"/>
    <xf numFmtId="0" fontId="206" fillId="0" borderId="0"/>
    <xf numFmtId="0" fontId="206" fillId="0" borderId="0"/>
    <xf numFmtId="0" fontId="206" fillId="0" borderId="0" applyNumberFormat="0" applyBorder="0" applyProtection="0"/>
    <xf numFmtId="0" fontId="207" fillId="0" borderId="0"/>
    <xf numFmtId="0" fontId="207" fillId="0" borderId="0"/>
    <xf numFmtId="0" fontId="207" fillId="0" borderId="0" applyNumberFormat="0" applyBorder="0" applyProtection="0"/>
    <xf numFmtId="0" fontId="206" fillId="0" borderId="0" applyNumberFormat="0" applyBorder="0" applyProtection="0"/>
    <xf numFmtId="191" fontId="205" fillId="0" borderId="0"/>
    <xf numFmtId="191" fontId="206" fillId="0" borderId="0"/>
    <xf numFmtId="191" fontId="206" fillId="0" borderId="0"/>
    <xf numFmtId="191" fontId="206" fillId="0" borderId="0" applyBorder="0" applyProtection="0"/>
    <xf numFmtId="191" fontId="207" fillId="0" borderId="0"/>
    <xf numFmtId="191" fontId="207" fillId="0" borderId="0"/>
    <xf numFmtId="191" fontId="207" fillId="0" borderId="0" applyBorder="0" applyProtection="0"/>
    <xf numFmtId="191" fontId="206" fillId="0" borderId="0" applyBorder="0" applyProtection="0"/>
    <xf numFmtId="0" fontId="203" fillId="84" borderId="71"/>
    <xf numFmtId="0" fontId="204" fillId="84" borderId="71"/>
    <xf numFmtId="0" fontId="204" fillId="84" borderId="71" applyNumberFormat="0" applyProtection="0"/>
    <xf numFmtId="0" fontId="208" fillId="81" borderId="0"/>
    <xf numFmtId="0" fontId="208" fillId="81" borderId="0"/>
    <xf numFmtId="0" fontId="209" fillId="81" borderId="0" applyNumberFormat="0" applyBorder="0" applyProtection="0"/>
    <xf numFmtId="0" fontId="210" fillId="84" borderId="72"/>
    <xf numFmtId="0" fontId="210" fillId="84" borderId="72"/>
    <xf numFmtId="0" fontId="211" fillId="84" borderId="72" applyNumberFormat="0" applyProtection="0"/>
    <xf numFmtId="0" fontId="212" fillId="0" borderId="0">
      <alignment vertical="top" wrapText="1"/>
    </xf>
    <xf numFmtId="0" fontId="212" fillId="0" borderId="0">
      <alignment vertical="top" wrapText="1"/>
    </xf>
    <xf numFmtId="0" fontId="213" fillId="0" borderId="0" applyNumberFormat="0" applyBorder="0" applyProtection="0">
      <alignment vertical="top" wrapText="1"/>
    </xf>
    <xf numFmtId="0" fontId="89" fillId="0" borderId="0">
      <alignment horizontal="left"/>
    </xf>
    <xf numFmtId="0" fontId="89" fillId="0" borderId="0">
      <alignment horizontal="left"/>
    </xf>
    <xf numFmtId="0" fontId="90" fillId="0" borderId="0" applyNumberFormat="0" applyBorder="0" applyProtection="0">
      <alignment horizontal="left"/>
    </xf>
    <xf numFmtId="0" fontId="89" fillId="0" borderId="0"/>
    <xf numFmtId="0" fontId="89" fillId="0" borderId="0"/>
    <xf numFmtId="0" fontId="90" fillId="0" borderId="0" applyNumberFormat="0" applyBorder="0" applyProtection="0"/>
    <xf numFmtId="0" fontId="89" fillId="0" borderId="0"/>
    <xf numFmtId="0" fontId="89" fillId="0" borderId="0"/>
    <xf numFmtId="0" fontId="90" fillId="0" borderId="0" applyNumberFormat="0" applyBorder="0" applyProtection="0"/>
    <xf numFmtId="0" fontId="151" fillId="0" borderId="0"/>
    <xf numFmtId="0" fontId="151" fillId="0" borderId="0"/>
    <xf numFmtId="0" fontId="214" fillId="0" borderId="0" applyNumberFormat="0" applyBorder="0" applyProtection="0"/>
    <xf numFmtId="0" fontId="151" fillId="0" borderId="0">
      <alignment horizontal="left"/>
    </xf>
    <xf numFmtId="0" fontId="151" fillId="0" borderId="0">
      <alignment horizontal="left"/>
    </xf>
    <xf numFmtId="0" fontId="214" fillId="0" borderId="0" applyNumberFormat="0" applyBorder="0" applyProtection="0">
      <alignment horizontal="left"/>
    </xf>
    <xf numFmtId="0" fontId="89" fillId="0" borderId="0"/>
    <xf numFmtId="0" fontId="89" fillId="0" borderId="0"/>
    <xf numFmtId="0" fontId="90" fillId="0" borderId="0" applyNumberFormat="0" applyBorder="0" applyProtection="0"/>
    <xf numFmtId="171" fontId="215" fillId="111" borderId="73">
      <alignment vertical="center"/>
    </xf>
    <xf numFmtId="171" fontId="215" fillId="110" borderId="73">
      <alignment vertical="center"/>
    </xf>
    <xf numFmtId="171" fontId="215" fillId="102" borderId="73">
      <alignment vertical="center"/>
    </xf>
    <xf numFmtId="171" fontId="215" fillId="102" borderId="73">
      <alignment vertical="center"/>
    </xf>
    <xf numFmtId="171" fontId="215" fillId="102" borderId="73" applyProtection="0">
      <alignment vertical="center"/>
    </xf>
    <xf numFmtId="171" fontId="215" fillId="110" borderId="73">
      <alignment vertical="center"/>
    </xf>
    <xf numFmtId="171" fontId="215" fillId="110" borderId="73" applyProtection="0">
      <alignment vertical="center"/>
    </xf>
    <xf numFmtId="171" fontId="215" fillId="111" borderId="73">
      <alignment vertical="center"/>
    </xf>
    <xf numFmtId="171" fontId="215" fillId="111" borderId="73">
      <alignment vertical="center"/>
    </xf>
    <xf numFmtId="171" fontId="215" fillId="111" borderId="73" applyProtection="0">
      <alignment vertical="center"/>
    </xf>
    <xf numFmtId="171" fontId="215" fillId="111" borderId="73">
      <alignment vertical="center"/>
    </xf>
    <xf numFmtId="171" fontId="215" fillId="111" borderId="73">
      <alignment vertical="center"/>
    </xf>
    <xf numFmtId="171" fontId="215" fillId="111" borderId="73" applyProtection="0">
      <alignment vertical="center"/>
    </xf>
    <xf numFmtId="171" fontId="215" fillId="111" borderId="73">
      <alignment vertical="center"/>
    </xf>
    <xf numFmtId="171" fontId="215" fillId="111" borderId="73">
      <alignment vertical="center"/>
    </xf>
    <xf numFmtId="171" fontId="215" fillId="111" borderId="73" applyProtection="0">
      <alignment vertical="center"/>
    </xf>
    <xf numFmtId="171" fontId="215" fillId="111" borderId="73">
      <alignment vertical="center"/>
    </xf>
    <xf numFmtId="171" fontId="215" fillId="111" borderId="73" applyProtection="0">
      <alignment vertical="center"/>
    </xf>
    <xf numFmtId="4" fontId="215" fillId="111" borderId="73">
      <alignment vertical="center"/>
    </xf>
    <xf numFmtId="4" fontId="215" fillId="110" borderId="73">
      <alignment vertical="center"/>
    </xf>
    <xf numFmtId="4" fontId="215" fillId="102" borderId="73">
      <alignment vertical="center"/>
    </xf>
    <xf numFmtId="4" fontId="215" fillId="102" borderId="73">
      <alignment vertical="center"/>
    </xf>
    <xf numFmtId="4" fontId="215" fillId="102" borderId="73" applyProtection="0">
      <alignment vertical="center"/>
    </xf>
    <xf numFmtId="4" fontId="215" fillId="110" borderId="73">
      <alignment vertical="center"/>
    </xf>
    <xf numFmtId="4" fontId="215" fillId="110" borderId="73" applyProtection="0">
      <alignment vertical="center"/>
    </xf>
    <xf numFmtId="4" fontId="215" fillId="111" borderId="73">
      <alignment vertical="center"/>
    </xf>
    <xf numFmtId="4" fontId="215" fillId="111" borderId="73">
      <alignment vertical="center"/>
    </xf>
    <xf numFmtId="4" fontId="215" fillId="111" borderId="73" applyProtection="0">
      <alignment vertical="center"/>
    </xf>
    <xf numFmtId="4" fontId="215" fillId="111" borderId="73">
      <alignment vertical="center"/>
    </xf>
    <xf numFmtId="4" fontId="215" fillId="111" borderId="73">
      <alignment vertical="center"/>
    </xf>
    <xf numFmtId="4" fontId="215" fillId="111" borderId="73" applyProtection="0">
      <alignment vertical="center"/>
    </xf>
    <xf numFmtId="4" fontId="215" fillId="111" borderId="73">
      <alignment vertical="center"/>
    </xf>
    <xf numFmtId="4" fontId="215" fillId="111" borderId="73">
      <alignment vertical="center"/>
    </xf>
    <xf numFmtId="4" fontId="215" fillId="111" borderId="73" applyProtection="0">
      <alignment vertical="center"/>
    </xf>
    <xf numFmtId="4" fontId="215" fillId="111" borderId="73">
      <alignment vertical="center"/>
    </xf>
    <xf numFmtId="4" fontId="215" fillId="111" borderId="73" applyProtection="0">
      <alignment vertical="center"/>
    </xf>
    <xf numFmtId="172" fontId="215" fillId="111" borderId="73">
      <alignment vertical="center"/>
    </xf>
    <xf numFmtId="172" fontId="215" fillId="110" borderId="73">
      <alignment vertical="center"/>
    </xf>
    <xf numFmtId="172" fontId="215" fillId="102" borderId="73">
      <alignment vertical="center"/>
    </xf>
    <xf numFmtId="172" fontId="215" fillId="102" borderId="73">
      <alignment vertical="center"/>
    </xf>
    <xf numFmtId="172" fontId="215" fillId="102" borderId="73" applyProtection="0">
      <alignment vertical="center"/>
    </xf>
    <xf numFmtId="172" fontId="215" fillId="110" borderId="73">
      <alignment vertical="center"/>
    </xf>
    <xf numFmtId="172" fontId="215" fillId="110" borderId="73" applyProtection="0">
      <alignment vertical="center"/>
    </xf>
    <xf numFmtId="172" fontId="215" fillId="111" borderId="73">
      <alignment vertical="center"/>
    </xf>
    <xf numFmtId="172" fontId="215" fillId="111" borderId="73">
      <alignment vertical="center"/>
    </xf>
    <xf numFmtId="172" fontId="215" fillId="111" borderId="73" applyProtection="0">
      <alignment vertical="center"/>
    </xf>
    <xf numFmtId="172" fontId="215" fillId="111" borderId="73">
      <alignment vertical="center"/>
    </xf>
    <xf numFmtId="172" fontId="215" fillId="111" borderId="73">
      <alignment vertical="center"/>
    </xf>
    <xf numFmtId="172" fontId="215" fillId="111" borderId="73" applyProtection="0">
      <alignment vertical="center"/>
    </xf>
    <xf numFmtId="172" fontId="215" fillId="111" borderId="73">
      <alignment vertical="center"/>
    </xf>
    <xf numFmtId="172" fontId="215" fillId="111" borderId="73">
      <alignment vertical="center"/>
    </xf>
    <xf numFmtId="172" fontId="215" fillId="111" borderId="73" applyProtection="0">
      <alignment vertical="center"/>
    </xf>
    <xf numFmtId="172" fontId="215" fillId="111" borderId="73">
      <alignment vertical="center"/>
    </xf>
    <xf numFmtId="172" fontId="215" fillId="111" borderId="73" applyProtection="0">
      <alignment vertical="center"/>
    </xf>
    <xf numFmtId="192" fontId="215" fillId="111" borderId="73">
      <alignment vertical="center"/>
    </xf>
    <xf numFmtId="192" fontId="215" fillId="110" borderId="73">
      <alignment vertical="center"/>
    </xf>
    <xf numFmtId="192" fontId="215" fillId="102" borderId="73">
      <alignment vertical="center"/>
    </xf>
    <xf numFmtId="192" fontId="215" fillId="102" borderId="73">
      <alignment vertical="center"/>
    </xf>
    <xf numFmtId="192" fontId="215" fillId="102" borderId="73" applyProtection="0">
      <alignment vertical="center"/>
    </xf>
    <xf numFmtId="192" fontId="215" fillId="110" borderId="73">
      <alignment vertical="center"/>
    </xf>
    <xf numFmtId="192" fontId="215" fillId="110" borderId="73" applyProtection="0">
      <alignment vertical="center"/>
    </xf>
    <xf numFmtId="192" fontId="215" fillId="111" borderId="73">
      <alignment vertical="center"/>
    </xf>
    <xf numFmtId="192" fontId="215" fillId="111" borderId="73">
      <alignment vertical="center"/>
    </xf>
    <xf numFmtId="192" fontId="215" fillId="111" borderId="73" applyProtection="0">
      <alignment vertical="center"/>
    </xf>
    <xf numFmtId="192" fontId="215" fillId="111" borderId="73">
      <alignment vertical="center"/>
    </xf>
    <xf numFmtId="192" fontId="215" fillId="111" borderId="73">
      <alignment vertical="center"/>
    </xf>
    <xf numFmtId="192" fontId="215" fillId="111" borderId="73" applyProtection="0">
      <alignment vertical="center"/>
    </xf>
    <xf numFmtId="192" fontId="215" fillId="111" borderId="73">
      <alignment vertical="center"/>
    </xf>
    <xf numFmtId="192" fontId="215" fillId="111" borderId="73">
      <alignment vertical="center"/>
    </xf>
    <xf numFmtId="192" fontId="215" fillId="111" borderId="73" applyProtection="0">
      <alignment vertical="center"/>
    </xf>
    <xf numFmtId="192" fontId="215" fillId="111" borderId="73">
      <alignment vertical="center"/>
    </xf>
    <xf numFmtId="192" fontId="215" fillId="111" borderId="73" applyProtection="0">
      <alignment vertical="center"/>
    </xf>
    <xf numFmtId="3" fontId="215" fillId="111" borderId="73">
      <alignment vertical="center"/>
    </xf>
    <xf numFmtId="3" fontId="215" fillId="110" borderId="73">
      <alignment vertical="center"/>
    </xf>
    <xf numFmtId="3" fontId="215" fillId="102" borderId="73">
      <alignment vertical="center"/>
    </xf>
    <xf numFmtId="3" fontId="215" fillId="102" borderId="73">
      <alignment vertical="center"/>
    </xf>
    <xf numFmtId="3" fontId="215" fillId="102" borderId="73" applyProtection="0">
      <alignment vertical="center"/>
    </xf>
    <xf numFmtId="3" fontId="215" fillId="110" borderId="73">
      <alignment vertical="center"/>
    </xf>
    <xf numFmtId="3" fontId="215" fillId="110" borderId="73" applyProtection="0">
      <alignment vertical="center"/>
    </xf>
    <xf numFmtId="3" fontId="215" fillId="111" borderId="73">
      <alignment vertical="center"/>
    </xf>
    <xf numFmtId="3" fontId="215" fillId="111" borderId="73">
      <alignment vertical="center"/>
    </xf>
    <xf numFmtId="3" fontId="215" fillId="111" borderId="73" applyProtection="0">
      <alignment vertical="center"/>
    </xf>
    <xf numFmtId="3" fontId="215" fillId="111" borderId="73">
      <alignment vertical="center"/>
    </xf>
    <xf numFmtId="3" fontId="215" fillId="111" borderId="73">
      <alignment vertical="center"/>
    </xf>
    <xf numFmtId="3" fontId="215" fillId="111" borderId="73" applyProtection="0">
      <alignment vertical="center"/>
    </xf>
    <xf numFmtId="3" fontId="215" fillId="111" borderId="73">
      <alignment vertical="center"/>
    </xf>
    <xf numFmtId="3" fontId="215" fillId="111" borderId="73">
      <alignment vertical="center"/>
    </xf>
    <xf numFmtId="3" fontId="215" fillId="111" borderId="73" applyProtection="0">
      <alignment vertical="center"/>
    </xf>
    <xf numFmtId="3" fontId="215" fillId="111" borderId="73">
      <alignment vertical="center"/>
    </xf>
    <xf numFmtId="3" fontId="215" fillId="111" borderId="73" applyProtection="0">
      <alignment vertical="center"/>
    </xf>
    <xf numFmtId="0" fontId="216" fillId="111" borderId="73">
      <alignment vertical="center"/>
    </xf>
    <xf numFmtId="193" fontId="216" fillId="110" borderId="73">
      <alignment vertical="center"/>
    </xf>
    <xf numFmtId="193" fontId="217" fillId="102" borderId="73">
      <alignment vertical="center"/>
    </xf>
    <xf numFmtId="209" fontId="217" fillId="102" borderId="73">
      <alignment vertical="center"/>
    </xf>
    <xf numFmtId="206" fontId="217" fillId="102" borderId="73" applyProtection="0">
      <alignment vertical="center"/>
    </xf>
    <xf numFmtId="209" fontId="216" fillId="110" borderId="73">
      <alignment vertical="center"/>
    </xf>
    <xf numFmtId="206" fontId="216" fillId="110" borderId="73" applyProtection="0">
      <alignment vertical="center"/>
    </xf>
    <xf numFmtId="193" fontId="216" fillId="111" borderId="73">
      <alignment vertical="center"/>
    </xf>
    <xf numFmtId="209" fontId="216" fillId="111" borderId="73">
      <alignment vertical="center"/>
    </xf>
    <xf numFmtId="206" fontId="216" fillId="111" borderId="73" applyProtection="0">
      <alignment vertical="center"/>
    </xf>
    <xf numFmtId="193" fontId="216" fillId="111" borderId="73">
      <alignment vertical="center"/>
    </xf>
    <xf numFmtId="209" fontId="216" fillId="111" borderId="73">
      <alignment vertical="center"/>
    </xf>
    <xf numFmtId="206" fontId="216" fillId="111" borderId="73" applyProtection="0">
      <alignment vertical="center"/>
    </xf>
    <xf numFmtId="193" fontId="217" fillId="111" borderId="73">
      <alignment vertical="center"/>
    </xf>
    <xf numFmtId="209" fontId="217" fillId="111" borderId="73">
      <alignment vertical="center"/>
    </xf>
    <xf numFmtId="206" fontId="217" fillId="111" borderId="73" applyProtection="0">
      <alignment vertical="center"/>
    </xf>
    <xf numFmtId="0" fontId="216" fillId="111" borderId="73">
      <alignment vertical="center"/>
    </xf>
    <xf numFmtId="0" fontId="216" fillId="111" borderId="73" applyNumberFormat="0" applyProtection="0">
      <alignment vertical="center"/>
    </xf>
    <xf numFmtId="0" fontId="216" fillId="111" borderId="73">
      <alignment vertical="center"/>
    </xf>
    <xf numFmtId="194" fontId="216" fillId="110" borderId="73">
      <alignment vertical="center"/>
    </xf>
    <xf numFmtId="194" fontId="217" fillId="102" borderId="73">
      <alignment vertical="center"/>
    </xf>
    <xf numFmtId="210" fontId="217" fillId="102" borderId="73">
      <alignment vertical="center"/>
    </xf>
    <xf numFmtId="207" fontId="217" fillId="102" borderId="73" applyProtection="0">
      <alignment vertical="center"/>
    </xf>
    <xf numFmtId="210" fontId="216" fillId="110" borderId="73">
      <alignment vertical="center"/>
    </xf>
    <xf numFmtId="207" fontId="216" fillId="110" borderId="73" applyProtection="0">
      <alignment vertical="center"/>
    </xf>
    <xf numFmtId="194" fontId="216" fillId="111" borderId="73">
      <alignment vertical="center"/>
    </xf>
    <xf numFmtId="210" fontId="216" fillId="111" borderId="73">
      <alignment vertical="center"/>
    </xf>
    <xf numFmtId="207" fontId="216" fillId="111" borderId="73" applyProtection="0">
      <alignment vertical="center"/>
    </xf>
    <xf numFmtId="194" fontId="216" fillId="111" borderId="73">
      <alignment vertical="center"/>
    </xf>
    <xf numFmtId="210" fontId="216" fillId="111" borderId="73">
      <alignment vertical="center"/>
    </xf>
    <xf numFmtId="207" fontId="216" fillId="111" borderId="73" applyProtection="0">
      <alignment vertical="center"/>
    </xf>
    <xf numFmtId="194" fontId="217" fillId="111" borderId="73">
      <alignment vertical="center"/>
    </xf>
    <xf numFmtId="210" fontId="217" fillId="111" borderId="73">
      <alignment vertical="center"/>
    </xf>
    <xf numFmtId="207" fontId="217" fillId="111" borderId="73" applyProtection="0">
      <alignment vertical="center"/>
    </xf>
    <xf numFmtId="0" fontId="216" fillId="111" borderId="73">
      <alignment vertical="center"/>
    </xf>
    <xf numFmtId="0" fontId="216" fillId="111" borderId="73" applyNumberFormat="0" applyProtection="0">
      <alignment vertical="center"/>
    </xf>
    <xf numFmtId="0" fontId="216" fillId="111" borderId="73">
      <alignment vertical="center"/>
    </xf>
    <xf numFmtId="195" fontId="216" fillId="110" borderId="73">
      <alignment vertical="center"/>
    </xf>
    <xf numFmtId="195" fontId="217" fillId="102" borderId="73">
      <alignment vertical="center"/>
    </xf>
    <xf numFmtId="211" fontId="217" fillId="102" borderId="73">
      <alignment vertical="center"/>
    </xf>
    <xf numFmtId="208" fontId="217" fillId="102" borderId="73" applyProtection="0">
      <alignment vertical="center"/>
    </xf>
    <xf numFmtId="211" fontId="216" fillId="110" borderId="73">
      <alignment vertical="center"/>
    </xf>
    <xf numFmtId="208" fontId="216" fillId="110" borderId="73" applyProtection="0">
      <alignment vertical="center"/>
    </xf>
    <xf numFmtId="195" fontId="216" fillId="111" borderId="73">
      <alignment vertical="center"/>
    </xf>
    <xf numFmtId="211" fontId="216" fillId="111" borderId="73">
      <alignment vertical="center"/>
    </xf>
    <xf numFmtId="208" fontId="216" fillId="111" borderId="73" applyProtection="0">
      <alignment vertical="center"/>
    </xf>
    <xf numFmtId="195" fontId="216" fillId="111" borderId="73">
      <alignment vertical="center"/>
    </xf>
    <xf numFmtId="211" fontId="216" fillId="111" borderId="73">
      <alignment vertical="center"/>
    </xf>
    <xf numFmtId="208" fontId="216" fillId="111" borderId="73" applyProtection="0">
      <alignment vertical="center"/>
    </xf>
    <xf numFmtId="195" fontId="217" fillId="111" borderId="73">
      <alignment vertical="center"/>
    </xf>
    <xf numFmtId="211" fontId="217" fillId="111" borderId="73">
      <alignment vertical="center"/>
    </xf>
    <xf numFmtId="208" fontId="217" fillId="111" borderId="73" applyProtection="0">
      <alignment vertical="center"/>
    </xf>
    <xf numFmtId="0" fontId="216" fillId="111" borderId="73">
      <alignment vertical="center"/>
    </xf>
    <xf numFmtId="0" fontId="216" fillId="111" borderId="73" applyNumberFormat="0" applyProtection="0">
      <alignment vertical="center"/>
    </xf>
    <xf numFmtId="196" fontId="218" fillId="111" borderId="73">
      <alignment vertical="center"/>
    </xf>
    <xf numFmtId="196" fontId="218" fillId="110" borderId="73">
      <alignment vertical="center"/>
    </xf>
    <xf numFmtId="196" fontId="218" fillId="102" borderId="73">
      <alignment vertical="center"/>
    </xf>
    <xf numFmtId="196" fontId="218" fillId="102" borderId="73">
      <alignment vertical="center"/>
    </xf>
    <xf numFmtId="196" fontId="218" fillId="102" borderId="73" applyProtection="0">
      <alignment vertical="center"/>
    </xf>
    <xf numFmtId="196" fontId="218" fillId="110" borderId="73">
      <alignment vertical="center"/>
    </xf>
    <xf numFmtId="196" fontId="218" fillId="110" borderId="73" applyProtection="0">
      <alignment vertical="center"/>
    </xf>
    <xf numFmtId="196" fontId="218" fillId="111" borderId="73">
      <alignment vertical="center"/>
    </xf>
    <xf numFmtId="196" fontId="218" fillId="111" borderId="73">
      <alignment vertical="center"/>
    </xf>
    <xf numFmtId="196" fontId="218" fillId="111" borderId="73" applyProtection="0">
      <alignment vertical="center"/>
    </xf>
    <xf numFmtId="196" fontId="218" fillId="111" borderId="73">
      <alignment vertical="center"/>
    </xf>
    <xf numFmtId="196" fontId="218" fillId="111" borderId="73">
      <alignment vertical="center"/>
    </xf>
    <xf numFmtId="196" fontId="218" fillId="111" borderId="73" applyProtection="0">
      <alignment vertical="center"/>
    </xf>
    <xf numFmtId="196" fontId="218" fillId="111" borderId="73">
      <alignment vertical="center"/>
    </xf>
    <xf numFmtId="196" fontId="218" fillId="111" borderId="73">
      <alignment vertical="center"/>
    </xf>
    <xf numFmtId="196" fontId="218" fillId="111" borderId="73" applyProtection="0">
      <alignment vertical="center"/>
    </xf>
    <xf numFmtId="196" fontId="218" fillId="111" borderId="73">
      <alignment vertical="center"/>
    </xf>
    <xf numFmtId="196" fontId="218" fillId="111" borderId="73" applyProtection="0">
      <alignment vertical="center"/>
    </xf>
    <xf numFmtId="197" fontId="218" fillId="111" borderId="73">
      <alignment vertical="center"/>
    </xf>
    <xf numFmtId="197" fontId="218" fillId="110" borderId="73">
      <alignment vertical="center"/>
    </xf>
    <xf numFmtId="197" fontId="218" fillId="102" borderId="73">
      <alignment vertical="center"/>
    </xf>
    <xf numFmtId="197" fontId="218" fillId="102" borderId="73">
      <alignment vertical="center"/>
    </xf>
    <xf numFmtId="197" fontId="218" fillId="102" borderId="73" applyProtection="0">
      <alignment vertical="center"/>
    </xf>
    <xf numFmtId="197" fontId="218" fillId="110" borderId="73">
      <alignment vertical="center"/>
    </xf>
    <xf numFmtId="197" fontId="218" fillId="110" borderId="73" applyProtection="0">
      <alignment vertical="center"/>
    </xf>
    <xf numFmtId="197" fontId="218" fillId="111" borderId="73">
      <alignment vertical="center"/>
    </xf>
    <xf numFmtId="197" fontId="218" fillId="111" borderId="73">
      <alignment vertical="center"/>
    </xf>
    <xf numFmtId="197" fontId="218" fillId="111" borderId="73" applyProtection="0">
      <alignment vertical="center"/>
    </xf>
    <xf numFmtId="197" fontId="218" fillId="111" borderId="73">
      <alignment vertical="center"/>
    </xf>
    <xf numFmtId="197" fontId="218" fillId="111" borderId="73">
      <alignment vertical="center"/>
    </xf>
    <xf numFmtId="197" fontId="218" fillId="111" borderId="73" applyProtection="0">
      <alignment vertical="center"/>
    </xf>
    <xf numFmtId="197" fontId="218" fillId="111" borderId="73">
      <alignment vertical="center"/>
    </xf>
    <xf numFmtId="197" fontId="218" fillId="111" borderId="73">
      <alignment vertical="center"/>
    </xf>
    <xf numFmtId="197" fontId="218" fillId="111" borderId="73" applyProtection="0">
      <alignment vertical="center"/>
    </xf>
    <xf numFmtId="197" fontId="218" fillId="111" borderId="73">
      <alignment vertical="center"/>
    </xf>
    <xf numFmtId="197" fontId="218" fillId="111" borderId="73" applyProtection="0">
      <alignment vertical="center"/>
    </xf>
    <xf numFmtId="198" fontId="218" fillId="111" borderId="73">
      <alignment vertical="center"/>
    </xf>
    <xf numFmtId="198" fontId="218" fillId="110" borderId="73">
      <alignment vertical="center"/>
    </xf>
    <xf numFmtId="198" fontId="218" fillId="102" borderId="73">
      <alignment vertical="center"/>
    </xf>
    <xf numFmtId="198" fontId="218" fillId="102" borderId="73">
      <alignment vertical="center"/>
    </xf>
    <xf numFmtId="198" fontId="218" fillId="102" borderId="73" applyProtection="0">
      <alignment vertical="center"/>
    </xf>
    <xf numFmtId="198" fontId="218" fillId="110" borderId="73">
      <alignment vertical="center"/>
    </xf>
    <xf numFmtId="198" fontId="218" fillId="110" borderId="73" applyProtection="0">
      <alignment vertical="center"/>
    </xf>
    <xf numFmtId="198" fontId="218" fillId="111" borderId="73">
      <alignment vertical="center"/>
    </xf>
    <xf numFmtId="198" fontId="218" fillId="111" borderId="73">
      <alignment vertical="center"/>
    </xf>
    <xf numFmtId="198" fontId="218" fillId="111" borderId="73" applyProtection="0">
      <alignment vertical="center"/>
    </xf>
    <xf numFmtId="198" fontId="218" fillId="111" borderId="73">
      <alignment vertical="center"/>
    </xf>
    <xf numFmtId="198" fontId="218" fillId="111" borderId="73">
      <alignment vertical="center"/>
    </xf>
    <xf numFmtId="198" fontId="218" fillId="111" borderId="73" applyProtection="0">
      <alignment vertical="center"/>
    </xf>
    <xf numFmtId="198" fontId="218" fillId="111" borderId="73">
      <alignment vertical="center"/>
    </xf>
    <xf numFmtId="198" fontId="218" fillId="111" borderId="73">
      <alignment vertical="center"/>
    </xf>
    <xf numFmtId="198" fontId="218" fillId="111" borderId="73" applyProtection="0">
      <alignment vertical="center"/>
    </xf>
    <xf numFmtId="198" fontId="218" fillId="111" borderId="73">
      <alignment vertical="center"/>
    </xf>
    <xf numFmtId="198" fontId="218" fillId="111" borderId="73" applyProtection="0">
      <alignment vertical="center"/>
    </xf>
    <xf numFmtId="165" fontId="219" fillId="111" borderId="73">
      <alignment vertical="center"/>
    </xf>
    <xf numFmtId="165" fontId="220" fillId="110" borderId="73">
      <alignment vertical="center"/>
    </xf>
    <xf numFmtId="165" fontId="221" fillId="102" borderId="73">
      <alignment vertical="center"/>
    </xf>
    <xf numFmtId="165" fontId="221" fillId="102" borderId="73">
      <alignment vertical="center"/>
    </xf>
    <xf numFmtId="165" fontId="221" fillId="102" borderId="73" applyProtection="0">
      <alignment vertical="center"/>
    </xf>
    <xf numFmtId="165" fontId="220" fillId="110" borderId="73">
      <alignment vertical="center"/>
    </xf>
    <xf numFmtId="165" fontId="220" fillId="110" borderId="73" applyProtection="0">
      <alignment vertical="center"/>
    </xf>
    <xf numFmtId="165" fontId="219" fillId="111" borderId="73">
      <alignment vertical="center"/>
    </xf>
    <xf numFmtId="165" fontId="219" fillId="111" borderId="73">
      <alignment vertical="center"/>
    </xf>
    <xf numFmtId="165" fontId="219" fillId="111" borderId="73" applyProtection="0">
      <alignment vertical="center"/>
    </xf>
    <xf numFmtId="165" fontId="222" fillId="111" borderId="73">
      <alignment vertical="center"/>
    </xf>
    <xf numFmtId="165" fontId="222" fillId="111" borderId="73">
      <alignment vertical="center"/>
    </xf>
    <xf numFmtId="165" fontId="222" fillId="111" borderId="73" applyProtection="0">
      <alignment vertical="center"/>
    </xf>
    <xf numFmtId="165" fontId="221" fillId="111" borderId="73">
      <alignment vertical="center"/>
    </xf>
    <xf numFmtId="165" fontId="221" fillId="111" borderId="73">
      <alignment vertical="center"/>
    </xf>
    <xf numFmtId="165" fontId="221" fillId="111" borderId="73" applyProtection="0">
      <alignment vertical="center"/>
    </xf>
    <xf numFmtId="165" fontId="219" fillId="111" borderId="73">
      <alignment vertical="center"/>
    </xf>
    <xf numFmtId="165" fontId="219" fillId="111" borderId="73" applyProtection="0">
      <alignment vertical="center"/>
    </xf>
    <xf numFmtId="199" fontId="219" fillId="111" borderId="73">
      <alignment vertical="center"/>
    </xf>
    <xf numFmtId="199" fontId="220" fillId="110" borderId="73">
      <alignment vertical="center"/>
    </xf>
    <xf numFmtId="199" fontId="221" fillId="102" borderId="73">
      <alignment vertical="center"/>
    </xf>
    <xf numFmtId="199" fontId="221" fillId="102" borderId="73">
      <alignment vertical="center"/>
    </xf>
    <xf numFmtId="199" fontId="221" fillId="102" borderId="73" applyProtection="0">
      <alignment vertical="center"/>
    </xf>
    <xf numFmtId="199" fontId="220" fillId="110" borderId="73">
      <alignment vertical="center"/>
    </xf>
    <xf numFmtId="199" fontId="220" fillId="110" borderId="73" applyProtection="0">
      <alignment vertical="center"/>
    </xf>
    <xf numFmtId="199" fontId="219" fillId="111" borderId="73">
      <alignment vertical="center"/>
    </xf>
    <xf numFmtId="199" fontId="219" fillId="111" borderId="73">
      <alignment vertical="center"/>
    </xf>
    <xf numFmtId="199" fontId="219" fillId="111" borderId="73" applyProtection="0">
      <alignment vertical="center"/>
    </xf>
    <xf numFmtId="199" fontId="222" fillId="111" borderId="73">
      <alignment vertical="center"/>
    </xf>
    <xf numFmtId="199" fontId="222" fillId="111" borderId="73">
      <alignment vertical="center"/>
    </xf>
    <xf numFmtId="199" fontId="222" fillId="111" borderId="73" applyProtection="0">
      <alignment vertical="center"/>
    </xf>
    <xf numFmtId="199" fontId="221" fillId="111" borderId="73">
      <alignment vertical="center"/>
    </xf>
    <xf numFmtId="199" fontId="221" fillId="111" borderId="73">
      <alignment vertical="center"/>
    </xf>
    <xf numFmtId="199" fontId="221" fillId="111" borderId="73" applyProtection="0">
      <alignment vertical="center"/>
    </xf>
    <xf numFmtId="199" fontId="219" fillId="111" borderId="73">
      <alignment vertical="center"/>
    </xf>
    <xf numFmtId="199" fontId="219" fillId="111" borderId="73" applyProtection="0">
      <alignment vertical="center"/>
    </xf>
    <xf numFmtId="185" fontId="219" fillId="111" borderId="73">
      <alignment vertical="center"/>
    </xf>
    <xf numFmtId="185" fontId="220" fillId="110" borderId="73">
      <alignment vertical="center"/>
    </xf>
    <xf numFmtId="185" fontId="221" fillId="102" borderId="73">
      <alignment vertical="center"/>
    </xf>
    <xf numFmtId="185" fontId="221" fillId="102" borderId="73">
      <alignment vertical="center"/>
    </xf>
    <xf numFmtId="185" fontId="221" fillId="102" borderId="73" applyProtection="0">
      <alignment vertical="center"/>
    </xf>
    <xf numFmtId="185" fontId="220" fillId="110" borderId="73">
      <alignment vertical="center"/>
    </xf>
    <xf numFmtId="185" fontId="220" fillId="110" borderId="73" applyProtection="0">
      <alignment vertical="center"/>
    </xf>
    <xf numFmtId="185" fontId="219" fillId="111" borderId="73">
      <alignment vertical="center"/>
    </xf>
    <xf numFmtId="185" fontId="219" fillId="111" borderId="73">
      <alignment vertical="center"/>
    </xf>
    <xf numFmtId="185" fontId="219" fillId="111" borderId="73" applyProtection="0">
      <alignment vertical="center"/>
    </xf>
    <xf numFmtId="185" fontId="222" fillId="111" borderId="73">
      <alignment vertical="center"/>
    </xf>
    <xf numFmtId="185" fontId="222" fillId="111" borderId="73">
      <alignment vertical="center"/>
    </xf>
    <xf numFmtId="185" fontId="222" fillId="111" borderId="73" applyProtection="0">
      <alignment vertical="center"/>
    </xf>
    <xf numFmtId="185" fontId="221" fillId="111" borderId="73">
      <alignment vertical="center"/>
    </xf>
    <xf numFmtId="185" fontId="221" fillId="111" borderId="73">
      <alignment vertical="center"/>
    </xf>
    <xf numFmtId="185" fontId="221" fillId="111" borderId="73" applyProtection="0">
      <alignment vertical="center"/>
    </xf>
    <xf numFmtId="185" fontId="219" fillId="111" borderId="73">
      <alignment vertical="center"/>
    </xf>
    <xf numFmtId="185" fontId="219" fillId="111" borderId="73" applyProtection="0">
      <alignment vertical="center"/>
    </xf>
    <xf numFmtId="0" fontId="223" fillId="111" borderId="73">
      <alignment vertical="center"/>
    </xf>
    <xf numFmtId="0" fontId="224" fillId="110" borderId="73">
      <alignment vertical="center"/>
    </xf>
    <xf numFmtId="0" fontId="224" fillId="102" borderId="73">
      <alignment vertical="center"/>
    </xf>
    <xf numFmtId="0" fontId="224" fillId="102" borderId="73">
      <alignment vertical="center"/>
    </xf>
    <xf numFmtId="0" fontId="224" fillId="102" borderId="73" applyNumberFormat="0" applyProtection="0">
      <alignment vertical="center"/>
    </xf>
    <xf numFmtId="0" fontId="224" fillId="110" borderId="73">
      <alignment vertical="center"/>
    </xf>
    <xf numFmtId="0" fontId="224" fillId="110" borderId="73" applyNumberFormat="0" applyProtection="0">
      <alignment vertical="center"/>
    </xf>
    <xf numFmtId="0" fontId="224" fillId="111" borderId="73">
      <alignment vertical="center"/>
    </xf>
    <xf numFmtId="0" fontId="224" fillId="111" borderId="73">
      <alignment vertical="center"/>
    </xf>
    <xf numFmtId="0" fontId="224" fillId="111" borderId="73" applyNumberFormat="0" applyProtection="0">
      <alignment vertical="center"/>
    </xf>
    <xf numFmtId="0" fontId="224" fillId="111" borderId="73">
      <alignment vertical="center"/>
    </xf>
    <xf numFmtId="0" fontId="224" fillId="111" borderId="73">
      <alignment vertical="center"/>
    </xf>
    <xf numFmtId="0" fontId="224" fillId="111" borderId="73" applyNumberFormat="0" applyProtection="0">
      <alignment vertical="center"/>
    </xf>
    <xf numFmtId="0" fontId="224" fillId="111" borderId="73">
      <alignment vertical="center"/>
    </xf>
    <xf numFmtId="0" fontId="224" fillId="111" borderId="73">
      <alignment vertical="center"/>
    </xf>
    <xf numFmtId="0" fontId="224" fillId="111" borderId="73" applyNumberFormat="0" applyProtection="0">
      <alignment vertical="center"/>
    </xf>
    <xf numFmtId="0" fontId="223" fillId="111" borderId="73">
      <alignment vertical="center"/>
    </xf>
    <xf numFmtId="0" fontId="223" fillId="111" borderId="73" applyNumberFormat="0" applyProtection="0">
      <alignment vertical="center"/>
    </xf>
    <xf numFmtId="0" fontId="223" fillId="111" borderId="73">
      <alignment horizontal="left" vertical="center"/>
    </xf>
    <xf numFmtId="0" fontId="223" fillId="110" borderId="73">
      <alignment horizontal="left" vertical="center"/>
    </xf>
    <xf numFmtId="0" fontId="223" fillId="102" borderId="73">
      <alignment horizontal="left" vertical="center"/>
    </xf>
    <xf numFmtId="0" fontId="223" fillId="102" borderId="73">
      <alignment horizontal="left" vertical="center"/>
    </xf>
    <xf numFmtId="0" fontId="223" fillId="102" borderId="73" applyNumberFormat="0" applyProtection="0">
      <alignment horizontal="left" vertical="center"/>
    </xf>
    <xf numFmtId="0" fontId="223" fillId="110" borderId="73">
      <alignment horizontal="left" vertical="center"/>
    </xf>
    <xf numFmtId="0" fontId="223" fillId="110" borderId="73" applyNumberFormat="0" applyProtection="0">
      <alignment horizontal="left" vertical="center"/>
    </xf>
    <xf numFmtId="0" fontId="223" fillId="111" borderId="73">
      <alignment horizontal="left" vertical="center"/>
    </xf>
    <xf numFmtId="0" fontId="223" fillId="111" borderId="73">
      <alignment horizontal="left" vertical="center"/>
    </xf>
    <xf numFmtId="0" fontId="223" fillId="111" borderId="73" applyNumberFormat="0" applyProtection="0">
      <alignment horizontal="left" vertical="center"/>
    </xf>
    <xf numFmtId="0" fontId="223" fillId="111" borderId="73">
      <alignment horizontal="left" vertical="center"/>
    </xf>
    <xf numFmtId="0" fontId="223" fillId="111" borderId="73">
      <alignment horizontal="left" vertical="center"/>
    </xf>
    <xf numFmtId="0" fontId="223" fillId="111" borderId="73" applyNumberFormat="0" applyProtection="0">
      <alignment horizontal="left" vertical="center"/>
    </xf>
    <xf numFmtId="0" fontId="223" fillId="111" borderId="73">
      <alignment horizontal="left" vertical="center"/>
    </xf>
    <xf numFmtId="0" fontId="223" fillId="111" borderId="73">
      <alignment horizontal="left" vertical="center"/>
    </xf>
    <xf numFmtId="0" fontId="223" fillId="111" borderId="73" applyNumberFormat="0" applyProtection="0">
      <alignment horizontal="left" vertical="center"/>
    </xf>
    <xf numFmtId="0" fontId="223" fillId="111" borderId="73">
      <alignment horizontal="left" vertical="center"/>
    </xf>
    <xf numFmtId="0" fontId="223" fillId="111" borderId="73" applyNumberFormat="0" applyProtection="0">
      <alignment horizontal="left" vertical="center"/>
    </xf>
    <xf numFmtId="171" fontId="225" fillId="124" borderId="73">
      <alignment vertical="center"/>
    </xf>
    <xf numFmtId="171" fontId="225" fillId="92" borderId="73">
      <alignment vertical="center"/>
    </xf>
    <xf numFmtId="171" fontId="225" fillId="92" borderId="73">
      <alignment vertical="center"/>
    </xf>
    <xf numFmtId="171" fontId="225" fillId="92" borderId="73" applyProtection="0">
      <alignment vertical="center"/>
    </xf>
    <xf numFmtId="171" fontId="225" fillId="118" borderId="73">
      <alignment vertical="center"/>
    </xf>
    <xf numFmtId="171" fontId="225" fillId="118" borderId="73">
      <alignment vertical="center"/>
    </xf>
    <xf numFmtId="171" fontId="225" fillId="118" borderId="73" applyProtection="0">
      <alignment vertical="center"/>
    </xf>
    <xf numFmtId="171" fontId="225" fillId="125" borderId="73">
      <alignment vertical="center"/>
    </xf>
    <xf numFmtId="171" fontId="225" fillId="125" borderId="73">
      <alignment vertical="center"/>
    </xf>
    <xf numFmtId="171" fontId="225" fillId="125" borderId="73" applyProtection="0">
      <alignment vertical="center"/>
    </xf>
    <xf numFmtId="171" fontId="225" fillId="124" borderId="73">
      <alignment vertical="center"/>
    </xf>
    <xf numFmtId="171" fontId="225" fillId="124" borderId="73">
      <alignment vertical="center"/>
    </xf>
    <xf numFmtId="171" fontId="225" fillId="124" borderId="73" applyProtection="0">
      <alignment vertical="center"/>
    </xf>
    <xf numFmtId="171" fontId="225" fillId="124" borderId="73">
      <alignment vertical="center"/>
    </xf>
    <xf numFmtId="171" fontId="225" fillId="124" borderId="73" applyProtection="0">
      <alignment vertical="center"/>
    </xf>
    <xf numFmtId="4" fontId="225" fillId="124" borderId="73">
      <alignment vertical="center"/>
    </xf>
    <xf numFmtId="4" fontId="225" fillId="92" borderId="73">
      <alignment vertical="center"/>
    </xf>
    <xf numFmtId="4" fontId="225" fillId="92" borderId="73">
      <alignment vertical="center"/>
    </xf>
    <xf numFmtId="4" fontId="225" fillId="92" borderId="73" applyProtection="0">
      <alignment vertical="center"/>
    </xf>
    <xf numFmtId="4" fontId="225" fillId="118" borderId="73">
      <alignment vertical="center"/>
    </xf>
    <xf numFmtId="4" fontId="225" fillId="118" borderId="73">
      <alignment vertical="center"/>
    </xf>
    <xf numFmtId="4" fontId="225" fillId="118" borderId="73" applyProtection="0">
      <alignment vertical="center"/>
    </xf>
    <xf numFmtId="4" fontId="225" fillId="125" borderId="73">
      <alignment vertical="center"/>
    </xf>
    <xf numFmtId="4" fontId="225" fillId="125" borderId="73">
      <alignment vertical="center"/>
    </xf>
    <xf numFmtId="4" fontId="225" fillId="125" borderId="73" applyProtection="0">
      <alignment vertical="center"/>
    </xf>
    <xf numFmtId="4" fontId="225" fillId="124" borderId="73">
      <alignment vertical="center"/>
    </xf>
    <xf numFmtId="4" fontId="225" fillId="124" borderId="73">
      <alignment vertical="center"/>
    </xf>
    <xf numFmtId="4" fontId="225" fillId="124" borderId="73" applyProtection="0">
      <alignment vertical="center"/>
    </xf>
    <xf numFmtId="4" fontId="225" fillId="124" borderId="73">
      <alignment vertical="center"/>
    </xf>
    <xf numFmtId="4" fontId="225" fillId="124" borderId="73" applyProtection="0">
      <alignment vertical="center"/>
    </xf>
    <xf numFmtId="172" fontId="225" fillId="124" borderId="73">
      <alignment vertical="center"/>
    </xf>
    <xf numFmtId="172" fontId="225" fillId="92" borderId="73">
      <alignment vertical="center"/>
    </xf>
    <xf numFmtId="172" fontId="225" fillId="92" borderId="73">
      <alignment vertical="center"/>
    </xf>
    <xf numFmtId="172" fontId="225" fillId="92" borderId="73" applyProtection="0">
      <alignment vertical="center"/>
    </xf>
    <xf numFmtId="172" fontId="225" fillId="118" borderId="73">
      <alignment vertical="center"/>
    </xf>
    <xf numFmtId="172" fontId="225" fillId="118" borderId="73">
      <alignment vertical="center"/>
    </xf>
    <xf numFmtId="172" fontId="225" fillId="118" borderId="73" applyProtection="0">
      <alignment vertical="center"/>
    </xf>
    <xf numFmtId="172" fontId="225" fillId="125" borderId="73">
      <alignment vertical="center"/>
    </xf>
    <xf numFmtId="172" fontId="225" fillId="125" borderId="73">
      <alignment vertical="center"/>
    </xf>
    <xf numFmtId="172" fontId="225" fillId="125" borderId="73" applyProtection="0">
      <alignment vertical="center"/>
    </xf>
    <xf numFmtId="172" fontId="225" fillId="124" borderId="73">
      <alignment vertical="center"/>
    </xf>
    <xf numFmtId="172" fontId="225" fillId="124" borderId="73">
      <alignment vertical="center"/>
    </xf>
    <xf numFmtId="172" fontId="225" fillId="124" borderId="73" applyProtection="0">
      <alignment vertical="center"/>
    </xf>
    <xf numFmtId="172" fontId="225" fillId="124" borderId="73">
      <alignment vertical="center"/>
    </xf>
    <xf numFmtId="172" fontId="225" fillId="124" borderId="73" applyProtection="0">
      <alignment vertical="center"/>
    </xf>
    <xf numFmtId="192" fontId="225" fillId="124" borderId="73">
      <alignment vertical="center"/>
    </xf>
    <xf numFmtId="192" fontId="225" fillId="92" borderId="73">
      <alignment vertical="center"/>
    </xf>
    <xf numFmtId="192" fontId="225" fillId="92" borderId="73">
      <alignment vertical="center"/>
    </xf>
    <xf numFmtId="192" fontId="225" fillId="92" borderId="73" applyProtection="0">
      <alignment vertical="center"/>
    </xf>
    <xf numFmtId="192" fontId="225" fillId="118" borderId="73">
      <alignment vertical="center"/>
    </xf>
    <xf numFmtId="192" fontId="225" fillId="118" borderId="73">
      <alignment vertical="center"/>
    </xf>
    <xf numFmtId="192" fontId="225" fillId="118" borderId="73" applyProtection="0">
      <alignment vertical="center"/>
    </xf>
    <xf numFmtId="192" fontId="225" fillId="125" borderId="73">
      <alignment vertical="center"/>
    </xf>
    <xf numFmtId="192" fontId="225" fillId="125" borderId="73">
      <alignment vertical="center"/>
    </xf>
    <xf numFmtId="192" fontId="225" fillId="125" borderId="73" applyProtection="0">
      <alignment vertical="center"/>
    </xf>
    <xf numFmtId="192" fontId="225" fillId="124" borderId="73">
      <alignment vertical="center"/>
    </xf>
    <xf numFmtId="192" fontId="225" fillId="124" borderId="73">
      <alignment vertical="center"/>
    </xf>
    <xf numFmtId="192" fontId="225" fillId="124" borderId="73" applyProtection="0">
      <alignment vertical="center"/>
    </xf>
    <xf numFmtId="192" fontId="225" fillId="124" borderId="73">
      <alignment vertical="center"/>
    </xf>
    <xf numFmtId="192" fontId="225" fillId="124" borderId="73" applyProtection="0">
      <alignment vertical="center"/>
    </xf>
    <xf numFmtId="3" fontId="225" fillId="124" borderId="73">
      <alignment vertical="center"/>
    </xf>
    <xf numFmtId="3" fontId="225" fillId="92" borderId="73">
      <alignment vertical="center"/>
    </xf>
    <xf numFmtId="3" fontId="225" fillId="92" borderId="73">
      <alignment vertical="center"/>
    </xf>
    <xf numFmtId="3" fontId="225" fillId="92" borderId="73" applyProtection="0">
      <alignment vertical="center"/>
    </xf>
    <xf numFmtId="3" fontId="225" fillId="118" borderId="73">
      <alignment vertical="center"/>
    </xf>
    <xf numFmtId="3" fontId="225" fillId="118" borderId="73">
      <alignment vertical="center"/>
    </xf>
    <xf numFmtId="3" fontId="225" fillId="118" borderId="73" applyProtection="0">
      <alignment vertical="center"/>
    </xf>
    <xf numFmtId="3" fontId="225" fillId="125" borderId="73">
      <alignment vertical="center"/>
    </xf>
    <xf numFmtId="3" fontId="225" fillId="125" borderId="73">
      <alignment vertical="center"/>
    </xf>
    <xf numFmtId="3" fontId="225" fillId="125" borderId="73" applyProtection="0">
      <alignment vertical="center"/>
    </xf>
    <xf numFmtId="3" fontId="225" fillId="124" borderId="73">
      <alignment vertical="center"/>
    </xf>
    <xf numFmtId="3" fontId="225" fillId="124" borderId="73">
      <alignment vertical="center"/>
    </xf>
    <xf numFmtId="3" fontId="225" fillId="124" borderId="73" applyProtection="0">
      <alignment vertical="center"/>
    </xf>
    <xf numFmtId="3" fontId="225" fillId="124" borderId="73">
      <alignment vertical="center"/>
    </xf>
    <xf numFmtId="3" fontId="225" fillId="124" borderId="73" applyProtection="0">
      <alignment vertical="center"/>
    </xf>
    <xf numFmtId="0" fontId="226" fillId="124" borderId="73">
      <alignment vertical="center"/>
    </xf>
    <xf numFmtId="193" fontId="226" fillId="92" borderId="73">
      <alignment vertical="center"/>
    </xf>
    <xf numFmtId="209" fontId="226" fillId="92" borderId="73">
      <alignment vertical="center"/>
    </xf>
    <xf numFmtId="206" fontId="226" fillId="92" borderId="73" applyProtection="0">
      <alignment vertical="center"/>
    </xf>
    <xf numFmtId="193" fontId="226" fillId="118" borderId="73">
      <alignment vertical="center"/>
    </xf>
    <xf numFmtId="209" fontId="226" fillId="118" borderId="73">
      <alignment vertical="center"/>
    </xf>
    <xf numFmtId="206" fontId="226" fillId="118" borderId="73" applyProtection="0">
      <alignment vertical="center"/>
    </xf>
    <xf numFmtId="193" fontId="226" fillId="125" borderId="73">
      <alignment vertical="center"/>
    </xf>
    <xf numFmtId="209" fontId="226" fillId="125" borderId="73">
      <alignment vertical="center"/>
    </xf>
    <xf numFmtId="206" fontId="226" fillId="125" borderId="73" applyProtection="0">
      <alignment vertical="center"/>
    </xf>
    <xf numFmtId="193" fontId="227" fillId="124" borderId="73">
      <alignment vertical="center"/>
    </xf>
    <xf numFmtId="209" fontId="227" fillId="124" borderId="73">
      <alignment vertical="center"/>
    </xf>
    <xf numFmtId="206" fontId="227" fillId="124" borderId="73" applyProtection="0">
      <alignment vertical="center"/>
    </xf>
    <xf numFmtId="0" fontId="226" fillId="124" borderId="73">
      <alignment vertical="center"/>
    </xf>
    <xf numFmtId="0" fontId="226" fillId="124" borderId="73" applyNumberFormat="0" applyProtection="0">
      <alignment vertical="center"/>
    </xf>
    <xf numFmtId="0" fontId="226" fillId="124" borderId="73">
      <alignment vertical="center"/>
    </xf>
    <xf numFmtId="194" fontId="226" fillId="92" borderId="73">
      <alignment vertical="center"/>
    </xf>
    <xf numFmtId="210" fontId="226" fillId="92" borderId="73">
      <alignment vertical="center"/>
    </xf>
    <xf numFmtId="207" fontId="226" fillId="92" borderId="73" applyProtection="0">
      <alignment vertical="center"/>
    </xf>
    <xf numFmtId="194" fontId="226" fillId="118" borderId="73">
      <alignment vertical="center"/>
    </xf>
    <xf numFmtId="210" fontId="226" fillId="118" borderId="73">
      <alignment vertical="center"/>
    </xf>
    <xf numFmtId="207" fontId="226" fillId="118" borderId="73" applyProtection="0">
      <alignment vertical="center"/>
    </xf>
    <xf numFmtId="194" fontId="226" fillId="125" borderId="73">
      <alignment vertical="center"/>
    </xf>
    <xf numFmtId="210" fontId="226" fillId="125" borderId="73">
      <alignment vertical="center"/>
    </xf>
    <xf numFmtId="207" fontId="226" fillId="125" borderId="73" applyProtection="0">
      <alignment vertical="center"/>
    </xf>
    <xf numFmtId="194" fontId="227" fillId="124" borderId="73">
      <alignment vertical="center"/>
    </xf>
    <xf numFmtId="210" fontId="227" fillId="124" borderId="73">
      <alignment vertical="center"/>
    </xf>
    <xf numFmtId="207" fontId="227" fillId="124" borderId="73" applyProtection="0">
      <alignment vertical="center"/>
    </xf>
    <xf numFmtId="0" fontId="226" fillId="124" borderId="73">
      <alignment vertical="center"/>
    </xf>
    <xf numFmtId="0" fontId="226" fillId="124" borderId="73" applyNumberFormat="0" applyProtection="0">
      <alignment vertical="center"/>
    </xf>
    <xf numFmtId="0" fontId="226" fillId="124" borderId="73">
      <alignment vertical="center"/>
    </xf>
    <xf numFmtId="195" fontId="226" fillId="92" borderId="73">
      <alignment vertical="center"/>
    </xf>
    <xf numFmtId="211" fontId="226" fillId="92" borderId="73">
      <alignment vertical="center"/>
    </xf>
    <xf numFmtId="208" fontId="226" fillId="92" borderId="73" applyProtection="0">
      <alignment vertical="center"/>
    </xf>
    <xf numFmtId="195" fontId="226" fillId="118" borderId="73">
      <alignment vertical="center"/>
    </xf>
    <xf numFmtId="211" fontId="226" fillId="118" borderId="73">
      <alignment vertical="center"/>
    </xf>
    <xf numFmtId="208" fontId="226" fillId="118" borderId="73" applyProtection="0">
      <alignment vertical="center"/>
    </xf>
    <xf numFmtId="195" fontId="226" fillId="125" borderId="73">
      <alignment vertical="center"/>
    </xf>
    <xf numFmtId="211" fontId="226" fillId="125" borderId="73">
      <alignment vertical="center"/>
    </xf>
    <xf numFmtId="208" fontId="226" fillId="125" borderId="73" applyProtection="0">
      <alignment vertical="center"/>
    </xf>
    <xf numFmtId="195" fontId="227" fillId="124" borderId="73">
      <alignment vertical="center"/>
    </xf>
    <xf numFmtId="211" fontId="227" fillId="124" borderId="73">
      <alignment vertical="center"/>
    </xf>
    <xf numFmtId="208" fontId="227" fillId="124" borderId="73" applyProtection="0">
      <alignment vertical="center"/>
    </xf>
    <xf numFmtId="0" fontId="226" fillId="124" borderId="73">
      <alignment vertical="center"/>
    </xf>
    <xf numFmtId="0" fontId="226" fillId="124" borderId="73" applyNumberFormat="0" applyProtection="0">
      <alignment vertical="center"/>
    </xf>
    <xf numFmtId="196" fontId="228" fillId="124" borderId="73">
      <alignment vertical="center"/>
    </xf>
    <xf numFmtId="196" fontId="228" fillId="92" borderId="73">
      <alignment vertical="center"/>
    </xf>
    <xf numFmtId="196" fontId="228" fillId="92" borderId="73">
      <alignment vertical="center"/>
    </xf>
    <xf numFmtId="196" fontId="228" fillId="92" borderId="73" applyProtection="0">
      <alignment vertical="center"/>
    </xf>
    <xf numFmtId="196" fontId="228" fillId="118" borderId="73">
      <alignment vertical="center"/>
    </xf>
    <xf numFmtId="196" fontId="228" fillId="118" borderId="73">
      <alignment vertical="center"/>
    </xf>
    <xf numFmtId="196" fontId="228" fillId="118" borderId="73" applyProtection="0">
      <alignment vertical="center"/>
    </xf>
    <xf numFmtId="196" fontId="228" fillId="125" borderId="73">
      <alignment vertical="center"/>
    </xf>
    <xf numFmtId="196" fontId="228" fillId="125" borderId="73">
      <alignment vertical="center"/>
    </xf>
    <xf numFmtId="196" fontId="228" fillId="125" borderId="73" applyProtection="0">
      <alignment vertical="center"/>
    </xf>
    <xf numFmtId="196" fontId="228" fillId="124" borderId="73">
      <alignment vertical="center"/>
    </xf>
    <xf numFmtId="196" fontId="228" fillId="124" borderId="73">
      <alignment vertical="center"/>
    </xf>
    <xf numFmtId="196" fontId="228" fillId="124" borderId="73" applyProtection="0">
      <alignment vertical="center"/>
    </xf>
    <xf numFmtId="196" fontId="228" fillId="124" borderId="73">
      <alignment vertical="center"/>
    </xf>
    <xf numFmtId="196" fontId="228" fillId="124" borderId="73" applyProtection="0">
      <alignment vertical="center"/>
    </xf>
    <xf numFmtId="197" fontId="228" fillId="124" borderId="73">
      <alignment vertical="center"/>
    </xf>
    <xf numFmtId="197" fontId="228" fillId="92" borderId="73">
      <alignment vertical="center"/>
    </xf>
    <xf numFmtId="197" fontId="228" fillId="92" borderId="73">
      <alignment vertical="center"/>
    </xf>
    <xf numFmtId="197" fontId="228" fillId="92" borderId="73" applyProtection="0">
      <alignment vertical="center"/>
    </xf>
    <xf numFmtId="197" fontId="228" fillId="118" borderId="73">
      <alignment vertical="center"/>
    </xf>
    <xf numFmtId="197" fontId="228" fillId="118" borderId="73">
      <alignment vertical="center"/>
    </xf>
    <xf numFmtId="197" fontId="228" fillId="118" borderId="73" applyProtection="0">
      <alignment vertical="center"/>
    </xf>
    <xf numFmtId="197" fontId="228" fillId="125" borderId="73">
      <alignment vertical="center"/>
    </xf>
    <xf numFmtId="197" fontId="228" fillId="125" borderId="73">
      <alignment vertical="center"/>
    </xf>
    <xf numFmtId="197" fontId="228" fillId="125" borderId="73" applyProtection="0">
      <alignment vertical="center"/>
    </xf>
    <xf numFmtId="197" fontId="228" fillId="124" borderId="73">
      <alignment vertical="center"/>
    </xf>
    <xf numFmtId="197" fontId="228" fillId="124" borderId="73">
      <alignment vertical="center"/>
    </xf>
    <xf numFmtId="197" fontId="228" fillId="124" borderId="73" applyProtection="0">
      <alignment vertical="center"/>
    </xf>
    <xf numFmtId="197" fontId="228" fillId="124" borderId="73">
      <alignment vertical="center"/>
    </xf>
    <xf numFmtId="197" fontId="228" fillId="124" borderId="73" applyProtection="0">
      <alignment vertical="center"/>
    </xf>
    <xf numFmtId="198" fontId="228" fillId="124" borderId="73">
      <alignment vertical="center"/>
    </xf>
    <xf numFmtId="198" fontId="228" fillId="92" borderId="73">
      <alignment vertical="center"/>
    </xf>
    <xf numFmtId="198" fontId="228" fillId="92" borderId="73">
      <alignment vertical="center"/>
    </xf>
    <xf numFmtId="198" fontId="228" fillId="92" borderId="73" applyProtection="0">
      <alignment vertical="center"/>
    </xf>
    <xf numFmtId="198" fontId="228" fillId="118" borderId="73">
      <alignment vertical="center"/>
    </xf>
    <xf numFmtId="198" fontId="228" fillId="118" borderId="73">
      <alignment vertical="center"/>
    </xf>
    <xf numFmtId="198" fontId="228" fillId="118" borderId="73" applyProtection="0">
      <alignment vertical="center"/>
    </xf>
    <xf numFmtId="198" fontId="228" fillId="125" borderId="73">
      <alignment vertical="center"/>
    </xf>
    <xf numFmtId="198" fontId="228" fillId="125" borderId="73">
      <alignment vertical="center"/>
    </xf>
    <xf numFmtId="198" fontId="228" fillId="125" borderId="73" applyProtection="0">
      <alignment vertical="center"/>
    </xf>
    <xf numFmtId="198" fontId="228" fillId="124" borderId="73">
      <alignment vertical="center"/>
    </xf>
    <xf numFmtId="198" fontId="228" fillId="124" borderId="73">
      <alignment vertical="center"/>
    </xf>
    <xf numFmtId="198" fontId="228" fillId="124" borderId="73" applyProtection="0">
      <alignment vertical="center"/>
    </xf>
    <xf numFmtId="198" fontId="228" fillId="124" borderId="73">
      <alignment vertical="center"/>
    </xf>
    <xf numFmtId="198" fontId="228" fillId="124" borderId="73" applyProtection="0">
      <alignment vertical="center"/>
    </xf>
    <xf numFmtId="165" fontId="229" fillId="124" borderId="73">
      <alignment vertical="center"/>
    </xf>
    <xf numFmtId="165" fontId="230" fillId="92" borderId="73">
      <alignment vertical="center"/>
    </xf>
    <xf numFmtId="165" fontId="230" fillId="92" borderId="73">
      <alignment vertical="center"/>
    </xf>
    <xf numFmtId="165" fontId="230" fillId="92" borderId="73" applyProtection="0">
      <alignment vertical="center"/>
    </xf>
    <xf numFmtId="165" fontId="229" fillId="118" borderId="73">
      <alignment vertical="center"/>
    </xf>
    <xf numFmtId="165" fontId="229" fillId="118" borderId="73">
      <alignment vertical="center"/>
    </xf>
    <xf numFmtId="165" fontId="229" fillId="118" borderId="73" applyProtection="0">
      <alignment vertical="center"/>
    </xf>
    <xf numFmtId="165" fontId="231" fillId="125" borderId="73">
      <alignment vertical="center"/>
    </xf>
    <xf numFmtId="165" fontId="231" fillId="125" borderId="73">
      <alignment vertical="center"/>
    </xf>
    <xf numFmtId="165" fontId="231" fillId="125" borderId="73" applyProtection="0">
      <alignment vertical="center"/>
    </xf>
    <xf numFmtId="165" fontId="232" fillId="124" borderId="73">
      <alignment vertical="center"/>
    </xf>
    <xf numFmtId="165" fontId="232" fillId="124" borderId="73">
      <alignment vertical="center"/>
    </xf>
    <xf numFmtId="165" fontId="232" fillId="124" borderId="73" applyProtection="0">
      <alignment vertical="center"/>
    </xf>
    <xf numFmtId="165" fontId="229" fillId="124" borderId="73">
      <alignment vertical="center"/>
    </xf>
    <xf numFmtId="165" fontId="229" fillId="124" borderId="73" applyProtection="0">
      <alignment vertical="center"/>
    </xf>
    <xf numFmtId="199" fontId="229" fillId="124" borderId="73">
      <alignment vertical="center"/>
    </xf>
    <xf numFmtId="199" fontId="230" fillId="92" borderId="73">
      <alignment vertical="center"/>
    </xf>
    <xf numFmtId="199" fontId="230" fillId="92" borderId="73">
      <alignment vertical="center"/>
    </xf>
    <xf numFmtId="199" fontId="230" fillId="92" borderId="73" applyProtection="0">
      <alignment vertical="center"/>
    </xf>
    <xf numFmtId="199" fontId="229" fillId="118" borderId="73">
      <alignment vertical="center"/>
    </xf>
    <xf numFmtId="199" fontId="229" fillId="118" borderId="73">
      <alignment vertical="center"/>
    </xf>
    <xf numFmtId="199" fontId="229" fillId="118" borderId="73" applyProtection="0">
      <alignment vertical="center"/>
    </xf>
    <xf numFmtId="199" fontId="231" fillId="125" borderId="73">
      <alignment vertical="center"/>
    </xf>
    <xf numFmtId="199" fontId="231" fillId="125" borderId="73">
      <alignment vertical="center"/>
    </xf>
    <xf numFmtId="199" fontId="231" fillId="125" borderId="73" applyProtection="0">
      <alignment vertical="center"/>
    </xf>
    <xf numFmtId="199" fontId="232" fillId="124" borderId="73">
      <alignment vertical="center"/>
    </xf>
    <xf numFmtId="199" fontId="232" fillId="124" borderId="73">
      <alignment vertical="center"/>
    </xf>
    <xf numFmtId="199" fontId="232" fillId="124" borderId="73" applyProtection="0">
      <alignment vertical="center"/>
    </xf>
    <xf numFmtId="199" fontId="229" fillId="124" borderId="73">
      <alignment vertical="center"/>
    </xf>
    <xf numFmtId="199" fontId="229" fillId="124" borderId="73" applyProtection="0">
      <alignment vertical="center"/>
    </xf>
    <xf numFmtId="185" fontId="229" fillId="124" borderId="73">
      <alignment vertical="center"/>
    </xf>
    <xf numFmtId="185" fontId="230" fillId="92" borderId="73">
      <alignment vertical="center"/>
    </xf>
    <xf numFmtId="185" fontId="230" fillId="92" borderId="73">
      <alignment vertical="center"/>
    </xf>
    <xf numFmtId="185" fontId="230" fillId="92" borderId="73" applyProtection="0">
      <alignment vertical="center"/>
    </xf>
    <xf numFmtId="185" fontId="229" fillId="118" borderId="73">
      <alignment vertical="center"/>
    </xf>
    <xf numFmtId="185" fontId="229" fillId="118" borderId="73">
      <alignment vertical="center"/>
    </xf>
    <xf numFmtId="185" fontId="229" fillId="118" borderId="73" applyProtection="0">
      <alignment vertical="center"/>
    </xf>
    <xf numFmtId="185" fontId="231" fillId="125" borderId="73">
      <alignment vertical="center"/>
    </xf>
    <xf numFmtId="185" fontId="231" fillId="125" borderId="73">
      <alignment vertical="center"/>
    </xf>
    <xf numFmtId="185" fontId="231" fillId="125" borderId="73" applyProtection="0">
      <alignment vertical="center"/>
    </xf>
    <xf numFmtId="185" fontId="232" fillId="124" borderId="73">
      <alignment vertical="center"/>
    </xf>
    <xf numFmtId="185" fontId="232" fillId="124" borderId="73">
      <alignment vertical="center"/>
    </xf>
    <xf numFmtId="185" fontId="232" fillId="124" borderId="73" applyProtection="0">
      <alignment vertical="center"/>
    </xf>
    <xf numFmtId="185" fontId="229" fillId="124" borderId="73">
      <alignment vertical="center"/>
    </xf>
    <xf numFmtId="185" fontId="229" fillId="124" borderId="73" applyProtection="0">
      <alignment vertical="center"/>
    </xf>
    <xf numFmtId="0" fontId="233" fillId="124" borderId="73">
      <alignment vertical="center"/>
    </xf>
    <xf numFmtId="0" fontId="234" fillId="92" borderId="73">
      <alignment vertical="center"/>
    </xf>
    <xf numFmtId="0" fontId="234" fillId="92" borderId="73">
      <alignment vertical="center"/>
    </xf>
    <xf numFmtId="0" fontId="234" fillId="92" borderId="73" applyNumberFormat="0" applyProtection="0">
      <alignment vertical="center"/>
    </xf>
    <xf numFmtId="0" fontId="234" fillId="118" borderId="73">
      <alignment vertical="center"/>
    </xf>
    <xf numFmtId="0" fontId="234" fillId="118" borderId="73">
      <alignment vertical="center"/>
    </xf>
    <xf numFmtId="0" fontId="234" fillId="118" borderId="73" applyNumberFormat="0" applyProtection="0">
      <alignment vertical="center"/>
    </xf>
    <xf numFmtId="0" fontId="234" fillId="125" borderId="73">
      <alignment vertical="center"/>
    </xf>
    <xf numFmtId="0" fontId="234" fillId="125" borderId="73">
      <alignment vertical="center"/>
    </xf>
    <xf numFmtId="0" fontId="234" fillId="125" borderId="73" applyNumberFormat="0" applyProtection="0">
      <alignment vertical="center"/>
    </xf>
    <xf numFmtId="0" fontId="234" fillId="124" borderId="73">
      <alignment vertical="center"/>
    </xf>
    <xf numFmtId="0" fontId="234" fillId="124" borderId="73">
      <alignment vertical="center"/>
    </xf>
    <xf numFmtId="0" fontId="234" fillId="124" borderId="73" applyNumberFormat="0" applyProtection="0">
      <alignment vertical="center"/>
    </xf>
    <xf numFmtId="0" fontId="233" fillId="124" borderId="73">
      <alignment vertical="center"/>
    </xf>
    <xf numFmtId="0" fontId="233" fillId="124" borderId="73" applyNumberFormat="0" applyProtection="0">
      <alignment vertical="center"/>
    </xf>
    <xf numFmtId="0" fontId="233" fillId="124" borderId="73">
      <alignment horizontal="left" vertical="center"/>
    </xf>
    <xf numFmtId="0" fontId="233" fillId="92" borderId="73">
      <alignment horizontal="left" vertical="center"/>
    </xf>
    <xf numFmtId="0" fontId="233" fillId="92" borderId="73">
      <alignment horizontal="left" vertical="center"/>
    </xf>
    <xf numFmtId="0" fontId="233" fillId="92" borderId="73" applyNumberFormat="0" applyProtection="0">
      <alignment horizontal="left" vertical="center"/>
    </xf>
    <xf numFmtId="0" fontId="233" fillId="118" borderId="73">
      <alignment horizontal="left" vertical="center"/>
    </xf>
    <xf numFmtId="0" fontId="233" fillId="118" borderId="73">
      <alignment horizontal="left" vertical="center"/>
    </xf>
    <xf numFmtId="0" fontId="233" fillId="118" borderId="73" applyNumberFormat="0" applyProtection="0">
      <alignment horizontal="left" vertical="center"/>
    </xf>
    <xf numFmtId="0" fontId="233" fillId="125" borderId="73">
      <alignment horizontal="left" vertical="center"/>
    </xf>
    <xf numFmtId="0" fontId="233" fillId="125" borderId="73">
      <alignment horizontal="left" vertical="center"/>
    </xf>
    <xf numFmtId="0" fontId="233" fillId="125" borderId="73" applyNumberFormat="0" applyProtection="0">
      <alignment horizontal="left" vertical="center"/>
    </xf>
    <xf numFmtId="0" fontId="233" fillId="124" borderId="73">
      <alignment horizontal="left" vertical="center"/>
    </xf>
    <xf numFmtId="0" fontId="233" fillId="124" borderId="73">
      <alignment horizontal="left" vertical="center"/>
    </xf>
    <xf numFmtId="0" fontId="233" fillId="124" borderId="73" applyNumberFormat="0" applyProtection="0">
      <alignment horizontal="left" vertical="center"/>
    </xf>
    <xf numFmtId="0" fontId="233" fillId="124" borderId="73">
      <alignment horizontal="left" vertical="center"/>
    </xf>
    <xf numFmtId="0" fontId="233" fillId="124" borderId="73" applyNumberFormat="0" applyProtection="0">
      <alignment horizontal="left" vertical="center"/>
    </xf>
    <xf numFmtId="171" fontId="215" fillId="129" borderId="74">
      <alignment vertical="center"/>
    </xf>
    <xf numFmtId="171" fontId="215" fillId="119" borderId="74">
      <alignment vertical="center"/>
    </xf>
    <xf numFmtId="171" fontId="215" fillId="113" borderId="74">
      <alignment vertical="center"/>
    </xf>
    <xf numFmtId="171" fontId="215" fillId="113" borderId="74">
      <alignment vertical="center"/>
    </xf>
    <xf numFmtId="171" fontId="215" fillId="113" borderId="74" applyProtection="0">
      <alignment vertical="center"/>
    </xf>
    <xf numFmtId="171" fontId="215" fillId="102" borderId="74">
      <alignment vertical="center"/>
    </xf>
    <xf numFmtId="171" fontId="215" fillId="102" borderId="74">
      <alignment vertical="center"/>
    </xf>
    <xf numFmtId="171" fontId="215" fillId="102" borderId="74" applyProtection="0">
      <alignment vertical="center"/>
    </xf>
    <xf numFmtId="171" fontId="215" fillId="119" borderId="74">
      <alignment vertical="center"/>
    </xf>
    <xf numFmtId="171" fontId="215" fillId="119" borderId="74" applyProtection="0">
      <alignment vertical="center"/>
    </xf>
    <xf numFmtId="171" fontId="215" fillId="86" borderId="74">
      <alignment vertical="center"/>
    </xf>
    <xf numFmtId="171" fontId="215" fillId="129" borderId="74">
      <alignment vertical="center"/>
    </xf>
    <xf numFmtId="171" fontId="215" fillId="129" borderId="74">
      <alignment vertical="center"/>
    </xf>
    <xf numFmtId="171" fontId="215" fillId="129" borderId="74" applyProtection="0">
      <alignment vertical="center"/>
    </xf>
    <xf numFmtId="171" fontId="215" fillId="86" borderId="74">
      <alignment vertical="center"/>
    </xf>
    <xf numFmtId="171" fontId="215" fillId="86" borderId="74" applyProtection="0">
      <alignment vertical="center"/>
    </xf>
    <xf numFmtId="171" fontId="215" fillId="113" borderId="74">
      <alignment vertical="center"/>
    </xf>
    <xf numFmtId="171" fontId="215" fillId="113" borderId="74">
      <alignment vertical="center"/>
    </xf>
    <xf numFmtId="171" fontId="215" fillId="113" borderId="74" applyProtection="0">
      <alignment vertical="center"/>
    </xf>
    <xf numFmtId="171" fontId="215" fillId="102" borderId="74">
      <alignment vertical="center"/>
    </xf>
    <xf numFmtId="171" fontId="215" fillId="102" borderId="74">
      <alignment vertical="center"/>
    </xf>
    <xf numFmtId="171" fontId="215" fillId="102" borderId="74" applyProtection="0">
      <alignment vertical="center"/>
    </xf>
    <xf numFmtId="171" fontId="215" fillId="129" borderId="74">
      <alignment vertical="center"/>
    </xf>
    <xf numFmtId="171" fontId="215" fillId="129" borderId="74" applyProtection="0">
      <alignment vertical="center"/>
    </xf>
    <xf numFmtId="4" fontId="215" fillId="119" borderId="74">
      <alignment vertical="center"/>
    </xf>
    <xf numFmtId="4" fontId="215" fillId="113" borderId="74">
      <alignment vertical="center"/>
    </xf>
    <xf numFmtId="4" fontId="215" fillId="102" borderId="74">
      <alignment vertical="center"/>
    </xf>
    <xf numFmtId="4" fontId="215" fillId="102" borderId="74">
      <alignment vertical="center"/>
    </xf>
    <xf numFmtId="4" fontId="215" fillId="102" borderId="74" applyProtection="0">
      <alignment vertical="center"/>
    </xf>
    <xf numFmtId="4" fontId="215" fillId="113" borderId="74">
      <alignment vertical="center"/>
    </xf>
    <xf numFmtId="4" fontId="215" fillId="113" borderId="74" applyProtection="0">
      <alignment vertical="center"/>
    </xf>
    <xf numFmtId="4" fontId="215" fillId="86" borderId="74">
      <alignment vertical="center"/>
    </xf>
    <xf numFmtId="4" fontId="215" fillId="86" borderId="74">
      <alignment vertical="center"/>
    </xf>
    <xf numFmtId="4" fontId="215" fillId="86" borderId="74" applyProtection="0">
      <alignment vertical="center"/>
    </xf>
    <xf numFmtId="4" fontId="215" fillId="113" borderId="74">
      <alignment vertical="center"/>
    </xf>
    <xf numFmtId="4" fontId="215" fillId="113" borderId="74">
      <alignment vertical="center"/>
    </xf>
    <xf numFmtId="4" fontId="215" fillId="113" borderId="74" applyProtection="0">
      <alignment vertical="center"/>
    </xf>
    <xf numFmtId="4" fontId="215" fillId="102" borderId="74">
      <alignment vertical="center"/>
    </xf>
    <xf numFmtId="4" fontId="215" fillId="102" borderId="74">
      <alignment vertical="center"/>
    </xf>
    <xf numFmtId="4" fontId="215" fillId="102" borderId="74" applyProtection="0">
      <alignment vertical="center"/>
    </xf>
    <xf numFmtId="4" fontId="215" fillId="119" borderId="74">
      <alignment vertical="center"/>
    </xf>
    <xf numFmtId="4" fontId="215" fillId="119" borderId="74" applyProtection="0">
      <alignment vertical="center"/>
    </xf>
    <xf numFmtId="172" fontId="215" fillId="119" borderId="74">
      <alignment vertical="center"/>
    </xf>
    <xf numFmtId="172" fontId="215" fillId="113" borderId="74">
      <alignment vertical="center"/>
    </xf>
    <xf numFmtId="172" fontId="215" fillId="102" borderId="74">
      <alignment vertical="center"/>
    </xf>
    <xf numFmtId="172" fontId="215" fillId="102" borderId="74">
      <alignment vertical="center"/>
    </xf>
    <xf numFmtId="172" fontId="215" fillId="102" borderId="74" applyProtection="0">
      <alignment vertical="center"/>
    </xf>
    <xf numFmtId="172" fontId="215" fillId="113" borderId="74">
      <alignment vertical="center"/>
    </xf>
    <xf numFmtId="172" fontId="215" fillId="113" borderId="74" applyProtection="0">
      <alignment vertical="center"/>
    </xf>
    <xf numFmtId="172" fontId="215" fillId="86" borderId="74">
      <alignment vertical="center"/>
    </xf>
    <xf numFmtId="172" fontId="215" fillId="86" borderId="74">
      <alignment vertical="center"/>
    </xf>
    <xf numFmtId="172" fontId="215" fillId="86" borderId="74" applyProtection="0">
      <alignment vertical="center"/>
    </xf>
    <xf numFmtId="172" fontId="215" fillId="113" borderId="74">
      <alignment vertical="center"/>
    </xf>
    <xf numFmtId="172" fontId="215" fillId="113" borderId="74">
      <alignment vertical="center"/>
    </xf>
    <xf numFmtId="172" fontId="215" fillId="113" borderId="74" applyProtection="0">
      <alignment vertical="center"/>
    </xf>
    <xf numFmtId="172" fontId="215" fillId="102" borderId="74">
      <alignment vertical="center"/>
    </xf>
    <xf numFmtId="172" fontId="215" fillId="102" borderId="74">
      <alignment vertical="center"/>
    </xf>
    <xf numFmtId="172" fontId="215" fillId="102" borderId="74" applyProtection="0">
      <alignment vertical="center"/>
    </xf>
    <xf numFmtId="172" fontId="215" fillId="119" borderId="74">
      <alignment vertical="center"/>
    </xf>
    <xf numFmtId="172" fontId="215" fillId="119" borderId="74" applyProtection="0">
      <alignment vertical="center"/>
    </xf>
    <xf numFmtId="192" fontId="215" fillId="119" borderId="74">
      <alignment vertical="center"/>
    </xf>
    <xf numFmtId="192" fontId="215" fillId="113" borderId="74">
      <alignment vertical="center"/>
    </xf>
    <xf numFmtId="192" fontId="215" fillId="102" borderId="74">
      <alignment vertical="center"/>
    </xf>
    <xf numFmtId="192" fontId="215" fillId="102" borderId="74">
      <alignment vertical="center"/>
    </xf>
    <xf numFmtId="192" fontId="215" fillId="102" borderId="74" applyProtection="0">
      <alignment vertical="center"/>
    </xf>
    <xf numFmtId="192" fontId="215" fillId="113" borderId="74">
      <alignment vertical="center"/>
    </xf>
    <xf numFmtId="192" fontId="215" fillId="113" borderId="74" applyProtection="0">
      <alignment vertical="center"/>
    </xf>
    <xf numFmtId="192" fontId="215" fillId="86" borderId="74">
      <alignment vertical="center"/>
    </xf>
    <xf numFmtId="192" fontId="215" fillId="86" borderId="74">
      <alignment vertical="center"/>
    </xf>
    <xf numFmtId="192" fontId="215" fillId="86" borderId="74" applyProtection="0">
      <alignment vertical="center"/>
    </xf>
    <xf numFmtId="192" fontId="215" fillId="113" borderId="74">
      <alignment vertical="center"/>
    </xf>
    <xf numFmtId="192" fontId="215" fillId="113" borderId="74">
      <alignment vertical="center"/>
    </xf>
    <xf numFmtId="192" fontId="215" fillId="113" borderId="74" applyProtection="0">
      <alignment vertical="center"/>
    </xf>
    <xf numFmtId="192" fontId="215" fillId="102" borderId="74">
      <alignment vertical="center"/>
    </xf>
    <xf numFmtId="192" fontId="215" fillId="102" borderId="74">
      <alignment vertical="center"/>
    </xf>
    <xf numFmtId="192" fontId="215" fillId="102" borderId="74" applyProtection="0">
      <alignment vertical="center"/>
    </xf>
    <xf numFmtId="192" fontId="215" fillId="119" borderId="74">
      <alignment vertical="center"/>
    </xf>
    <xf numFmtId="192" fontId="215" fillId="119" borderId="74" applyProtection="0">
      <alignment vertical="center"/>
    </xf>
    <xf numFmtId="3" fontId="215" fillId="119" borderId="74">
      <alignment vertical="center"/>
    </xf>
    <xf numFmtId="3" fontId="215" fillId="113" borderId="74">
      <alignment vertical="center"/>
    </xf>
    <xf numFmtId="3" fontId="215" fillId="102" borderId="74">
      <alignment vertical="center"/>
    </xf>
    <xf numFmtId="3" fontId="215" fillId="102" borderId="74">
      <alignment vertical="center"/>
    </xf>
    <xf numFmtId="3" fontId="215" fillId="102" borderId="74" applyProtection="0">
      <alignment vertical="center"/>
    </xf>
    <xf numFmtId="3" fontId="215" fillId="113" borderId="74">
      <alignment vertical="center"/>
    </xf>
    <xf numFmtId="3" fontId="215" fillId="113" borderId="74" applyProtection="0">
      <alignment vertical="center"/>
    </xf>
    <xf numFmtId="3" fontId="215" fillId="86" borderId="74">
      <alignment vertical="center"/>
    </xf>
    <xf numFmtId="3" fontId="215" fillId="86" borderId="74">
      <alignment vertical="center"/>
    </xf>
    <xf numFmtId="3" fontId="215" fillId="86" borderId="74" applyProtection="0">
      <alignment vertical="center"/>
    </xf>
    <xf numFmtId="3" fontId="215" fillId="113" borderId="74">
      <alignment vertical="center"/>
    </xf>
    <xf numFmtId="3" fontId="215" fillId="113" borderId="74">
      <alignment vertical="center"/>
    </xf>
    <xf numFmtId="3" fontId="215" fillId="113" borderId="74" applyProtection="0">
      <alignment vertical="center"/>
    </xf>
    <xf numFmtId="3" fontId="215" fillId="102" borderId="74">
      <alignment vertical="center"/>
    </xf>
    <xf numFmtId="3" fontId="215" fillId="102" borderId="74">
      <alignment vertical="center"/>
    </xf>
    <xf numFmtId="3" fontId="215" fillId="102" borderId="74" applyProtection="0">
      <alignment vertical="center"/>
    </xf>
    <xf numFmtId="3" fontId="215" fillId="119" borderId="74">
      <alignment vertical="center"/>
    </xf>
    <xf numFmtId="3" fontId="215" fillId="119" borderId="74" applyProtection="0">
      <alignment vertical="center"/>
    </xf>
    <xf numFmtId="0" fontId="216" fillId="119" borderId="74">
      <alignment vertical="center"/>
    </xf>
    <xf numFmtId="193" fontId="216" fillId="113" borderId="74">
      <alignment vertical="center"/>
    </xf>
    <xf numFmtId="193" fontId="217" fillId="102" borderId="74">
      <alignment vertical="center"/>
    </xf>
    <xf numFmtId="209" fontId="217" fillId="102" borderId="74">
      <alignment vertical="center"/>
    </xf>
    <xf numFmtId="206" fontId="217" fillId="102" borderId="74" applyProtection="0">
      <alignment vertical="center"/>
    </xf>
    <xf numFmtId="209" fontId="216" fillId="113" borderId="74">
      <alignment vertical="center"/>
    </xf>
    <xf numFmtId="206" fontId="216" fillId="113" borderId="74" applyProtection="0">
      <alignment vertical="center"/>
    </xf>
    <xf numFmtId="193" fontId="216" fillId="86" borderId="74">
      <alignment vertical="center"/>
    </xf>
    <xf numFmtId="209" fontId="216" fillId="86" borderId="74">
      <alignment vertical="center"/>
    </xf>
    <xf numFmtId="206" fontId="216" fillId="86" borderId="74" applyProtection="0">
      <alignment vertical="center"/>
    </xf>
    <xf numFmtId="193" fontId="216" fillId="113" borderId="74">
      <alignment vertical="center"/>
    </xf>
    <xf numFmtId="209" fontId="216" fillId="113" borderId="74">
      <alignment vertical="center"/>
    </xf>
    <xf numFmtId="206" fontId="216" fillId="113" borderId="74" applyProtection="0">
      <alignment vertical="center"/>
    </xf>
    <xf numFmtId="193" fontId="217" fillId="102" borderId="74">
      <alignment vertical="center"/>
    </xf>
    <xf numFmtId="209" fontId="217" fillId="102" borderId="74">
      <alignment vertical="center"/>
    </xf>
    <xf numFmtId="206" fontId="217" fillId="102" borderId="74" applyProtection="0">
      <alignment vertical="center"/>
    </xf>
    <xf numFmtId="0" fontId="216" fillId="119" borderId="74">
      <alignment vertical="center"/>
    </xf>
    <xf numFmtId="0" fontId="216" fillId="119" borderId="74" applyNumberFormat="0" applyProtection="0">
      <alignment vertical="center"/>
    </xf>
    <xf numFmtId="0" fontId="216" fillId="119" borderId="74">
      <alignment vertical="center"/>
    </xf>
    <xf numFmtId="194" fontId="216" fillId="113" borderId="74">
      <alignment vertical="center"/>
    </xf>
    <xf numFmtId="194" fontId="217" fillId="102" borderId="74">
      <alignment vertical="center"/>
    </xf>
    <xf numFmtId="210" fontId="217" fillId="102" borderId="74">
      <alignment vertical="center"/>
    </xf>
    <xf numFmtId="207" fontId="217" fillId="102" borderId="74" applyProtection="0">
      <alignment vertical="center"/>
    </xf>
    <xf numFmtId="210" fontId="216" fillId="113" borderId="74">
      <alignment vertical="center"/>
    </xf>
    <xf numFmtId="207" fontId="216" fillId="113" borderId="74" applyProtection="0">
      <alignment vertical="center"/>
    </xf>
    <xf numFmtId="194" fontId="216" fillId="86" borderId="74">
      <alignment vertical="center"/>
    </xf>
    <xf numFmtId="210" fontId="216" fillId="86" borderId="74">
      <alignment vertical="center"/>
    </xf>
    <xf numFmtId="207" fontId="216" fillId="86" borderId="74" applyProtection="0">
      <alignment vertical="center"/>
    </xf>
    <xf numFmtId="194" fontId="216" fillId="113" borderId="74">
      <alignment vertical="center"/>
    </xf>
    <xf numFmtId="210" fontId="216" fillId="113" borderId="74">
      <alignment vertical="center"/>
    </xf>
    <xf numFmtId="207" fontId="216" fillId="113" borderId="74" applyProtection="0">
      <alignment vertical="center"/>
    </xf>
    <xf numFmtId="194" fontId="217" fillId="102" borderId="74">
      <alignment vertical="center"/>
    </xf>
    <xf numFmtId="210" fontId="217" fillId="102" borderId="74">
      <alignment vertical="center"/>
    </xf>
    <xf numFmtId="207" fontId="217" fillId="102" borderId="74" applyProtection="0">
      <alignment vertical="center"/>
    </xf>
    <xf numFmtId="0" fontId="216" fillId="119" borderId="74">
      <alignment vertical="center"/>
    </xf>
    <xf numFmtId="0" fontId="216" fillId="119" borderId="74" applyNumberFormat="0" applyProtection="0">
      <alignment vertical="center"/>
    </xf>
    <xf numFmtId="0" fontId="216" fillId="119" borderId="74">
      <alignment vertical="center"/>
    </xf>
    <xf numFmtId="195" fontId="216" fillId="113" borderId="74">
      <alignment vertical="center"/>
    </xf>
    <xf numFmtId="195" fontId="217" fillId="102" borderId="74">
      <alignment vertical="center"/>
    </xf>
    <xf numFmtId="211" fontId="217" fillId="102" borderId="74">
      <alignment vertical="center"/>
    </xf>
    <xf numFmtId="208" fontId="217" fillId="102" borderId="74" applyProtection="0">
      <alignment vertical="center"/>
    </xf>
    <xf numFmtId="211" fontId="216" fillId="113" borderId="74">
      <alignment vertical="center"/>
    </xf>
    <xf numFmtId="208" fontId="216" fillId="113" borderId="74" applyProtection="0">
      <alignment vertical="center"/>
    </xf>
    <xf numFmtId="195" fontId="216" fillId="86" borderId="74">
      <alignment vertical="center"/>
    </xf>
    <xf numFmtId="211" fontId="216" fillId="86" borderId="74">
      <alignment vertical="center"/>
    </xf>
    <xf numFmtId="208" fontId="216" fillId="86" borderId="74" applyProtection="0">
      <alignment vertical="center"/>
    </xf>
    <xf numFmtId="195" fontId="216" fillId="113" borderId="74">
      <alignment vertical="center"/>
    </xf>
    <xf numFmtId="211" fontId="216" fillId="113" borderId="74">
      <alignment vertical="center"/>
    </xf>
    <xf numFmtId="208" fontId="216" fillId="113" borderId="74" applyProtection="0">
      <alignment vertical="center"/>
    </xf>
    <xf numFmtId="195" fontId="217" fillId="102" borderId="74">
      <alignment vertical="center"/>
    </xf>
    <xf numFmtId="211" fontId="217" fillId="102" borderId="74">
      <alignment vertical="center"/>
    </xf>
    <xf numFmtId="208" fontId="217" fillId="102" borderId="74" applyProtection="0">
      <alignment vertical="center"/>
    </xf>
    <xf numFmtId="0" fontId="216" fillId="119" borderId="74">
      <alignment vertical="center"/>
    </xf>
    <xf numFmtId="0" fontId="216" fillId="119" borderId="74" applyNumberFormat="0" applyProtection="0">
      <alignment vertical="center"/>
    </xf>
    <xf numFmtId="196" fontId="218" fillId="119" borderId="74">
      <alignment vertical="center"/>
    </xf>
    <xf numFmtId="196" fontId="218" fillId="113" borderId="74">
      <alignment vertical="center"/>
    </xf>
    <xf numFmtId="196" fontId="218" fillId="102" borderId="74">
      <alignment vertical="center"/>
    </xf>
    <xf numFmtId="196" fontId="218" fillId="102" borderId="74">
      <alignment vertical="center"/>
    </xf>
    <xf numFmtId="196" fontId="218" fillId="102" borderId="74" applyProtection="0">
      <alignment vertical="center"/>
    </xf>
    <xf numFmtId="196" fontId="218" fillId="113" borderId="74">
      <alignment vertical="center"/>
    </xf>
    <xf numFmtId="196" fontId="218" fillId="113" borderId="74" applyProtection="0">
      <alignment vertical="center"/>
    </xf>
    <xf numFmtId="196" fontId="218" fillId="86" borderId="74">
      <alignment vertical="center"/>
    </xf>
    <xf numFmtId="196" fontId="218" fillId="86" borderId="74">
      <alignment vertical="center"/>
    </xf>
    <xf numFmtId="196" fontId="218" fillId="86" borderId="74" applyProtection="0">
      <alignment vertical="center"/>
    </xf>
    <xf numFmtId="196" fontId="218" fillId="113" borderId="74">
      <alignment vertical="center"/>
    </xf>
    <xf numFmtId="196" fontId="218" fillId="113" borderId="74">
      <alignment vertical="center"/>
    </xf>
    <xf numFmtId="196" fontId="218" fillId="113" borderId="74" applyProtection="0">
      <alignment vertical="center"/>
    </xf>
    <xf numFmtId="196" fontId="218" fillId="102" borderId="74">
      <alignment vertical="center"/>
    </xf>
    <xf numFmtId="196" fontId="218" fillId="102" borderId="74">
      <alignment vertical="center"/>
    </xf>
    <xf numFmtId="196" fontId="218" fillId="102" borderId="74" applyProtection="0">
      <alignment vertical="center"/>
    </xf>
    <xf numFmtId="196" fontId="218" fillId="119" borderId="74">
      <alignment vertical="center"/>
    </xf>
    <xf numFmtId="196" fontId="218" fillId="119" borderId="74" applyProtection="0">
      <alignment vertical="center"/>
    </xf>
    <xf numFmtId="197" fontId="218" fillId="119" borderId="74">
      <alignment vertical="center"/>
    </xf>
    <xf numFmtId="197" fontId="218" fillId="113" borderId="74">
      <alignment vertical="center"/>
    </xf>
    <xf numFmtId="197" fontId="218" fillId="102" borderId="74">
      <alignment vertical="center"/>
    </xf>
    <xf numFmtId="197" fontId="218" fillId="102" borderId="74">
      <alignment vertical="center"/>
    </xf>
    <xf numFmtId="197" fontId="218" fillId="102" borderId="74" applyProtection="0">
      <alignment vertical="center"/>
    </xf>
    <xf numFmtId="197" fontId="218" fillId="113" borderId="74">
      <alignment vertical="center"/>
    </xf>
    <xf numFmtId="197" fontId="218" fillId="113" borderId="74" applyProtection="0">
      <alignment vertical="center"/>
    </xf>
    <xf numFmtId="197" fontId="218" fillId="86" borderId="74">
      <alignment vertical="center"/>
    </xf>
    <xf numFmtId="197" fontId="218" fillId="86" borderId="74">
      <alignment vertical="center"/>
    </xf>
    <xf numFmtId="197" fontId="218" fillId="86" borderId="74" applyProtection="0">
      <alignment vertical="center"/>
    </xf>
    <xf numFmtId="197" fontId="218" fillId="113" borderId="74">
      <alignment vertical="center"/>
    </xf>
    <xf numFmtId="197" fontId="218" fillId="113" borderId="74">
      <alignment vertical="center"/>
    </xf>
    <xf numFmtId="197" fontId="218" fillId="113" borderId="74" applyProtection="0">
      <alignment vertical="center"/>
    </xf>
    <xf numFmtId="197" fontId="218" fillId="102" borderId="74">
      <alignment vertical="center"/>
    </xf>
    <xf numFmtId="197" fontId="218" fillId="102" borderId="74">
      <alignment vertical="center"/>
    </xf>
    <xf numFmtId="197" fontId="218" fillId="102" borderId="74" applyProtection="0">
      <alignment vertical="center"/>
    </xf>
    <xf numFmtId="197" fontId="218" fillId="119" borderId="74">
      <alignment vertical="center"/>
    </xf>
    <xf numFmtId="197" fontId="218" fillId="119" borderId="74" applyProtection="0">
      <alignment vertical="center"/>
    </xf>
    <xf numFmtId="198" fontId="218" fillId="119" borderId="74">
      <alignment vertical="center"/>
    </xf>
    <xf numFmtId="198" fontId="218" fillId="113" borderId="74">
      <alignment vertical="center"/>
    </xf>
    <xf numFmtId="198" fontId="218" fillId="102" borderId="74">
      <alignment vertical="center"/>
    </xf>
    <xf numFmtId="198" fontId="218" fillId="102" borderId="74">
      <alignment vertical="center"/>
    </xf>
    <xf numFmtId="198" fontId="218" fillId="102" borderId="74" applyProtection="0">
      <alignment vertical="center"/>
    </xf>
    <xf numFmtId="198" fontId="218" fillId="113" borderId="74">
      <alignment vertical="center"/>
    </xf>
    <xf numFmtId="198" fontId="218" fillId="113" borderId="74" applyProtection="0">
      <alignment vertical="center"/>
    </xf>
    <xf numFmtId="198" fontId="218" fillId="86" borderId="74">
      <alignment vertical="center"/>
    </xf>
    <xf numFmtId="198" fontId="218" fillId="86" borderId="74">
      <alignment vertical="center"/>
    </xf>
    <xf numFmtId="198" fontId="218" fillId="86" borderId="74" applyProtection="0">
      <alignment vertical="center"/>
    </xf>
    <xf numFmtId="198" fontId="218" fillId="113" borderId="74">
      <alignment vertical="center"/>
    </xf>
    <xf numFmtId="198" fontId="218" fillId="113" borderId="74">
      <alignment vertical="center"/>
    </xf>
    <xf numFmtId="198" fontId="218" fillId="113" borderId="74" applyProtection="0">
      <alignment vertical="center"/>
    </xf>
    <xf numFmtId="198" fontId="218" fillId="102" borderId="74">
      <alignment vertical="center"/>
    </xf>
    <xf numFmtId="198" fontId="218" fillId="102" borderId="74">
      <alignment vertical="center"/>
    </xf>
    <xf numFmtId="198" fontId="218" fillId="102" borderId="74" applyProtection="0">
      <alignment vertical="center"/>
    </xf>
    <xf numFmtId="198" fontId="218" fillId="119" borderId="74">
      <alignment vertical="center"/>
    </xf>
    <xf numFmtId="198" fontId="218" fillId="119" borderId="74" applyProtection="0">
      <alignment vertical="center"/>
    </xf>
    <xf numFmtId="165" fontId="219" fillId="119" borderId="74">
      <alignment vertical="center"/>
    </xf>
    <xf numFmtId="165" fontId="220" fillId="113" borderId="74">
      <alignment vertical="center"/>
    </xf>
    <xf numFmtId="165" fontId="221" fillId="102" borderId="74">
      <alignment vertical="center"/>
    </xf>
    <xf numFmtId="165" fontId="221" fillId="102" borderId="74">
      <alignment vertical="center"/>
    </xf>
    <xf numFmtId="165" fontId="221" fillId="102" borderId="74" applyProtection="0">
      <alignment vertical="center"/>
    </xf>
    <xf numFmtId="165" fontId="220" fillId="113" borderId="74">
      <alignment vertical="center"/>
    </xf>
    <xf numFmtId="165" fontId="220" fillId="113" borderId="74" applyProtection="0">
      <alignment vertical="center"/>
    </xf>
    <xf numFmtId="165" fontId="219" fillId="86" borderId="74">
      <alignment vertical="center"/>
    </xf>
    <xf numFmtId="165" fontId="219" fillId="86" borderId="74">
      <alignment vertical="center"/>
    </xf>
    <xf numFmtId="165" fontId="219" fillId="86" borderId="74" applyProtection="0">
      <alignment vertical="center"/>
    </xf>
    <xf numFmtId="165" fontId="222" fillId="113" borderId="74">
      <alignment vertical="center"/>
    </xf>
    <xf numFmtId="165" fontId="222" fillId="113" borderId="74">
      <alignment vertical="center"/>
    </xf>
    <xf numFmtId="165" fontId="222" fillId="113" borderId="74" applyProtection="0">
      <alignment vertical="center"/>
    </xf>
    <xf numFmtId="165" fontId="221" fillId="102" borderId="74">
      <alignment vertical="center"/>
    </xf>
    <xf numFmtId="165" fontId="221" fillId="102" borderId="74">
      <alignment vertical="center"/>
    </xf>
    <xf numFmtId="165" fontId="221" fillId="102" borderId="74" applyProtection="0">
      <alignment vertical="center"/>
    </xf>
    <xf numFmtId="165" fontId="219" fillId="119" borderId="74">
      <alignment vertical="center"/>
    </xf>
    <xf numFmtId="165" fontId="219" fillId="119" borderId="74" applyProtection="0">
      <alignment vertical="center"/>
    </xf>
    <xf numFmtId="199" fontId="219" fillId="119" borderId="74">
      <alignment vertical="center"/>
    </xf>
    <xf numFmtId="199" fontId="220" fillId="113" borderId="74">
      <alignment vertical="center"/>
    </xf>
    <xf numFmtId="199" fontId="221" fillId="102" borderId="74">
      <alignment vertical="center"/>
    </xf>
    <xf numFmtId="199" fontId="221" fillId="102" borderId="74">
      <alignment vertical="center"/>
    </xf>
    <xf numFmtId="199" fontId="221" fillId="102" borderId="74" applyProtection="0">
      <alignment vertical="center"/>
    </xf>
    <xf numFmtId="199" fontId="220" fillId="113" borderId="74">
      <alignment vertical="center"/>
    </xf>
    <xf numFmtId="199" fontId="220" fillId="113" borderId="74" applyProtection="0">
      <alignment vertical="center"/>
    </xf>
    <xf numFmtId="199" fontId="219" fillId="86" borderId="74">
      <alignment vertical="center"/>
    </xf>
    <xf numFmtId="199" fontId="219" fillId="86" borderId="74">
      <alignment vertical="center"/>
    </xf>
    <xf numFmtId="199" fontId="219" fillId="86" borderId="74" applyProtection="0">
      <alignment vertical="center"/>
    </xf>
    <xf numFmtId="199" fontId="222" fillId="113" borderId="74">
      <alignment vertical="center"/>
    </xf>
    <xf numFmtId="199" fontId="222" fillId="113" borderId="74">
      <alignment vertical="center"/>
    </xf>
    <xf numFmtId="199" fontId="222" fillId="113" borderId="74" applyProtection="0">
      <alignment vertical="center"/>
    </xf>
    <xf numFmtId="199" fontId="221" fillId="102" borderId="74">
      <alignment vertical="center"/>
    </xf>
    <xf numFmtId="199" fontId="221" fillId="102" borderId="74">
      <alignment vertical="center"/>
    </xf>
    <xf numFmtId="199" fontId="221" fillId="102" borderId="74" applyProtection="0">
      <alignment vertical="center"/>
    </xf>
    <xf numFmtId="199" fontId="219" fillId="119" borderId="74">
      <alignment vertical="center"/>
    </xf>
    <xf numFmtId="199" fontId="219" fillId="119" borderId="74" applyProtection="0">
      <alignment vertical="center"/>
    </xf>
    <xf numFmtId="185" fontId="219" fillId="119" borderId="74">
      <alignment vertical="center"/>
    </xf>
    <xf numFmtId="185" fontId="220" fillId="113" borderId="74">
      <alignment vertical="center"/>
    </xf>
    <xf numFmtId="185" fontId="221" fillId="102" borderId="74">
      <alignment vertical="center"/>
    </xf>
    <xf numFmtId="185" fontId="221" fillId="102" borderId="74">
      <alignment vertical="center"/>
    </xf>
    <xf numFmtId="185" fontId="221" fillId="102" borderId="74" applyProtection="0">
      <alignment vertical="center"/>
    </xf>
    <xf numFmtId="185" fontId="220" fillId="113" borderId="74">
      <alignment vertical="center"/>
    </xf>
    <xf numFmtId="185" fontId="220" fillId="113" borderId="74" applyProtection="0">
      <alignment vertical="center"/>
    </xf>
    <xf numFmtId="185" fontId="219" fillId="86" borderId="74">
      <alignment vertical="center"/>
    </xf>
    <xf numFmtId="185" fontId="219" fillId="86" borderId="74">
      <alignment vertical="center"/>
    </xf>
    <xf numFmtId="185" fontId="219" fillId="86" borderId="74" applyProtection="0">
      <alignment vertical="center"/>
    </xf>
    <xf numFmtId="185" fontId="222" fillId="113" borderId="74">
      <alignment vertical="center"/>
    </xf>
    <xf numFmtId="185" fontId="222" fillId="113" borderId="74">
      <alignment vertical="center"/>
    </xf>
    <xf numFmtId="185" fontId="222" fillId="113" borderId="74" applyProtection="0">
      <alignment vertical="center"/>
    </xf>
    <xf numFmtId="185" fontId="221" fillId="102" borderId="74">
      <alignment vertical="center"/>
    </xf>
    <xf numFmtId="185" fontId="221" fillId="102" borderId="74">
      <alignment vertical="center"/>
    </xf>
    <xf numFmtId="185" fontId="221" fillId="102" borderId="74" applyProtection="0">
      <alignment vertical="center"/>
    </xf>
    <xf numFmtId="185" fontId="219" fillId="119" borderId="74">
      <alignment vertical="center"/>
    </xf>
    <xf numFmtId="185" fontId="219" fillId="119" borderId="74" applyProtection="0">
      <alignment vertical="center"/>
    </xf>
    <xf numFmtId="0" fontId="223" fillId="119" borderId="74">
      <alignment vertical="center"/>
    </xf>
    <xf numFmtId="0" fontId="224" fillId="113" borderId="74">
      <alignment vertical="center"/>
    </xf>
    <xf numFmtId="0" fontId="224" fillId="102" borderId="74">
      <alignment vertical="center"/>
    </xf>
    <xf numFmtId="0" fontId="224" fillId="102" borderId="74">
      <alignment vertical="center"/>
    </xf>
    <xf numFmtId="0" fontId="224" fillId="102" borderId="74" applyNumberFormat="0" applyProtection="0">
      <alignment vertical="center"/>
    </xf>
    <xf numFmtId="0" fontId="224" fillId="113" borderId="74">
      <alignment vertical="center"/>
    </xf>
    <xf numFmtId="0" fontId="224" fillId="113" borderId="74" applyNumberFormat="0" applyProtection="0">
      <alignment vertical="center"/>
    </xf>
    <xf numFmtId="0" fontId="224" fillId="86" borderId="74">
      <alignment vertical="center"/>
    </xf>
    <xf numFmtId="0" fontId="224" fillId="86" borderId="74">
      <alignment vertical="center"/>
    </xf>
    <xf numFmtId="0" fontId="224" fillId="86" borderId="74" applyNumberFormat="0" applyProtection="0">
      <alignment vertical="center"/>
    </xf>
    <xf numFmtId="0" fontId="224" fillId="113" borderId="74">
      <alignment vertical="center"/>
    </xf>
    <xf numFmtId="0" fontId="224" fillId="113" borderId="74">
      <alignment vertical="center"/>
    </xf>
    <xf numFmtId="0" fontId="224" fillId="113" borderId="74" applyNumberFormat="0" applyProtection="0">
      <alignment vertical="center"/>
    </xf>
    <xf numFmtId="0" fontId="224" fillId="102" borderId="74">
      <alignment vertical="center"/>
    </xf>
    <xf numFmtId="0" fontId="224" fillId="102" borderId="74">
      <alignment vertical="center"/>
    </xf>
    <xf numFmtId="0" fontId="224" fillId="102" borderId="74" applyNumberFormat="0" applyProtection="0">
      <alignment vertical="center"/>
    </xf>
    <xf numFmtId="0" fontId="223" fillId="119" borderId="74">
      <alignment vertical="center"/>
    </xf>
    <xf numFmtId="0" fontId="223" fillId="119" borderId="74" applyNumberFormat="0" applyProtection="0">
      <alignment vertical="center"/>
    </xf>
    <xf numFmtId="0" fontId="223" fillId="119" borderId="74">
      <alignment horizontal="left" vertical="center"/>
    </xf>
    <xf numFmtId="0" fontId="223" fillId="113" borderId="74">
      <alignment horizontal="left" vertical="center"/>
    </xf>
    <xf numFmtId="0" fontId="223" fillId="102" borderId="74">
      <alignment horizontal="left" vertical="center"/>
    </xf>
    <xf numFmtId="0" fontId="223" fillId="102" borderId="74">
      <alignment horizontal="left" vertical="center"/>
    </xf>
    <xf numFmtId="0" fontId="223" fillId="102" borderId="74" applyNumberFormat="0" applyProtection="0">
      <alignment horizontal="left" vertical="center"/>
    </xf>
    <xf numFmtId="0" fontId="223" fillId="113" borderId="74">
      <alignment horizontal="left" vertical="center"/>
    </xf>
    <xf numFmtId="0" fontId="223" fillId="113" borderId="74" applyNumberFormat="0" applyProtection="0">
      <alignment horizontal="left" vertical="center"/>
    </xf>
    <xf numFmtId="0" fontId="223" fillId="86" borderId="74">
      <alignment horizontal="left" vertical="center"/>
    </xf>
    <xf numFmtId="0" fontId="223" fillId="86" borderId="74">
      <alignment horizontal="left" vertical="center"/>
    </xf>
    <xf numFmtId="0" fontId="223" fillId="86" borderId="74" applyNumberFormat="0" applyProtection="0">
      <alignment horizontal="left" vertical="center"/>
    </xf>
    <xf numFmtId="0" fontId="223" fillId="113" borderId="74">
      <alignment horizontal="left" vertical="center"/>
    </xf>
    <xf numFmtId="0" fontId="223" fillId="113" borderId="74">
      <alignment horizontal="left" vertical="center"/>
    </xf>
    <xf numFmtId="0" fontId="223" fillId="113" borderId="74" applyNumberFormat="0" applyProtection="0">
      <alignment horizontal="left" vertical="center"/>
    </xf>
    <xf numFmtId="0" fontId="223" fillId="102" borderId="74">
      <alignment horizontal="left" vertical="center"/>
    </xf>
    <xf numFmtId="0" fontId="223" fillId="102" borderId="74">
      <alignment horizontal="left" vertical="center"/>
    </xf>
    <xf numFmtId="0" fontId="223" fillId="102" borderId="74" applyNumberFormat="0" applyProtection="0">
      <alignment horizontal="left" vertical="center"/>
    </xf>
    <xf numFmtId="0" fontId="223" fillId="119" borderId="74">
      <alignment horizontal="left" vertical="center"/>
    </xf>
    <xf numFmtId="0" fontId="223" fillId="119" borderId="74" applyNumberFormat="0" applyProtection="0">
      <alignment horizontal="left" vertical="center"/>
    </xf>
    <xf numFmtId="171" fontId="225" fillId="130" borderId="74">
      <alignment vertical="center"/>
    </xf>
    <xf numFmtId="171" fontId="225" fillId="93" borderId="74">
      <alignment vertical="center"/>
    </xf>
    <xf numFmtId="171" fontId="225" fillId="93" borderId="74">
      <alignment vertical="center"/>
    </xf>
    <xf numFmtId="171" fontId="225" fillId="93" borderId="74">
      <alignment vertical="center"/>
    </xf>
    <xf numFmtId="171" fontId="225" fillId="93" borderId="74" applyProtection="0">
      <alignment vertical="center"/>
    </xf>
    <xf numFmtId="171" fontId="225" fillId="99" borderId="74">
      <alignment vertical="center"/>
    </xf>
    <xf numFmtId="171" fontId="225" fillId="99" borderId="74">
      <alignment vertical="center"/>
    </xf>
    <xf numFmtId="171" fontId="225" fillId="99" borderId="74" applyProtection="0">
      <alignment vertical="center"/>
    </xf>
    <xf numFmtId="171" fontId="225" fillId="93" borderId="74">
      <alignment vertical="center"/>
    </xf>
    <xf numFmtId="171" fontId="225" fillId="93" borderId="74" applyProtection="0">
      <alignment vertical="center"/>
    </xf>
    <xf numFmtId="171" fontId="225" fillId="93" borderId="74">
      <alignment vertical="center"/>
    </xf>
    <xf numFmtId="171" fontId="225" fillId="130" borderId="74">
      <alignment vertical="center"/>
    </xf>
    <xf numFmtId="171" fontId="225" fillId="130" borderId="74">
      <alignment vertical="center"/>
    </xf>
    <xf numFmtId="171" fontId="225" fillId="130" borderId="74" applyProtection="0">
      <alignment vertical="center"/>
    </xf>
    <xf numFmtId="171" fontId="225" fillId="93" borderId="74">
      <alignment vertical="center"/>
    </xf>
    <xf numFmtId="171" fontId="225" fillId="93" borderId="74" applyProtection="0">
      <alignment vertical="center"/>
    </xf>
    <xf numFmtId="171" fontId="225" fillId="118" borderId="74">
      <alignment vertical="center"/>
    </xf>
    <xf numFmtId="171" fontId="225" fillId="118" borderId="74">
      <alignment vertical="center"/>
    </xf>
    <xf numFmtId="171" fontId="225" fillId="118" borderId="74" applyProtection="0">
      <alignment vertical="center"/>
    </xf>
    <xf numFmtId="171" fontId="225" fillId="99" borderId="74">
      <alignment vertical="center"/>
    </xf>
    <xf numFmtId="171" fontId="225" fillId="99" borderId="74">
      <alignment vertical="center"/>
    </xf>
    <xf numFmtId="171" fontId="225" fillId="99" borderId="74" applyProtection="0">
      <alignment vertical="center"/>
    </xf>
    <xf numFmtId="171" fontId="225" fillId="130" borderId="74">
      <alignment vertical="center"/>
    </xf>
    <xf numFmtId="171" fontId="225" fillId="130" borderId="74" applyProtection="0">
      <alignment vertical="center"/>
    </xf>
    <xf numFmtId="4" fontId="225" fillId="93" borderId="74">
      <alignment vertical="center"/>
    </xf>
    <xf numFmtId="4" fontId="225" fillId="93" borderId="74">
      <alignment vertical="center"/>
    </xf>
    <xf numFmtId="4" fontId="225" fillId="99" borderId="74">
      <alignment vertical="center"/>
    </xf>
    <xf numFmtId="4" fontId="225" fillId="99" borderId="74">
      <alignment vertical="center"/>
    </xf>
    <xf numFmtId="4" fontId="225" fillId="99" borderId="74" applyProtection="0">
      <alignment vertical="center"/>
    </xf>
    <xf numFmtId="4" fontId="225" fillId="93" borderId="74">
      <alignment vertical="center"/>
    </xf>
    <xf numFmtId="4" fontId="225" fillId="93" borderId="74" applyProtection="0">
      <alignment vertical="center"/>
    </xf>
    <xf numFmtId="4" fontId="225" fillId="93" borderId="74">
      <alignment vertical="center"/>
    </xf>
    <xf numFmtId="4" fontId="225" fillId="93" borderId="74">
      <alignment vertical="center"/>
    </xf>
    <xf numFmtId="4" fontId="225" fillId="93" borderId="74" applyProtection="0">
      <alignment vertical="center"/>
    </xf>
    <xf numFmtId="4" fontId="225" fillId="118" borderId="74">
      <alignment vertical="center"/>
    </xf>
    <xf numFmtId="4" fontId="225" fillId="118" borderId="74">
      <alignment vertical="center"/>
    </xf>
    <xf numFmtId="4" fontId="225" fillId="118" borderId="74" applyProtection="0">
      <alignment vertical="center"/>
    </xf>
    <xf numFmtId="4" fontId="225" fillId="99" borderId="74">
      <alignment vertical="center"/>
    </xf>
    <xf numFmtId="4" fontId="225" fillId="99" borderId="74">
      <alignment vertical="center"/>
    </xf>
    <xf numFmtId="4" fontId="225" fillId="99" borderId="74" applyProtection="0">
      <alignment vertical="center"/>
    </xf>
    <xf numFmtId="4" fontId="225" fillId="93" borderId="74">
      <alignment vertical="center"/>
    </xf>
    <xf numFmtId="4" fontId="225" fillId="93" borderId="74" applyProtection="0">
      <alignment vertical="center"/>
    </xf>
    <xf numFmtId="172" fontId="225" fillId="93" borderId="74">
      <alignment vertical="center"/>
    </xf>
    <xf numFmtId="172" fontId="225" fillId="93" borderId="74">
      <alignment vertical="center"/>
    </xf>
    <xf numFmtId="172" fontId="225" fillId="99" borderId="74">
      <alignment vertical="center"/>
    </xf>
    <xf numFmtId="172" fontId="225" fillId="99" borderId="74">
      <alignment vertical="center"/>
    </xf>
    <xf numFmtId="172" fontId="225" fillId="99" borderId="74" applyProtection="0">
      <alignment vertical="center"/>
    </xf>
    <xf numFmtId="172" fontId="225" fillId="93" borderId="74">
      <alignment vertical="center"/>
    </xf>
    <xf numFmtId="172" fontId="225" fillId="93" borderId="74" applyProtection="0">
      <alignment vertical="center"/>
    </xf>
    <xf numFmtId="172" fontId="225" fillId="93" borderId="74">
      <alignment vertical="center"/>
    </xf>
    <xf numFmtId="172" fontId="225" fillId="93" borderId="74">
      <alignment vertical="center"/>
    </xf>
    <xf numFmtId="172" fontId="225" fillId="93" borderId="74" applyProtection="0">
      <alignment vertical="center"/>
    </xf>
    <xf numFmtId="172" fontId="225" fillId="118" borderId="74">
      <alignment vertical="center"/>
    </xf>
    <xf numFmtId="172" fontId="225" fillId="118" borderId="74">
      <alignment vertical="center"/>
    </xf>
    <xf numFmtId="172" fontId="225" fillId="118" borderId="74" applyProtection="0">
      <alignment vertical="center"/>
    </xf>
    <xf numFmtId="172" fontId="225" fillId="99" borderId="74">
      <alignment vertical="center"/>
    </xf>
    <xf numFmtId="172" fontId="225" fillId="99" borderId="74">
      <alignment vertical="center"/>
    </xf>
    <xf numFmtId="172" fontId="225" fillId="99" borderId="74" applyProtection="0">
      <alignment vertical="center"/>
    </xf>
    <xf numFmtId="172" fontId="225" fillId="93" borderId="74">
      <alignment vertical="center"/>
    </xf>
    <xf numFmtId="172" fontId="225" fillId="93" borderId="74" applyProtection="0">
      <alignment vertical="center"/>
    </xf>
    <xf numFmtId="192" fontId="225" fillId="93" borderId="74">
      <alignment vertical="center"/>
    </xf>
    <xf numFmtId="192" fontId="225" fillId="93" borderId="74">
      <alignment vertical="center"/>
    </xf>
    <xf numFmtId="192" fontId="225" fillId="99" borderId="74">
      <alignment vertical="center"/>
    </xf>
    <xf numFmtId="192" fontId="225" fillId="99" borderId="74">
      <alignment vertical="center"/>
    </xf>
    <xf numFmtId="192" fontId="225" fillId="99" borderId="74" applyProtection="0">
      <alignment vertical="center"/>
    </xf>
    <xf numFmtId="192" fontId="225" fillId="93" borderId="74">
      <alignment vertical="center"/>
    </xf>
    <xf numFmtId="192" fontId="225" fillId="93" borderId="74" applyProtection="0">
      <alignment vertical="center"/>
    </xf>
    <xf numFmtId="192" fontId="225" fillId="93" borderId="74">
      <alignment vertical="center"/>
    </xf>
    <xf numFmtId="192" fontId="225" fillId="93" borderId="74">
      <alignment vertical="center"/>
    </xf>
    <xf numFmtId="192" fontId="225" fillId="93" borderId="74" applyProtection="0">
      <alignment vertical="center"/>
    </xf>
    <xf numFmtId="192" fontId="225" fillId="118" borderId="74">
      <alignment vertical="center"/>
    </xf>
    <xf numFmtId="192" fontId="225" fillId="118" borderId="74">
      <alignment vertical="center"/>
    </xf>
    <xf numFmtId="192" fontId="225" fillId="118" borderId="74" applyProtection="0">
      <alignment vertical="center"/>
    </xf>
    <xf numFmtId="192" fontId="225" fillId="99" borderId="74">
      <alignment vertical="center"/>
    </xf>
    <xf numFmtId="192" fontId="225" fillId="99" borderId="74">
      <alignment vertical="center"/>
    </xf>
    <xf numFmtId="192" fontId="225" fillId="99" borderId="74" applyProtection="0">
      <alignment vertical="center"/>
    </xf>
    <xf numFmtId="192" fontId="225" fillId="93" borderId="74">
      <alignment vertical="center"/>
    </xf>
    <xf numFmtId="192" fontId="225" fillId="93" borderId="74" applyProtection="0">
      <alignment vertical="center"/>
    </xf>
    <xf numFmtId="3" fontId="225" fillId="93" borderId="74">
      <alignment vertical="center"/>
    </xf>
    <xf numFmtId="3" fontId="225" fillId="93" borderId="74">
      <alignment vertical="center"/>
    </xf>
    <xf numFmtId="3" fontId="225" fillId="99" borderId="74">
      <alignment vertical="center"/>
    </xf>
    <xf numFmtId="3" fontId="225" fillId="99" borderId="74">
      <alignment vertical="center"/>
    </xf>
    <xf numFmtId="3" fontId="225" fillId="99" borderId="74" applyProtection="0">
      <alignment vertical="center"/>
    </xf>
    <xf numFmtId="3" fontId="225" fillId="93" borderId="74">
      <alignment vertical="center"/>
    </xf>
    <xf numFmtId="3" fontId="225" fillId="93" borderId="74" applyProtection="0">
      <alignment vertical="center"/>
    </xf>
    <xf numFmtId="3" fontId="225" fillId="93" borderId="74">
      <alignment vertical="center"/>
    </xf>
    <xf numFmtId="3" fontId="225" fillId="93" borderId="74">
      <alignment vertical="center"/>
    </xf>
    <xf numFmtId="3" fontId="225" fillId="93" borderId="74" applyProtection="0">
      <alignment vertical="center"/>
    </xf>
    <xf numFmtId="3" fontId="225" fillId="118" borderId="74">
      <alignment vertical="center"/>
    </xf>
    <xf numFmtId="3" fontId="225" fillId="118" borderId="74">
      <alignment vertical="center"/>
    </xf>
    <xf numFmtId="3" fontId="225" fillId="118" borderId="74" applyProtection="0">
      <alignment vertical="center"/>
    </xf>
    <xf numFmtId="3" fontId="225" fillId="99" borderId="74">
      <alignment vertical="center"/>
    </xf>
    <xf numFmtId="3" fontId="225" fillId="99" borderId="74">
      <alignment vertical="center"/>
    </xf>
    <xf numFmtId="3" fontId="225" fillId="99" borderId="74" applyProtection="0">
      <alignment vertical="center"/>
    </xf>
    <xf numFmtId="3" fontId="225" fillId="93" borderId="74">
      <alignment vertical="center"/>
    </xf>
    <xf numFmtId="3" fontId="225" fillId="93" borderId="74" applyProtection="0">
      <alignment vertical="center"/>
    </xf>
    <xf numFmtId="0" fontId="226" fillId="93" borderId="74">
      <alignment vertical="center"/>
    </xf>
    <xf numFmtId="193" fontId="226" fillId="93" borderId="74">
      <alignment vertical="center"/>
    </xf>
    <xf numFmtId="193" fontId="227" fillId="99" borderId="74">
      <alignment vertical="center"/>
    </xf>
    <xf numFmtId="209" fontId="227" fillId="99" borderId="74">
      <alignment vertical="center"/>
    </xf>
    <xf numFmtId="206" fontId="227" fillId="99" borderId="74" applyProtection="0">
      <alignment vertical="center"/>
    </xf>
    <xf numFmtId="209" fontId="226" fillId="93" borderId="74">
      <alignment vertical="center"/>
    </xf>
    <xf numFmtId="206" fontId="226" fillId="93" borderId="74" applyProtection="0">
      <alignment vertical="center"/>
    </xf>
    <xf numFmtId="193" fontId="226" fillId="93" borderId="74">
      <alignment vertical="center"/>
    </xf>
    <xf numFmtId="209" fontId="226" fillId="93" borderId="74">
      <alignment vertical="center"/>
    </xf>
    <xf numFmtId="206" fontId="226" fillId="93" borderId="74" applyProtection="0">
      <alignment vertical="center"/>
    </xf>
    <xf numFmtId="193" fontId="226" fillId="118" borderId="74">
      <alignment vertical="center"/>
    </xf>
    <xf numFmtId="209" fontId="226" fillId="118" borderId="74">
      <alignment vertical="center"/>
    </xf>
    <xf numFmtId="206" fontId="226" fillId="118" borderId="74" applyProtection="0">
      <alignment vertical="center"/>
    </xf>
    <xf numFmtId="193" fontId="227" fillId="99" borderId="74">
      <alignment vertical="center"/>
    </xf>
    <xf numFmtId="209" fontId="227" fillId="99" borderId="74">
      <alignment vertical="center"/>
    </xf>
    <xf numFmtId="206" fontId="227" fillId="99" borderId="74" applyProtection="0">
      <alignment vertical="center"/>
    </xf>
    <xf numFmtId="0" fontId="226" fillId="93" borderId="74">
      <alignment vertical="center"/>
    </xf>
    <xf numFmtId="0" fontId="226" fillId="93" borderId="74" applyNumberFormat="0" applyProtection="0">
      <alignment vertical="center"/>
    </xf>
    <xf numFmtId="0" fontId="226" fillId="93" borderId="74">
      <alignment vertical="center"/>
    </xf>
    <xf numFmtId="194" fontId="226" fillId="93" borderId="74">
      <alignment vertical="center"/>
    </xf>
    <xf numFmtId="194" fontId="227" fillId="99" borderId="74">
      <alignment vertical="center"/>
    </xf>
    <xf numFmtId="210" fontId="227" fillId="99" borderId="74">
      <alignment vertical="center"/>
    </xf>
    <xf numFmtId="207" fontId="227" fillId="99" borderId="74" applyProtection="0">
      <alignment vertical="center"/>
    </xf>
    <xf numFmtId="210" fontId="226" fillId="93" borderId="74">
      <alignment vertical="center"/>
    </xf>
    <xf numFmtId="207" fontId="226" fillId="93" borderId="74" applyProtection="0">
      <alignment vertical="center"/>
    </xf>
    <xf numFmtId="194" fontId="226" fillId="93" borderId="74">
      <alignment vertical="center"/>
    </xf>
    <xf numFmtId="210" fontId="226" fillId="93" borderId="74">
      <alignment vertical="center"/>
    </xf>
    <xf numFmtId="207" fontId="226" fillId="93" borderId="74" applyProtection="0">
      <alignment vertical="center"/>
    </xf>
    <xf numFmtId="194" fontId="226" fillId="118" borderId="74">
      <alignment vertical="center"/>
    </xf>
    <xf numFmtId="210" fontId="226" fillId="118" borderId="74">
      <alignment vertical="center"/>
    </xf>
    <xf numFmtId="207" fontId="226" fillId="118" borderId="74" applyProtection="0">
      <alignment vertical="center"/>
    </xf>
    <xf numFmtId="194" fontId="227" fillId="99" borderId="74">
      <alignment vertical="center"/>
    </xf>
    <xf numFmtId="210" fontId="227" fillId="99" borderId="74">
      <alignment vertical="center"/>
    </xf>
    <xf numFmtId="207" fontId="227" fillId="99" borderId="74" applyProtection="0">
      <alignment vertical="center"/>
    </xf>
    <xf numFmtId="0" fontId="226" fillId="93" borderId="74">
      <alignment vertical="center"/>
    </xf>
    <xf numFmtId="0" fontId="226" fillId="93" borderId="74" applyNumberFormat="0" applyProtection="0">
      <alignment vertical="center"/>
    </xf>
    <xf numFmtId="0" fontId="226" fillId="93" borderId="74">
      <alignment vertical="center"/>
    </xf>
    <xf numFmtId="195" fontId="226" fillId="93" borderId="74">
      <alignment vertical="center"/>
    </xf>
    <xf numFmtId="195" fontId="227" fillId="99" borderId="74">
      <alignment vertical="center"/>
    </xf>
    <xf numFmtId="211" fontId="227" fillId="99" borderId="74">
      <alignment vertical="center"/>
    </xf>
    <xf numFmtId="208" fontId="227" fillId="99" borderId="74" applyProtection="0">
      <alignment vertical="center"/>
    </xf>
    <xf numFmtId="211" fontId="226" fillId="93" borderId="74">
      <alignment vertical="center"/>
    </xf>
    <xf numFmtId="208" fontId="226" fillId="93" borderId="74" applyProtection="0">
      <alignment vertical="center"/>
    </xf>
    <xf numFmtId="195" fontId="226" fillId="93" borderId="74">
      <alignment vertical="center"/>
    </xf>
    <xf numFmtId="211" fontId="226" fillId="93" borderId="74">
      <alignment vertical="center"/>
    </xf>
    <xf numFmtId="208" fontId="226" fillId="93" borderId="74" applyProtection="0">
      <alignment vertical="center"/>
    </xf>
    <xf numFmtId="195" fontId="226" fillId="118" borderId="74">
      <alignment vertical="center"/>
    </xf>
    <xf numFmtId="211" fontId="226" fillId="118" borderId="74">
      <alignment vertical="center"/>
    </xf>
    <xf numFmtId="208" fontId="226" fillId="118" borderId="74" applyProtection="0">
      <alignment vertical="center"/>
    </xf>
    <xf numFmtId="195" fontId="227" fillId="99" borderId="74">
      <alignment vertical="center"/>
    </xf>
    <xf numFmtId="211" fontId="227" fillId="99" borderId="74">
      <alignment vertical="center"/>
    </xf>
    <xf numFmtId="208" fontId="227" fillId="99" borderId="74" applyProtection="0">
      <alignment vertical="center"/>
    </xf>
    <xf numFmtId="0" fontId="226" fillId="93" borderId="74">
      <alignment vertical="center"/>
    </xf>
    <xf numFmtId="0" fontId="226" fillId="93" borderId="74" applyNumberFormat="0" applyProtection="0">
      <alignment vertical="center"/>
    </xf>
    <xf numFmtId="196" fontId="228" fillId="93" borderId="74">
      <alignment vertical="center"/>
    </xf>
    <xf numFmtId="196" fontId="228" fillId="93" borderId="74">
      <alignment vertical="center"/>
    </xf>
    <xf numFmtId="196" fontId="228" fillId="99" borderId="74">
      <alignment vertical="center"/>
    </xf>
    <xf numFmtId="196" fontId="228" fillId="99" borderId="74">
      <alignment vertical="center"/>
    </xf>
    <xf numFmtId="196" fontId="228" fillId="99" borderId="74" applyProtection="0">
      <alignment vertical="center"/>
    </xf>
    <xf numFmtId="196" fontId="228" fillId="93" borderId="74">
      <alignment vertical="center"/>
    </xf>
    <xf numFmtId="196" fontId="228" fillId="93" borderId="74" applyProtection="0">
      <alignment vertical="center"/>
    </xf>
    <xf numFmtId="196" fontId="228" fillId="93" borderId="74">
      <alignment vertical="center"/>
    </xf>
    <xf numFmtId="196" fontId="228" fillId="93" borderId="74">
      <alignment vertical="center"/>
    </xf>
    <xf numFmtId="196" fontId="228" fillId="93" borderId="74" applyProtection="0">
      <alignment vertical="center"/>
    </xf>
    <xf numFmtId="196" fontId="228" fillId="118" borderId="74">
      <alignment vertical="center"/>
    </xf>
    <xf numFmtId="196" fontId="228" fillId="118" borderId="74">
      <alignment vertical="center"/>
    </xf>
    <xf numFmtId="196" fontId="228" fillId="118" borderId="74" applyProtection="0">
      <alignment vertical="center"/>
    </xf>
    <xf numFmtId="196" fontId="228" fillId="99" borderId="74">
      <alignment vertical="center"/>
    </xf>
    <xf numFmtId="196" fontId="228" fillId="99" borderId="74">
      <alignment vertical="center"/>
    </xf>
    <xf numFmtId="196" fontId="228" fillId="99" borderId="74" applyProtection="0">
      <alignment vertical="center"/>
    </xf>
    <xf numFmtId="196" fontId="228" fillId="93" borderId="74">
      <alignment vertical="center"/>
    </xf>
    <xf numFmtId="196" fontId="228" fillId="93" borderId="74" applyProtection="0">
      <alignment vertical="center"/>
    </xf>
    <xf numFmtId="197" fontId="228" fillId="93" borderId="74">
      <alignment vertical="center"/>
    </xf>
    <xf numFmtId="197" fontId="228" fillId="93" borderId="74">
      <alignment vertical="center"/>
    </xf>
    <xf numFmtId="197" fontId="228" fillId="99" borderId="74">
      <alignment vertical="center"/>
    </xf>
    <xf numFmtId="197" fontId="228" fillId="99" borderId="74">
      <alignment vertical="center"/>
    </xf>
    <xf numFmtId="197" fontId="228" fillId="99" borderId="74" applyProtection="0">
      <alignment vertical="center"/>
    </xf>
    <xf numFmtId="197" fontId="228" fillId="93" borderId="74">
      <alignment vertical="center"/>
    </xf>
    <xf numFmtId="197" fontId="228" fillId="93" borderId="74" applyProtection="0">
      <alignment vertical="center"/>
    </xf>
    <xf numFmtId="197" fontId="228" fillId="93" borderId="74">
      <alignment vertical="center"/>
    </xf>
    <xf numFmtId="197" fontId="228" fillId="93" borderId="74">
      <alignment vertical="center"/>
    </xf>
    <xf numFmtId="197" fontId="228" fillId="93" borderId="74" applyProtection="0">
      <alignment vertical="center"/>
    </xf>
    <xf numFmtId="197" fontId="228" fillId="118" borderId="74">
      <alignment vertical="center"/>
    </xf>
    <xf numFmtId="197" fontId="228" fillId="118" borderId="74">
      <alignment vertical="center"/>
    </xf>
    <xf numFmtId="197" fontId="228" fillId="118" borderId="74" applyProtection="0">
      <alignment vertical="center"/>
    </xf>
    <xf numFmtId="197" fontId="228" fillId="99" borderId="74">
      <alignment vertical="center"/>
    </xf>
    <xf numFmtId="197" fontId="228" fillId="99" borderId="74">
      <alignment vertical="center"/>
    </xf>
    <xf numFmtId="197" fontId="228" fillId="99" borderId="74" applyProtection="0">
      <alignment vertical="center"/>
    </xf>
    <xf numFmtId="197" fontId="228" fillId="93" borderId="74">
      <alignment vertical="center"/>
    </xf>
    <xf numFmtId="197" fontId="228" fillId="93" borderId="74" applyProtection="0">
      <alignment vertical="center"/>
    </xf>
    <xf numFmtId="198" fontId="228" fillId="93" borderId="74">
      <alignment vertical="center"/>
    </xf>
    <xf numFmtId="198" fontId="228" fillId="93" borderId="74">
      <alignment vertical="center"/>
    </xf>
    <xf numFmtId="198" fontId="228" fillId="99" borderId="74">
      <alignment vertical="center"/>
    </xf>
    <xf numFmtId="198" fontId="228" fillId="99" borderId="74">
      <alignment vertical="center"/>
    </xf>
    <xf numFmtId="198" fontId="228" fillId="99" borderId="74" applyProtection="0">
      <alignment vertical="center"/>
    </xf>
    <xf numFmtId="198" fontId="228" fillId="93" borderId="74">
      <alignment vertical="center"/>
    </xf>
    <xf numFmtId="198" fontId="228" fillId="93" borderId="74" applyProtection="0">
      <alignment vertical="center"/>
    </xf>
    <xf numFmtId="198" fontId="228" fillId="93" borderId="74">
      <alignment vertical="center"/>
    </xf>
    <xf numFmtId="198" fontId="228" fillId="93" borderId="74">
      <alignment vertical="center"/>
    </xf>
    <xf numFmtId="198" fontId="228" fillId="93" borderId="74" applyProtection="0">
      <alignment vertical="center"/>
    </xf>
    <xf numFmtId="198" fontId="228" fillId="118" borderId="74">
      <alignment vertical="center"/>
    </xf>
    <xf numFmtId="198" fontId="228" fillId="118" borderId="74">
      <alignment vertical="center"/>
    </xf>
    <xf numFmtId="198" fontId="228" fillId="118" borderId="74" applyProtection="0">
      <alignment vertical="center"/>
    </xf>
    <xf numFmtId="198" fontId="228" fillId="99" borderId="74">
      <alignment vertical="center"/>
    </xf>
    <xf numFmtId="198" fontId="228" fillId="99" borderId="74">
      <alignment vertical="center"/>
    </xf>
    <xf numFmtId="198" fontId="228" fillId="99" borderId="74" applyProtection="0">
      <alignment vertical="center"/>
    </xf>
    <xf numFmtId="198" fontId="228" fillId="93" borderId="74">
      <alignment vertical="center"/>
    </xf>
    <xf numFmtId="198" fontId="228" fillId="93" borderId="74" applyProtection="0">
      <alignment vertical="center"/>
    </xf>
    <xf numFmtId="165" fontId="229" fillId="93" borderId="74">
      <alignment vertical="center"/>
    </xf>
    <xf numFmtId="165" fontId="230" fillId="93" borderId="74">
      <alignment vertical="center"/>
    </xf>
    <xf numFmtId="165" fontId="232" fillId="99" borderId="74">
      <alignment vertical="center"/>
    </xf>
    <xf numFmtId="165" fontId="232" fillId="99" borderId="74">
      <alignment vertical="center"/>
    </xf>
    <xf numFmtId="165" fontId="232" fillId="99" borderId="74" applyProtection="0">
      <alignment vertical="center"/>
    </xf>
    <xf numFmtId="165" fontId="230" fillId="93" borderId="74">
      <alignment vertical="center"/>
    </xf>
    <xf numFmtId="165" fontId="230" fillId="93" borderId="74" applyProtection="0">
      <alignment vertical="center"/>
    </xf>
    <xf numFmtId="165" fontId="229" fillId="93" borderId="74">
      <alignment vertical="center"/>
    </xf>
    <xf numFmtId="165" fontId="229" fillId="93" borderId="74">
      <alignment vertical="center"/>
    </xf>
    <xf numFmtId="165" fontId="229" fillId="93" borderId="74" applyProtection="0">
      <alignment vertical="center"/>
    </xf>
    <xf numFmtId="165" fontId="231" fillId="118" borderId="74">
      <alignment vertical="center"/>
    </xf>
    <xf numFmtId="165" fontId="231" fillId="118" borderId="74">
      <alignment vertical="center"/>
    </xf>
    <xf numFmtId="165" fontId="231" fillId="118" borderId="74" applyProtection="0">
      <alignment vertical="center"/>
    </xf>
    <xf numFmtId="165" fontId="232" fillId="99" borderId="74">
      <alignment vertical="center"/>
    </xf>
    <xf numFmtId="165" fontId="232" fillId="99" borderId="74">
      <alignment vertical="center"/>
    </xf>
    <xf numFmtId="165" fontId="232" fillId="99" borderId="74" applyProtection="0">
      <alignment vertical="center"/>
    </xf>
    <xf numFmtId="165" fontId="229" fillId="93" borderId="74">
      <alignment vertical="center"/>
    </xf>
    <xf numFmtId="165" fontId="229" fillId="93" borderId="74" applyProtection="0">
      <alignment vertical="center"/>
    </xf>
    <xf numFmtId="199" fontId="229" fillId="93" borderId="74">
      <alignment vertical="center"/>
    </xf>
    <xf numFmtId="199" fontId="230" fillId="93" borderId="74">
      <alignment vertical="center"/>
    </xf>
    <xf numFmtId="199" fontId="232" fillId="99" borderId="74">
      <alignment vertical="center"/>
    </xf>
    <xf numFmtId="199" fontId="232" fillId="99" borderId="74">
      <alignment vertical="center"/>
    </xf>
    <xf numFmtId="199" fontId="232" fillId="99" borderId="74" applyProtection="0">
      <alignment vertical="center"/>
    </xf>
    <xf numFmtId="199" fontId="230" fillId="93" borderId="74">
      <alignment vertical="center"/>
    </xf>
    <xf numFmtId="199" fontId="230" fillId="93" borderId="74" applyProtection="0">
      <alignment vertical="center"/>
    </xf>
    <xf numFmtId="199" fontId="229" fillId="93" borderId="74">
      <alignment vertical="center"/>
    </xf>
    <xf numFmtId="199" fontId="229" fillId="93" borderId="74">
      <alignment vertical="center"/>
    </xf>
    <xf numFmtId="199" fontId="229" fillId="93" borderId="74" applyProtection="0">
      <alignment vertical="center"/>
    </xf>
    <xf numFmtId="199" fontId="231" fillId="118" borderId="74">
      <alignment vertical="center"/>
    </xf>
    <xf numFmtId="199" fontId="231" fillId="118" borderId="74">
      <alignment vertical="center"/>
    </xf>
    <xf numFmtId="199" fontId="231" fillId="118" borderId="74" applyProtection="0">
      <alignment vertical="center"/>
    </xf>
    <xf numFmtId="199" fontId="232" fillId="99" borderId="74">
      <alignment vertical="center"/>
    </xf>
    <xf numFmtId="199" fontId="232" fillId="99" borderId="74">
      <alignment vertical="center"/>
    </xf>
    <xf numFmtId="199" fontId="232" fillId="99" borderId="74" applyProtection="0">
      <alignment vertical="center"/>
    </xf>
    <xf numFmtId="199" fontId="229" fillId="93" borderId="74">
      <alignment vertical="center"/>
    </xf>
    <xf numFmtId="199" fontId="229" fillId="93" borderId="74" applyProtection="0">
      <alignment vertical="center"/>
    </xf>
    <xf numFmtId="185" fontId="229" fillId="93" borderId="74">
      <alignment vertical="center"/>
    </xf>
    <xf numFmtId="185" fontId="230" fillId="93" borderId="74">
      <alignment vertical="center"/>
    </xf>
    <xf numFmtId="185" fontId="232" fillId="99" borderId="74">
      <alignment vertical="center"/>
    </xf>
    <xf numFmtId="185" fontId="232" fillId="99" borderId="74">
      <alignment vertical="center"/>
    </xf>
    <xf numFmtId="185" fontId="232" fillId="99" borderId="74" applyProtection="0">
      <alignment vertical="center"/>
    </xf>
    <xf numFmtId="185" fontId="230" fillId="93" borderId="74">
      <alignment vertical="center"/>
    </xf>
    <xf numFmtId="185" fontId="230" fillId="93" borderId="74" applyProtection="0">
      <alignment vertical="center"/>
    </xf>
    <xf numFmtId="185" fontId="229" fillId="93" borderId="74">
      <alignment vertical="center"/>
    </xf>
    <xf numFmtId="185" fontId="229" fillId="93" borderId="74">
      <alignment vertical="center"/>
    </xf>
    <xf numFmtId="185" fontId="229" fillId="93" borderId="74" applyProtection="0">
      <alignment vertical="center"/>
    </xf>
    <xf numFmtId="185" fontId="231" fillId="118" borderId="74">
      <alignment vertical="center"/>
    </xf>
    <xf numFmtId="185" fontId="231" fillId="118" borderId="74">
      <alignment vertical="center"/>
    </xf>
    <xf numFmtId="185" fontId="231" fillId="118" borderId="74" applyProtection="0">
      <alignment vertical="center"/>
    </xf>
    <xf numFmtId="185" fontId="232" fillId="99" borderId="74">
      <alignment vertical="center"/>
    </xf>
    <xf numFmtId="185" fontId="232" fillId="99" borderId="74">
      <alignment vertical="center"/>
    </xf>
    <xf numFmtId="185" fontId="232" fillId="99" borderId="74" applyProtection="0">
      <alignment vertical="center"/>
    </xf>
    <xf numFmtId="185" fontId="229" fillId="93" borderId="74">
      <alignment vertical="center"/>
    </xf>
    <xf numFmtId="185" fontId="229" fillId="93" borderId="74" applyProtection="0">
      <alignment vertical="center"/>
    </xf>
    <xf numFmtId="0" fontId="233" fillId="93" borderId="74">
      <alignment vertical="center"/>
    </xf>
    <xf numFmtId="0" fontId="234" fillId="93" borderId="74">
      <alignment vertical="center"/>
    </xf>
    <xf numFmtId="0" fontId="234" fillId="99" borderId="74">
      <alignment vertical="center"/>
    </xf>
    <xf numFmtId="0" fontId="234" fillId="99" borderId="74">
      <alignment vertical="center"/>
    </xf>
    <xf numFmtId="0" fontId="234" fillId="99" borderId="74" applyNumberFormat="0" applyProtection="0">
      <alignment vertical="center"/>
    </xf>
    <xf numFmtId="0" fontId="234" fillId="93" borderId="74">
      <alignment vertical="center"/>
    </xf>
    <xf numFmtId="0" fontId="234" fillId="93" borderId="74" applyNumberFormat="0" applyProtection="0">
      <alignment vertical="center"/>
    </xf>
    <xf numFmtId="0" fontId="234" fillId="93" borderId="74">
      <alignment vertical="center"/>
    </xf>
    <xf numFmtId="0" fontId="234" fillId="93" borderId="74">
      <alignment vertical="center"/>
    </xf>
    <xf numFmtId="0" fontId="234" fillId="93" borderId="74" applyNumberFormat="0" applyProtection="0">
      <alignment vertical="center"/>
    </xf>
    <xf numFmtId="0" fontId="234" fillId="118" borderId="74">
      <alignment vertical="center"/>
    </xf>
    <xf numFmtId="0" fontId="234" fillId="118" borderId="74">
      <alignment vertical="center"/>
    </xf>
    <xf numFmtId="0" fontId="234" fillId="118" borderId="74" applyNumberFormat="0" applyProtection="0">
      <alignment vertical="center"/>
    </xf>
    <xf numFmtId="0" fontId="234" fillId="99" borderId="74">
      <alignment vertical="center"/>
    </xf>
    <xf numFmtId="0" fontId="234" fillId="99" borderId="74">
      <alignment vertical="center"/>
    </xf>
    <xf numFmtId="0" fontId="234" fillId="99" borderId="74" applyNumberFormat="0" applyProtection="0">
      <alignment vertical="center"/>
    </xf>
    <xf numFmtId="0" fontId="233" fillId="93" borderId="74">
      <alignment vertical="center"/>
    </xf>
    <xf numFmtId="0" fontId="233" fillId="93" borderId="74" applyNumberFormat="0" applyProtection="0">
      <alignment vertical="center"/>
    </xf>
    <xf numFmtId="0" fontId="233" fillId="93" borderId="74">
      <alignment horizontal="left" vertical="center"/>
    </xf>
    <xf numFmtId="0" fontId="233" fillId="93" borderId="74">
      <alignment horizontal="left" vertical="center"/>
    </xf>
    <xf numFmtId="0" fontId="233" fillId="99" borderId="74">
      <alignment horizontal="left" vertical="center"/>
    </xf>
    <xf numFmtId="0" fontId="233" fillId="99" borderId="74">
      <alignment horizontal="left" vertical="center"/>
    </xf>
    <xf numFmtId="0" fontId="233" fillId="99" borderId="74" applyNumberFormat="0" applyProtection="0">
      <alignment horizontal="left" vertical="center"/>
    </xf>
    <xf numFmtId="0" fontId="233" fillId="93" borderId="74">
      <alignment horizontal="left" vertical="center"/>
    </xf>
    <xf numFmtId="0" fontId="233" fillId="93" borderId="74" applyNumberFormat="0" applyProtection="0">
      <alignment horizontal="left" vertical="center"/>
    </xf>
    <xf numFmtId="0" fontId="233" fillId="93" borderId="74">
      <alignment horizontal="left" vertical="center"/>
    </xf>
    <xf numFmtId="0" fontId="233" fillId="93" borderId="74">
      <alignment horizontal="left" vertical="center"/>
    </xf>
    <xf numFmtId="0" fontId="233" fillId="93" borderId="74" applyNumberFormat="0" applyProtection="0">
      <alignment horizontal="left" vertical="center"/>
    </xf>
    <xf numFmtId="0" fontId="233" fillId="118" borderId="74">
      <alignment horizontal="left" vertical="center"/>
    </xf>
    <xf numFmtId="0" fontId="233" fillId="118" borderId="74">
      <alignment horizontal="left" vertical="center"/>
    </xf>
    <xf numFmtId="0" fontId="233" fillId="118" borderId="74" applyNumberFormat="0" applyProtection="0">
      <alignment horizontal="left" vertical="center"/>
    </xf>
    <xf numFmtId="0" fontId="233" fillId="99" borderId="74">
      <alignment horizontal="left" vertical="center"/>
    </xf>
    <xf numFmtId="0" fontId="233" fillId="99" borderId="74">
      <alignment horizontal="left" vertical="center"/>
    </xf>
    <xf numFmtId="0" fontId="233" fillId="99" borderId="74" applyNumberFormat="0" applyProtection="0">
      <alignment horizontal="left" vertical="center"/>
    </xf>
    <xf numFmtId="0" fontId="233" fillId="93" borderId="74">
      <alignment horizontal="left" vertical="center"/>
    </xf>
    <xf numFmtId="0" fontId="233" fillId="93" borderId="74" applyNumberFormat="0" applyProtection="0">
      <alignment horizontal="left" vertical="center"/>
    </xf>
    <xf numFmtId="0" fontId="89" fillId="128" borderId="0">
      <alignment horizontal="left" vertical="center"/>
    </xf>
    <xf numFmtId="0" fontId="89" fillId="107" borderId="0">
      <alignment horizontal="left" vertical="center"/>
    </xf>
    <xf numFmtId="0" fontId="89" fillId="107" borderId="0">
      <alignment horizontal="left" vertical="center"/>
    </xf>
    <xf numFmtId="0" fontId="90" fillId="107" borderId="0" applyNumberFormat="0" applyBorder="0" applyProtection="0">
      <alignment horizontal="left" vertical="center"/>
    </xf>
    <xf numFmtId="0" fontId="89" fillId="99" borderId="0">
      <alignment horizontal="left" vertical="center"/>
    </xf>
    <xf numFmtId="0" fontId="89" fillId="99" borderId="0">
      <alignment horizontal="left" vertical="center"/>
    </xf>
    <xf numFmtId="0" fontId="90" fillId="99" borderId="0" applyNumberFormat="0" applyBorder="0" applyProtection="0">
      <alignment horizontal="left" vertical="center"/>
    </xf>
    <xf numFmtId="0" fontId="89" fillId="128" borderId="0">
      <alignment horizontal="left" vertical="center"/>
    </xf>
    <xf numFmtId="0" fontId="89" fillId="128" borderId="0">
      <alignment horizontal="left" vertical="center"/>
    </xf>
    <xf numFmtId="0" fontId="90" fillId="128" borderId="0" applyNumberFormat="0" applyBorder="0" applyProtection="0">
      <alignment horizontal="left" vertical="center"/>
    </xf>
    <xf numFmtId="0" fontId="89" fillId="107" borderId="0">
      <alignment horizontal="left" vertical="center"/>
    </xf>
    <xf numFmtId="0" fontId="89" fillId="107" borderId="0">
      <alignment horizontal="left" vertical="center"/>
    </xf>
    <xf numFmtId="0" fontId="90" fillId="107" borderId="0" applyNumberFormat="0" applyBorder="0" applyProtection="0">
      <alignment horizontal="left" vertical="center"/>
    </xf>
    <xf numFmtId="0" fontId="89" fillId="128" borderId="0">
      <alignment horizontal="left" vertical="center"/>
    </xf>
    <xf numFmtId="0" fontId="90" fillId="128" borderId="0" applyNumberFormat="0" applyBorder="0" applyProtection="0">
      <alignment horizontal="left" vertical="center"/>
    </xf>
    <xf numFmtId="49" fontId="89" fillId="131" borderId="38">
      <alignment vertical="center" wrapText="1"/>
    </xf>
    <xf numFmtId="49" fontId="89" fillId="85" borderId="38">
      <alignment vertical="center" wrapText="1"/>
    </xf>
    <xf numFmtId="49" fontId="89" fillId="85" borderId="38">
      <alignment vertical="center" wrapText="1"/>
    </xf>
    <xf numFmtId="49" fontId="89" fillId="85" borderId="38">
      <alignment vertical="center" wrapText="1"/>
    </xf>
    <xf numFmtId="49" fontId="90" fillId="85" borderId="38" applyProtection="0">
      <alignment vertical="center" wrapText="1"/>
    </xf>
    <xf numFmtId="49" fontId="89" fillId="111" borderId="38">
      <alignment vertical="center" wrapText="1"/>
    </xf>
    <xf numFmtId="49" fontId="89" fillId="111" borderId="38">
      <alignment vertical="center" wrapText="1"/>
    </xf>
    <xf numFmtId="49" fontId="90" fillId="111" borderId="38" applyProtection="0">
      <alignment vertical="center" wrapText="1"/>
    </xf>
    <xf numFmtId="49" fontId="89" fillId="85" borderId="38">
      <alignment vertical="center" wrapText="1"/>
    </xf>
    <xf numFmtId="49" fontId="90" fillId="85" borderId="38" applyProtection="0">
      <alignment vertical="center" wrapText="1"/>
    </xf>
    <xf numFmtId="49" fontId="89" fillId="85" borderId="38">
      <alignment vertical="center" wrapText="1"/>
    </xf>
    <xf numFmtId="49" fontId="89" fillId="131" borderId="38">
      <alignment vertical="center" wrapText="1"/>
    </xf>
    <xf numFmtId="49" fontId="89" fillId="131" borderId="38">
      <alignment vertical="center" wrapText="1"/>
    </xf>
    <xf numFmtId="49" fontId="90" fillId="131" borderId="38" applyProtection="0">
      <alignment vertical="center" wrapText="1"/>
    </xf>
    <xf numFmtId="49" fontId="89" fillId="85" borderId="38">
      <alignment vertical="center" wrapText="1"/>
    </xf>
    <xf numFmtId="49" fontId="90" fillId="85" borderId="38" applyProtection="0">
      <alignment vertical="center" wrapText="1"/>
    </xf>
    <xf numFmtId="49" fontId="89" fillId="85" borderId="38">
      <alignment vertical="center" wrapText="1"/>
    </xf>
    <xf numFmtId="49" fontId="89" fillId="85" borderId="38">
      <alignment vertical="center" wrapText="1"/>
    </xf>
    <xf numFmtId="49" fontId="90" fillId="85" borderId="38" applyProtection="0">
      <alignment vertical="center" wrapText="1"/>
    </xf>
    <xf numFmtId="49" fontId="89" fillId="110" borderId="38">
      <alignment vertical="center" wrapText="1"/>
    </xf>
    <xf numFmtId="49" fontId="89" fillId="110" borderId="38">
      <alignment vertical="center" wrapText="1"/>
    </xf>
    <xf numFmtId="49" fontId="90" fillId="110" borderId="38" applyProtection="0">
      <alignment vertical="center" wrapText="1"/>
    </xf>
    <xf numFmtId="49" fontId="89" fillId="131" borderId="38">
      <alignment vertical="center" wrapText="1"/>
    </xf>
    <xf numFmtId="49" fontId="90" fillId="131" borderId="38" applyProtection="0">
      <alignment vertical="center" wrapText="1"/>
    </xf>
    <xf numFmtId="0" fontId="89" fillId="101" borderId="38">
      <alignment horizontal="left" vertical="center" wrapText="1"/>
    </xf>
    <xf numFmtId="0" fontId="89" fillId="101" borderId="38">
      <alignment horizontal="left" vertical="center" wrapText="1"/>
    </xf>
    <xf numFmtId="0" fontId="89" fillId="101" borderId="38">
      <alignment horizontal="left" vertical="center" wrapText="1"/>
    </xf>
    <xf numFmtId="0" fontId="90" fillId="101" borderId="38" applyNumberFormat="0" applyProtection="0">
      <alignment horizontal="left" vertical="center" wrapText="1"/>
    </xf>
    <xf numFmtId="0" fontId="89" fillId="101" borderId="38">
      <alignment horizontal="left" vertical="center" wrapText="1"/>
    </xf>
    <xf numFmtId="0" fontId="89" fillId="101" borderId="38">
      <alignment horizontal="left" vertical="center" wrapText="1"/>
    </xf>
    <xf numFmtId="0" fontId="90" fillId="101" borderId="38" applyNumberFormat="0" applyProtection="0">
      <alignment horizontal="left" vertical="center" wrapText="1"/>
    </xf>
    <xf numFmtId="0" fontId="89" fillId="101" borderId="38">
      <alignment horizontal="left" vertical="center" wrapText="1"/>
    </xf>
    <xf numFmtId="0" fontId="89" fillId="101" borderId="38">
      <alignment horizontal="left" vertical="center" wrapText="1"/>
    </xf>
    <xf numFmtId="0" fontId="90" fillId="101" borderId="38" applyNumberFormat="0" applyProtection="0">
      <alignment horizontal="left" vertical="center" wrapText="1"/>
    </xf>
    <xf numFmtId="0" fontId="89" fillId="101" borderId="38">
      <alignment horizontal="left" vertical="center" wrapText="1"/>
    </xf>
    <xf numFmtId="0" fontId="90" fillId="101" borderId="38" applyNumberFormat="0" applyProtection="0">
      <alignment horizontal="left" vertical="center" wrapText="1"/>
    </xf>
    <xf numFmtId="0" fontId="151" fillId="101" borderId="38">
      <alignment horizontal="left" vertical="center" wrapText="1"/>
    </xf>
    <xf numFmtId="0" fontId="151" fillId="101" borderId="38">
      <alignment horizontal="left" vertical="center" wrapText="1"/>
    </xf>
    <xf numFmtId="0" fontId="151" fillId="101" borderId="38">
      <alignment horizontal="left" vertical="center" wrapText="1"/>
    </xf>
    <xf numFmtId="0" fontId="214" fillId="101" borderId="38" applyNumberFormat="0" applyProtection="0">
      <alignment horizontal="left" vertical="center" wrapText="1"/>
    </xf>
    <xf numFmtId="0" fontId="151" fillId="101" borderId="38">
      <alignment horizontal="left" vertical="center" wrapText="1"/>
    </xf>
    <xf numFmtId="0" fontId="151" fillId="101" borderId="38">
      <alignment horizontal="left" vertical="center" wrapText="1"/>
    </xf>
    <xf numFmtId="0" fontId="214" fillId="101" borderId="38" applyNumberFormat="0" applyProtection="0">
      <alignment horizontal="left" vertical="center" wrapText="1"/>
    </xf>
    <xf numFmtId="0" fontId="151" fillId="101" borderId="38">
      <alignment horizontal="left" vertical="center" wrapText="1"/>
    </xf>
    <xf numFmtId="0" fontId="151" fillId="101" borderId="38">
      <alignment horizontal="left" vertical="center" wrapText="1"/>
    </xf>
    <xf numFmtId="0" fontId="214" fillId="101" borderId="38" applyNumberFormat="0" applyProtection="0">
      <alignment horizontal="left" vertical="center" wrapText="1"/>
    </xf>
    <xf numFmtId="0" fontId="151" fillId="101" borderId="38">
      <alignment horizontal="left" vertical="center" wrapText="1"/>
    </xf>
    <xf numFmtId="0" fontId="214" fillId="101" borderId="38" applyNumberFormat="0" applyProtection="0">
      <alignment horizontal="left" vertical="center" wrapText="1"/>
    </xf>
    <xf numFmtId="0" fontId="89" fillId="111" borderId="75">
      <alignment horizontal="left" vertical="center" wrapText="1"/>
    </xf>
    <xf numFmtId="0" fontId="89" fillId="132" borderId="38">
      <alignment horizontal="left" vertical="center" wrapText="1"/>
    </xf>
    <xf numFmtId="0" fontId="89" fillId="132" borderId="38">
      <alignment horizontal="left" vertical="center" wrapText="1"/>
    </xf>
    <xf numFmtId="0" fontId="90" fillId="132" borderId="38" applyNumberFormat="0" applyProtection="0">
      <alignment horizontal="left" vertical="center" wrapText="1"/>
    </xf>
    <xf numFmtId="0" fontId="89" fillId="110" borderId="38">
      <alignment horizontal="left" vertical="center" wrapText="1"/>
    </xf>
    <xf numFmtId="0" fontId="89" fillId="110" borderId="38">
      <alignment horizontal="left" vertical="center" wrapText="1"/>
    </xf>
    <xf numFmtId="0" fontId="90" fillId="110" borderId="38" applyNumberFormat="0" applyProtection="0">
      <alignment horizontal="left" vertical="center" wrapText="1"/>
    </xf>
    <xf numFmtId="0" fontId="89" fillId="132" borderId="38">
      <alignment horizontal="left" vertical="center" wrapText="1"/>
    </xf>
    <xf numFmtId="0" fontId="89" fillId="132" borderId="38">
      <alignment horizontal="left" vertical="center" wrapText="1"/>
    </xf>
    <xf numFmtId="0" fontId="90" fillId="132" borderId="38" applyNumberFormat="0" applyProtection="0">
      <alignment horizontal="left" vertical="center" wrapText="1"/>
    </xf>
    <xf numFmtId="0" fontId="89" fillId="108" borderId="38">
      <alignment horizontal="left" vertical="center" wrapText="1"/>
    </xf>
    <xf numFmtId="0" fontId="89" fillId="108" borderId="38">
      <alignment horizontal="left" vertical="center" wrapText="1"/>
    </xf>
    <xf numFmtId="0" fontId="90" fillId="108" borderId="38" applyNumberFormat="0" applyProtection="0">
      <alignment horizontal="left" vertical="center" wrapText="1"/>
    </xf>
    <xf numFmtId="0" fontId="89" fillId="111" borderId="75">
      <alignment horizontal="left" vertical="center" wrapText="1"/>
    </xf>
    <xf numFmtId="0" fontId="90" fillId="111" borderId="75" applyNumberFormat="0" applyProtection="0">
      <alignment horizontal="left" vertical="center" wrapText="1"/>
    </xf>
    <xf numFmtId="0" fontId="235" fillId="99" borderId="38">
      <alignment horizontal="left" vertical="center" wrapText="1"/>
    </xf>
    <xf numFmtId="0" fontId="235" fillId="99" borderId="38">
      <alignment horizontal="left" vertical="center" wrapText="1"/>
    </xf>
    <xf numFmtId="0" fontId="235" fillId="99" borderId="38">
      <alignment horizontal="left" vertical="center" wrapText="1"/>
    </xf>
    <xf numFmtId="0" fontId="236" fillId="99" borderId="38" applyNumberFormat="0" applyProtection="0">
      <alignment horizontal="left" vertical="center" wrapText="1"/>
    </xf>
    <xf numFmtId="0" fontId="235" fillId="100" borderId="38">
      <alignment horizontal="left" vertical="center" wrapText="1"/>
    </xf>
    <xf numFmtId="0" fontId="235" fillId="100" borderId="38">
      <alignment horizontal="left" vertical="center" wrapText="1"/>
    </xf>
    <xf numFmtId="0" fontId="236" fillId="100" borderId="38" applyNumberFormat="0" applyProtection="0">
      <alignment horizontal="left" vertical="center" wrapText="1"/>
    </xf>
    <xf numFmtId="0" fontId="235" fillId="133" borderId="38">
      <alignment horizontal="left" vertical="center" wrapText="1"/>
    </xf>
    <xf numFmtId="0" fontId="235" fillId="133" borderId="38">
      <alignment horizontal="left" vertical="center" wrapText="1"/>
    </xf>
    <xf numFmtId="0" fontId="236" fillId="133" borderId="38" applyNumberFormat="0" applyProtection="0">
      <alignment horizontal="left" vertical="center" wrapText="1"/>
    </xf>
    <xf numFmtId="0" fontId="235" fillId="95" borderId="38">
      <alignment horizontal="left" vertical="center" wrapText="1"/>
    </xf>
    <xf numFmtId="0" fontId="235" fillId="95" borderId="38">
      <alignment horizontal="left" vertical="center" wrapText="1"/>
    </xf>
    <xf numFmtId="0" fontId="236" fillId="95" borderId="38" applyNumberFormat="0" applyProtection="0">
      <alignment horizontal="left" vertical="center" wrapText="1"/>
    </xf>
    <xf numFmtId="0" fontId="235" fillId="99" borderId="38">
      <alignment horizontal="left" vertical="center" wrapText="1"/>
    </xf>
    <xf numFmtId="0" fontId="236" fillId="99" borderId="38" applyNumberFormat="0" applyProtection="0">
      <alignment horizontal="left" vertical="center" wrapText="1"/>
    </xf>
    <xf numFmtId="49" fontId="237" fillId="124" borderId="76">
      <alignment vertical="center"/>
    </xf>
    <xf numFmtId="49" fontId="238" fillId="124" borderId="60">
      <alignment vertical="center"/>
    </xf>
    <xf numFmtId="49" fontId="238" fillId="124" borderId="60">
      <alignment vertical="center"/>
    </xf>
    <xf numFmtId="49" fontId="239" fillId="124" borderId="60" applyProtection="0">
      <alignment vertical="center"/>
    </xf>
    <xf numFmtId="49" fontId="240" fillId="124" borderId="60">
      <alignment vertical="center"/>
    </xf>
    <xf numFmtId="49" fontId="240" fillId="124" borderId="60">
      <alignment vertical="center"/>
    </xf>
    <xf numFmtId="49" fontId="241" fillId="124" borderId="60" applyProtection="0">
      <alignment vertical="center"/>
    </xf>
    <xf numFmtId="49" fontId="240" fillId="124" borderId="60">
      <alignment vertical="center"/>
    </xf>
    <xf numFmtId="49" fontId="240" fillId="124" borderId="60">
      <alignment vertical="center"/>
    </xf>
    <xf numFmtId="49" fontId="241" fillId="124" borderId="60" applyProtection="0">
      <alignment vertical="center"/>
    </xf>
    <xf numFmtId="49" fontId="238" fillId="124" borderId="60">
      <alignment vertical="center"/>
    </xf>
    <xf numFmtId="49" fontId="238" fillId="124" borderId="60">
      <alignment vertical="center"/>
    </xf>
    <xf numFmtId="49" fontId="239" fillId="124" borderId="60" applyProtection="0">
      <alignment vertical="center"/>
    </xf>
    <xf numFmtId="49" fontId="237" fillId="124" borderId="76">
      <alignment vertical="center"/>
    </xf>
    <xf numFmtId="49" fontId="242" fillId="124" borderId="76" applyProtection="0">
      <alignment vertical="center"/>
    </xf>
    <xf numFmtId="0" fontId="243" fillId="124" borderId="77">
      <alignment horizontal="left" vertical="center" wrapText="1"/>
    </xf>
    <xf numFmtId="0" fontId="243" fillId="124" borderId="0">
      <alignment horizontal="left" vertical="center" wrapText="1"/>
    </xf>
    <xf numFmtId="0" fontId="243" fillId="124" borderId="0">
      <alignment horizontal="left" vertical="center" wrapText="1"/>
    </xf>
    <xf numFmtId="0" fontId="244" fillId="124" borderId="0" applyNumberFormat="0" applyBorder="0" applyProtection="0">
      <alignment horizontal="left" vertical="center" wrapText="1"/>
    </xf>
    <xf numFmtId="0" fontId="243" fillId="124" borderId="0">
      <alignment horizontal="left" vertical="center" wrapText="1"/>
    </xf>
    <xf numFmtId="0" fontId="243" fillId="124" borderId="0">
      <alignment horizontal="left" vertical="center" wrapText="1"/>
    </xf>
    <xf numFmtId="0" fontId="244" fillId="124" borderId="0" applyNumberFormat="0" applyBorder="0" applyProtection="0">
      <alignment horizontal="left" vertical="center" wrapText="1"/>
    </xf>
    <xf numFmtId="0" fontId="243" fillId="124" borderId="0">
      <alignment horizontal="left" vertical="center" wrapText="1"/>
    </xf>
    <xf numFmtId="0" fontId="243" fillId="124" borderId="0">
      <alignment horizontal="left" vertical="center" wrapText="1"/>
    </xf>
    <xf numFmtId="0" fontId="244" fillId="124" borderId="0" applyNumberFormat="0" applyBorder="0" applyProtection="0">
      <alignment horizontal="left" vertical="center" wrapText="1"/>
    </xf>
    <xf numFmtId="0" fontId="243" fillId="124" borderId="0">
      <alignment horizontal="left" vertical="center" wrapText="1"/>
    </xf>
    <xf numFmtId="0" fontId="243" fillId="124" borderId="0">
      <alignment horizontal="left" vertical="center" wrapText="1"/>
    </xf>
    <xf numFmtId="0" fontId="244" fillId="124" borderId="0" applyNumberFormat="0" applyBorder="0" applyProtection="0">
      <alignment horizontal="left" vertical="center" wrapText="1"/>
    </xf>
    <xf numFmtId="0" fontId="243" fillId="124" borderId="77">
      <alignment horizontal="left" vertical="center" wrapText="1"/>
    </xf>
    <xf numFmtId="0" fontId="244" fillId="124" borderId="77" applyNumberFormat="0" applyProtection="0">
      <alignment horizontal="left" vertical="center" wrapText="1"/>
    </xf>
    <xf numFmtId="49" fontId="89" fillId="86" borderId="0">
      <alignment vertical="center" wrapText="1"/>
    </xf>
    <xf numFmtId="49" fontId="89" fillId="102" borderId="60">
      <alignment vertical="center" wrapText="1"/>
    </xf>
    <xf numFmtId="49" fontId="89" fillId="126" borderId="60">
      <alignment vertical="center" wrapText="1"/>
    </xf>
    <xf numFmtId="49" fontId="89" fillId="126" borderId="60">
      <alignment vertical="center" wrapText="1"/>
    </xf>
    <xf numFmtId="49" fontId="90" fillId="126" borderId="60" applyProtection="0">
      <alignment vertical="center" wrapText="1"/>
    </xf>
    <xf numFmtId="49" fontId="89" fillId="102" borderId="60">
      <alignment vertical="center" wrapText="1"/>
    </xf>
    <xf numFmtId="49" fontId="90" fillId="102" borderId="60" applyProtection="0">
      <alignment vertical="center" wrapText="1"/>
    </xf>
    <xf numFmtId="49" fontId="89" fillId="102" borderId="60">
      <alignment vertical="center" wrapText="1"/>
    </xf>
    <xf numFmtId="49" fontId="89" fillId="102" borderId="60">
      <alignment vertical="center" wrapText="1"/>
    </xf>
    <xf numFmtId="49" fontId="90" fillId="102" borderId="60" applyProtection="0">
      <alignment vertical="center" wrapText="1"/>
    </xf>
    <xf numFmtId="49" fontId="89" fillId="126" borderId="60">
      <alignment vertical="center" wrapText="1"/>
    </xf>
    <xf numFmtId="49" fontId="89" fillId="126" borderId="60">
      <alignment vertical="center" wrapText="1"/>
    </xf>
    <xf numFmtId="49" fontId="90" fillId="126" borderId="60" applyProtection="0">
      <alignment vertical="center" wrapText="1"/>
    </xf>
    <xf numFmtId="49" fontId="89" fillId="86" borderId="0">
      <alignment vertical="center" wrapText="1"/>
    </xf>
    <xf numFmtId="49" fontId="90" fillId="86" borderId="0" applyBorder="0" applyProtection="0">
      <alignment vertical="center" wrapText="1"/>
    </xf>
    <xf numFmtId="0" fontId="89" fillId="105" borderId="38">
      <alignment horizontal="left" vertical="center" wrapText="1"/>
    </xf>
    <xf numFmtId="0" fontId="89" fillId="103" borderId="38">
      <alignment horizontal="left" vertical="center" wrapText="1"/>
    </xf>
    <xf numFmtId="0" fontId="89" fillId="103" borderId="38">
      <alignment horizontal="left" vertical="center" wrapText="1"/>
    </xf>
    <xf numFmtId="0" fontId="90" fillId="103" borderId="38" applyNumberFormat="0" applyProtection="0">
      <alignment horizontal="left" vertical="center" wrapText="1"/>
    </xf>
    <xf numFmtId="0" fontId="89" fillId="110" borderId="38">
      <alignment horizontal="left" vertical="center" wrapText="1"/>
    </xf>
    <xf numFmtId="0" fontId="89" fillId="110" borderId="38">
      <alignment horizontal="left" vertical="center" wrapText="1"/>
    </xf>
    <xf numFmtId="0" fontId="90" fillId="110" borderId="38" applyNumberFormat="0" applyProtection="0">
      <alignment horizontal="left" vertical="center" wrapText="1"/>
    </xf>
    <xf numFmtId="0" fontId="89" fillId="127" borderId="38">
      <alignment horizontal="left" vertical="center" wrapText="1"/>
    </xf>
    <xf numFmtId="0" fontId="89" fillId="127" borderId="38">
      <alignment horizontal="left" vertical="center" wrapText="1"/>
    </xf>
    <xf numFmtId="0" fontId="90" fillId="127" borderId="38" applyNumberFormat="0" applyProtection="0">
      <alignment horizontal="left" vertical="center" wrapText="1"/>
    </xf>
    <xf numFmtId="0" fontId="89" fillId="103" borderId="38">
      <alignment horizontal="left" vertical="center" wrapText="1"/>
    </xf>
    <xf numFmtId="0" fontId="89" fillId="103" borderId="38">
      <alignment horizontal="left" vertical="center" wrapText="1"/>
    </xf>
    <xf numFmtId="0" fontId="90" fillId="103" borderId="38" applyNumberFormat="0" applyProtection="0">
      <alignment horizontal="left" vertical="center" wrapText="1"/>
    </xf>
    <xf numFmtId="0" fontId="89" fillId="105" borderId="38">
      <alignment horizontal="left" vertical="center" wrapText="1"/>
    </xf>
    <xf numFmtId="0" fontId="90" fillId="105" borderId="38" applyNumberFormat="0" applyProtection="0">
      <alignment horizontal="left" vertical="center" wrapText="1"/>
    </xf>
    <xf numFmtId="0" fontId="89" fillId="103" borderId="38">
      <alignment horizontal="left" vertical="center" wrapText="1"/>
    </xf>
    <xf numFmtId="0" fontId="89" fillId="102" borderId="38">
      <alignment horizontal="left" vertical="center" wrapText="1"/>
    </xf>
    <xf numFmtId="0" fontId="89" fillId="102" borderId="38">
      <alignment horizontal="left" vertical="center" wrapText="1"/>
    </xf>
    <xf numFmtId="0" fontId="90" fillId="102" borderId="38" applyNumberFormat="0" applyProtection="0">
      <alignment horizontal="left" vertical="center" wrapText="1"/>
    </xf>
    <xf numFmtId="0" fontId="89" fillId="105" borderId="38">
      <alignment horizontal="left" vertical="center" wrapText="1"/>
    </xf>
    <xf numFmtId="0" fontId="89" fillId="105" borderId="38">
      <alignment horizontal="left" vertical="center" wrapText="1"/>
    </xf>
    <xf numFmtId="0" fontId="90" fillId="105" borderId="38" applyNumberFormat="0" applyProtection="0">
      <alignment horizontal="left" vertical="center" wrapText="1"/>
    </xf>
    <xf numFmtId="0" fontId="89" fillId="85" borderId="38">
      <alignment horizontal="left" vertical="center" wrapText="1"/>
    </xf>
    <xf numFmtId="0" fontId="89" fillId="85" borderId="38">
      <alignment horizontal="left" vertical="center" wrapText="1"/>
    </xf>
    <xf numFmtId="0" fontId="90" fillId="85" borderId="38" applyNumberFormat="0" applyProtection="0">
      <alignment horizontal="left" vertical="center" wrapText="1"/>
    </xf>
    <xf numFmtId="0" fontId="89" fillId="103" borderId="38">
      <alignment horizontal="left" vertical="center" wrapText="1"/>
    </xf>
    <xf numFmtId="0" fontId="90" fillId="103" borderId="38" applyNumberFormat="0" applyProtection="0">
      <alignment horizontal="left" vertical="center" wrapText="1"/>
    </xf>
    <xf numFmtId="0" fontId="89" fillId="100" borderId="38">
      <alignment horizontal="left" vertical="center" wrapText="1"/>
    </xf>
    <xf numFmtId="0" fontId="89" fillId="98" borderId="38">
      <alignment horizontal="left" vertical="center" wrapText="1"/>
    </xf>
    <xf numFmtId="0" fontId="89" fillId="98" borderId="38">
      <alignment horizontal="left" vertical="center" wrapText="1"/>
    </xf>
    <xf numFmtId="0" fontId="90" fillId="98" borderId="38" applyNumberFormat="0" applyProtection="0">
      <alignment horizontal="left" vertical="center" wrapText="1"/>
    </xf>
    <xf numFmtId="0" fontId="89" fillId="109" borderId="38">
      <alignment horizontal="left" vertical="center" wrapText="1"/>
    </xf>
    <xf numFmtId="0" fontId="89" fillId="109" borderId="38">
      <alignment horizontal="left" vertical="center" wrapText="1"/>
    </xf>
    <xf numFmtId="0" fontId="90" fillId="109" borderId="38" applyNumberFormat="0" applyProtection="0">
      <alignment horizontal="left" vertical="center" wrapText="1"/>
    </xf>
    <xf numFmtId="0" fontId="89" fillId="100" borderId="38">
      <alignment horizontal="left" vertical="center" wrapText="1"/>
    </xf>
    <xf numFmtId="0" fontId="90" fillId="100" borderId="38" applyNumberFormat="0" applyProtection="0">
      <alignment horizontal="left" vertical="center" wrapText="1"/>
    </xf>
    <xf numFmtId="0" fontId="89" fillId="98" borderId="38">
      <alignment horizontal="left" vertical="center" wrapText="1"/>
    </xf>
    <xf numFmtId="0" fontId="89" fillId="90" borderId="38">
      <alignment horizontal="left" vertical="center" wrapText="1"/>
    </xf>
    <xf numFmtId="0" fontId="89" fillId="90" borderId="38">
      <alignment horizontal="left" vertical="center" wrapText="1"/>
    </xf>
    <xf numFmtId="0" fontId="90" fillId="90" borderId="38" applyNumberFormat="0" applyProtection="0">
      <alignment horizontal="left" vertical="center" wrapText="1"/>
    </xf>
    <xf numFmtId="0" fontId="89" fillId="103" borderId="38">
      <alignment horizontal="left" vertical="center" wrapText="1"/>
    </xf>
    <xf numFmtId="0" fontId="89" fillId="103" borderId="38">
      <alignment horizontal="left" vertical="center" wrapText="1"/>
    </xf>
    <xf numFmtId="0" fontId="90" fillId="103" borderId="38" applyNumberFormat="0" applyProtection="0">
      <alignment horizontal="left" vertical="center" wrapText="1"/>
    </xf>
    <xf numFmtId="0" fontId="89" fillId="98" borderId="38">
      <alignment horizontal="left" vertical="center" wrapText="1"/>
    </xf>
    <xf numFmtId="0" fontId="89" fillId="98" borderId="38">
      <alignment horizontal="left" vertical="center" wrapText="1"/>
    </xf>
    <xf numFmtId="0" fontId="90" fillId="98" borderId="38" applyNumberFormat="0" applyProtection="0">
      <alignment horizontal="left" vertical="center" wrapText="1"/>
    </xf>
    <xf numFmtId="0" fontId="89" fillId="90" borderId="38">
      <alignment horizontal="left" vertical="center" wrapText="1"/>
    </xf>
    <xf numFmtId="0" fontId="89" fillId="90" borderId="38">
      <alignment horizontal="left" vertical="center" wrapText="1"/>
    </xf>
    <xf numFmtId="0" fontId="90" fillId="90" borderId="38" applyNumberFormat="0" applyProtection="0">
      <alignment horizontal="left" vertical="center" wrapText="1"/>
    </xf>
    <xf numFmtId="0" fontId="89" fillId="98" borderId="38">
      <alignment horizontal="left" vertical="center" wrapText="1"/>
    </xf>
    <xf numFmtId="0" fontId="90" fillId="98" borderId="38" applyNumberFormat="0" applyProtection="0">
      <alignment horizontal="left" vertical="center" wrapText="1"/>
    </xf>
    <xf numFmtId="0" fontId="89" fillId="90" borderId="38">
      <alignment horizontal="left" vertical="center" wrapText="1"/>
    </xf>
    <xf numFmtId="0" fontId="89" fillId="90" borderId="38">
      <alignment horizontal="left" vertical="center" wrapText="1"/>
    </xf>
    <xf numFmtId="0" fontId="89" fillId="90" borderId="38">
      <alignment horizontal="left" vertical="center" wrapText="1"/>
    </xf>
    <xf numFmtId="0" fontId="90" fillId="90" borderId="38" applyNumberFormat="0" applyProtection="0">
      <alignment horizontal="left" vertical="center" wrapText="1"/>
    </xf>
    <xf numFmtId="0" fontId="89" fillId="90" borderId="38">
      <alignment horizontal="left" vertical="center" wrapText="1"/>
    </xf>
    <xf numFmtId="0" fontId="89" fillId="90" borderId="38">
      <alignment horizontal="left" vertical="center" wrapText="1"/>
    </xf>
    <xf numFmtId="0" fontId="90" fillId="90" borderId="38" applyNumberFormat="0" applyProtection="0">
      <alignment horizontal="left" vertical="center" wrapText="1"/>
    </xf>
    <xf numFmtId="0" fontId="89" fillId="90" borderId="38">
      <alignment horizontal="left" vertical="center" wrapText="1"/>
    </xf>
    <xf numFmtId="0" fontId="90" fillId="90" borderId="38" applyNumberFormat="0" applyProtection="0">
      <alignment horizontal="left" vertical="center" wrapText="1"/>
    </xf>
    <xf numFmtId="49" fontId="238" fillId="81" borderId="76">
      <alignment vertical="center"/>
    </xf>
    <xf numFmtId="49" fontId="245" fillId="81" borderId="60">
      <alignment vertical="center"/>
    </xf>
    <xf numFmtId="49" fontId="245" fillId="81" borderId="60">
      <alignment vertical="center"/>
    </xf>
    <xf numFmtId="49" fontId="246" fillId="81" borderId="60" applyProtection="0">
      <alignment vertical="center"/>
    </xf>
    <xf numFmtId="49" fontId="245" fillId="81" borderId="60">
      <alignment vertical="center"/>
    </xf>
    <xf numFmtId="49" fontId="245" fillId="81" borderId="60">
      <alignment vertical="center"/>
    </xf>
    <xf numFmtId="49" fontId="246" fillId="81" borderId="60" applyProtection="0">
      <alignment vertical="center"/>
    </xf>
    <xf numFmtId="49" fontId="245" fillId="81" borderId="60">
      <alignment vertical="center"/>
    </xf>
    <xf numFmtId="49" fontId="245" fillId="81" borderId="60">
      <alignment vertical="center"/>
    </xf>
    <xf numFmtId="49" fontId="246" fillId="81" borderId="60" applyProtection="0">
      <alignment vertical="center"/>
    </xf>
    <xf numFmtId="49" fontId="245" fillId="81" borderId="60">
      <alignment vertical="center"/>
    </xf>
    <xf numFmtId="49" fontId="245" fillId="81" borderId="60">
      <alignment vertical="center"/>
    </xf>
    <xf numFmtId="49" fontId="246" fillId="81" borderId="60" applyProtection="0">
      <alignment vertical="center"/>
    </xf>
    <xf numFmtId="49" fontId="238" fillId="81" borderId="76">
      <alignment vertical="center"/>
    </xf>
    <xf numFmtId="49" fontId="239" fillId="81" borderId="76" applyProtection="0">
      <alignment vertical="center"/>
    </xf>
    <xf numFmtId="0" fontId="243" fillId="81" borderId="77">
      <alignment horizontal="left" vertical="center" wrapText="1"/>
    </xf>
    <xf numFmtId="0" fontId="243" fillId="81" borderId="0">
      <alignment horizontal="left" vertical="center" wrapText="1"/>
    </xf>
    <xf numFmtId="0" fontId="243" fillId="81" borderId="0">
      <alignment horizontal="left" vertical="center" wrapText="1"/>
    </xf>
    <xf numFmtId="0" fontId="244" fillId="81" borderId="0" applyNumberFormat="0" applyBorder="0" applyProtection="0">
      <alignment horizontal="left" vertical="center" wrapText="1"/>
    </xf>
    <xf numFmtId="0" fontId="243" fillId="81" borderId="0">
      <alignment horizontal="left" vertical="center" wrapText="1"/>
    </xf>
    <xf numFmtId="0" fontId="243" fillId="81" borderId="0">
      <alignment horizontal="left" vertical="center" wrapText="1"/>
    </xf>
    <xf numFmtId="0" fontId="244" fillId="81" borderId="0" applyNumberFormat="0" applyBorder="0" applyProtection="0">
      <alignment horizontal="left" vertical="center" wrapText="1"/>
    </xf>
    <xf numFmtId="0" fontId="243" fillId="81" borderId="0">
      <alignment horizontal="left" vertical="center" wrapText="1"/>
    </xf>
    <xf numFmtId="0" fontId="243" fillId="81" borderId="0">
      <alignment horizontal="left" vertical="center" wrapText="1"/>
    </xf>
    <xf numFmtId="0" fontId="244" fillId="81" borderId="0" applyNumberFormat="0" applyBorder="0" applyProtection="0">
      <alignment horizontal="left" vertical="center" wrapText="1"/>
    </xf>
    <xf numFmtId="0" fontId="243" fillId="81" borderId="0">
      <alignment horizontal="left" vertical="center" wrapText="1"/>
    </xf>
    <xf numFmtId="0" fontId="243" fillId="81" borderId="0">
      <alignment horizontal="left" vertical="center" wrapText="1"/>
    </xf>
    <xf numFmtId="0" fontId="244" fillId="81" borderId="0" applyNumberFormat="0" applyBorder="0" applyProtection="0">
      <alignment horizontal="left" vertical="center" wrapText="1"/>
    </xf>
    <xf numFmtId="0" fontId="243" fillId="81" borderId="77">
      <alignment horizontal="left" vertical="center" wrapText="1"/>
    </xf>
    <xf numFmtId="0" fontId="244" fillId="81" borderId="77" applyNumberFormat="0" applyProtection="0">
      <alignment horizontal="left" vertical="center" wrapText="1"/>
    </xf>
    <xf numFmtId="49" fontId="237" fillId="92" borderId="76">
      <alignment vertical="center"/>
    </xf>
    <xf numFmtId="49" fontId="238" fillId="93" borderId="60">
      <alignment vertical="center"/>
    </xf>
    <xf numFmtId="49" fontId="238" fillId="93" borderId="60">
      <alignment vertical="center"/>
    </xf>
    <xf numFmtId="49" fontId="239" fillId="93" borderId="60" applyProtection="0">
      <alignment vertical="center"/>
    </xf>
    <xf numFmtId="49" fontId="240" fillId="95" borderId="60">
      <alignment vertical="center"/>
    </xf>
    <xf numFmtId="49" fontId="240" fillId="95" borderId="60">
      <alignment vertical="center"/>
    </xf>
    <xf numFmtId="49" fontId="241" fillId="95" borderId="60" applyProtection="0">
      <alignment vertical="center"/>
    </xf>
    <xf numFmtId="49" fontId="240" fillId="95" borderId="60">
      <alignment vertical="center"/>
    </xf>
    <xf numFmtId="49" fontId="240" fillId="95" borderId="60">
      <alignment vertical="center"/>
    </xf>
    <xf numFmtId="49" fontId="241" fillId="95" borderId="60" applyProtection="0">
      <alignment vertical="center"/>
    </xf>
    <xf numFmtId="49" fontId="238" fillId="93" borderId="60">
      <alignment vertical="center"/>
    </xf>
    <xf numFmtId="49" fontId="238" fillId="93" borderId="60">
      <alignment vertical="center"/>
    </xf>
    <xf numFmtId="49" fontId="239" fillId="93" borderId="60" applyProtection="0">
      <alignment vertical="center"/>
    </xf>
    <xf numFmtId="49" fontId="237" fillId="92" borderId="76">
      <alignment vertical="center"/>
    </xf>
    <xf numFmtId="49" fontId="242" fillId="92" borderId="76" applyProtection="0">
      <alignment vertical="center"/>
    </xf>
    <xf numFmtId="0" fontId="243" fillId="92" borderId="77">
      <alignment horizontal="left" vertical="center" wrapText="1"/>
    </xf>
    <xf numFmtId="0" fontId="243" fillId="93" borderId="0">
      <alignment horizontal="left" vertical="center" wrapText="1"/>
    </xf>
    <xf numFmtId="0" fontId="243" fillId="93" borderId="0">
      <alignment horizontal="left" vertical="center" wrapText="1"/>
    </xf>
    <xf numFmtId="0" fontId="244" fillId="93" borderId="0" applyNumberFormat="0" applyBorder="0" applyProtection="0">
      <alignment horizontal="left" vertical="center" wrapText="1"/>
    </xf>
    <xf numFmtId="0" fontId="243" fillId="95" borderId="0">
      <alignment horizontal="left" vertical="center" wrapText="1"/>
    </xf>
    <xf numFmtId="0" fontId="243" fillId="95" borderId="0">
      <alignment horizontal="left" vertical="center" wrapText="1"/>
    </xf>
    <xf numFmtId="0" fontId="244" fillId="95" borderId="0" applyNumberFormat="0" applyBorder="0" applyProtection="0">
      <alignment horizontal="left" vertical="center" wrapText="1"/>
    </xf>
    <xf numFmtId="0" fontId="243" fillId="95" borderId="0">
      <alignment horizontal="left" vertical="center" wrapText="1"/>
    </xf>
    <xf numFmtId="0" fontId="243" fillId="95" borderId="0">
      <alignment horizontal="left" vertical="center" wrapText="1"/>
    </xf>
    <xf numFmtId="0" fontId="244" fillId="95" borderId="0" applyNumberFormat="0" applyBorder="0" applyProtection="0">
      <alignment horizontal="left" vertical="center" wrapText="1"/>
    </xf>
    <xf numFmtId="0" fontId="243" fillId="93" borderId="0">
      <alignment horizontal="left" vertical="center" wrapText="1"/>
    </xf>
    <xf numFmtId="0" fontId="243" fillId="93" borderId="0">
      <alignment horizontal="left" vertical="center" wrapText="1"/>
    </xf>
    <xf numFmtId="0" fontId="244" fillId="93" borderId="0" applyNumberFormat="0" applyBorder="0" applyProtection="0">
      <alignment horizontal="left" vertical="center" wrapText="1"/>
    </xf>
    <xf numFmtId="0" fontId="243" fillId="92" borderId="77">
      <alignment horizontal="left" vertical="center" wrapText="1"/>
    </xf>
    <xf numFmtId="0" fontId="244" fillId="92" borderId="77" applyNumberFormat="0" applyProtection="0">
      <alignment horizontal="left" vertical="center" wrapText="1"/>
    </xf>
    <xf numFmtId="0" fontId="89" fillId="97" borderId="0"/>
    <xf numFmtId="0" fontId="89" fillId="97" borderId="0"/>
    <xf numFmtId="0" fontId="90" fillId="97" borderId="0" applyNumberFormat="0" applyBorder="0" applyProtection="0"/>
    <xf numFmtId="0" fontId="247" fillId="0" borderId="0"/>
    <xf numFmtId="0" fontId="248" fillId="0" borderId="0"/>
    <xf numFmtId="0" fontId="248" fillId="0" borderId="0" applyNumberFormat="0" applyBorder="0" applyProtection="0"/>
    <xf numFmtId="0" fontId="161" fillId="0" borderId="0"/>
    <xf numFmtId="0" fontId="162" fillId="0" borderId="0"/>
    <xf numFmtId="0" fontId="162" fillId="0" borderId="0" applyNumberFormat="0" applyBorder="0" applyProtection="0"/>
    <xf numFmtId="0" fontId="249" fillId="0" borderId="0"/>
    <xf numFmtId="0" fontId="249" fillId="0" borderId="0"/>
    <xf numFmtId="0" fontId="250" fillId="0" borderId="0" applyNumberFormat="0" applyBorder="0" applyProtection="0"/>
    <xf numFmtId="0" fontId="247" fillId="0" borderId="0"/>
    <xf numFmtId="0" fontId="248" fillId="0" borderId="0"/>
    <xf numFmtId="0" fontId="248" fillId="0" borderId="0" applyNumberFormat="0" applyBorder="0" applyProtection="0"/>
    <xf numFmtId="0" fontId="161" fillId="0" borderId="0"/>
    <xf numFmtId="0" fontId="162" fillId="0" borderId="0"/>
    <xf numFmtId="0" fontId="162" fillId="0" borderId="0" applyNumberFormat="0" applyBorder="0" applyProtection="0"/>
    <xf numFmtId="0" fontId="251" fillId="0" borderId="0"/>
    <xf numFmtId="0" fontId="251" fillId="0" borderId="0"/>
    <xf numFmtId="0" fontId="251" fillId="0" borderId="0" applyNumberFormat="0" applyBorder="0" applyProtection="0"/>
    <xf numFmtId="0" fontId="251" fillId="0" borderId="0"/>
    <xf numFmtId="0" fontId="165" fillId="0" borderId="68"/>
    <xf numFmtId="0" fontId="166" fillId="0" borderId="68"/>
    <xf numFmtId="0" fontId="166" fillId="0" borderId="68" applyNumberFormat="0" applyProtection="0"/>
    <xf numFmtId="0" fontId="167" fillId="0" borderId="69"/>
    <xf numFmtId="0" fontId="168" fillId="0" borderId="69"/>
    <xf numFmtId="0" fontId="168" fillId="0" borderId="69" applyNumberFormat="0" applyProtection="0"/>
    <xf numFmtId="0" fontId="149" fillId="0" borderId="70"/>
    <xf numFmtId="0" fontId="150" fillId="0" borderId="70"/>
    <xf numFmtId="0" fontId="150" fillId="0" borderId="70" applyNumberFormat="0" applyProtection="0"/>
    <xf numFmtId="0" fontId="149" fillId="0" borderId="0"/>
    <xf numFmtId="0" fontId="150" fillId="0" borderId="0"/>
    <xf numFmtId="0" fontId="150" fillId="0" borderId="0" applyNumberFormat="0" applyBorder="0" applyProtection="0"/>
    <xf numFmtId="0" fontId="251" fillId="0" borderId="0"/>
    <xf numFmtId="0" fontId="251" fillId="0" borderId="0" applyNumberFormat="0" applyBorder="0" applyProtection="0"/>
    <xf numFmtId="0" fontId="251" fillId="0" borderId="0"/>
    <xf numFmtId="0" fontId="252" fillId="0" borderId="78"/>
    <xf numFmtId="0" fontId="253" fillId="0" borderId="0"/>
    <xf numFmtId="0" fontId="253" fillId="0" borderId="0"/>
    <xf numFmtId="0" fontId="254" fillId="0" borderId="68"/>
    <xf numFmtId="0" fontId="255" fillId="0" borderId="68" applyNumberFormat="0" applyProtection="0"/>
    <xf numFmtId="0" fontId="253" fillId="0" borderId="0" applyNumberFormat="0" applyBorder="0" applyProtection="0"/>
    <xf numFmtId="0" fontId="256" fillId="0" borderId="0"/>
    <xf numFmtId="0" fontId="256" fillId="0" borderId="0"/>
    <xf numFmtId="0" fontId="256" fillId="0" borderId="0" applyNumberFormat="0" applyBorder="0" applyProtection="0"/>
    <xf numFmtId="0" fontId="257" fillId="0" borderId="78"/>
    <xf numFmtId="0" fontId="257" fillId="0" borderId="78" applyNumberFormat="0" applyProtection="0"/>
    <xf numFmtId="0" fontId="258" fillId="0" borderId="69"/>
    <xf numFmtId="0" fontId="259" fillId="0" borderId="0"/>
    <xf numFmtId="0" fontId="259" fillId="0" borderId="0"/>
    <xf numFmtId="0" fontId="260" fillId="0" borderId="69"/>
    <xf numFmtId="0" fontId="261" fillId="0" borderId="69" applyNumberFormat="0" applyProtection="0"/>
    <xf numFmtId="0" fontId="259" fillId="0" borderId="0" applyNumberFormat="0" applyBorder="0" applyProtection="0"/>
    <xf numFmtId="0" fontId="262" fillId="0" borderId="69"/>
    <xf numFmtId="0" fontId="263" fillId="0" borderId="69"/>
    <xf numFmtId="0" fontId="263" fillId="0" borderId="69" applyNumberFormat="0" applyProtection="0"/>
    <xf numFmtId="0" fontId="264" fillId="0" borderId="69"/>
    <xf numFmtId="0" fontId="264" fillId="0" borderId="69" applyNumberFormat="0" applyProtection="0"/>
    <xf numFmtId="0" fontId="265" fillId="0" borderId="79"/>
    <xf numFmtId="0" fontId="266" fillId="0" borderId="79"/>
    <xf numFmtId="0" fontId="267" fillId="0" borderId="79"/>
    <xf numFmtId="0" fontId="268" fillId="0" borderId="80"/>
    <xf numFmtId="0" fontId="269" fillId="0" borderId="80" applyNumberFormat="0" applyProtection="0"/>
    <xf numFmtId="0" fontId="267" fillId="0" borderId="79" applyNumberFormat="0" applyProtection="0"/>
    <xf numFmtId="0" fontId="270" fillId="0" borderId="79"/>
    <xf numFmtId="0" fontId="270" fillId="0" borderId="79" applyNumberFormat="0" applyProtection="0"/>
    <xf numFmtId="0" fontId="265" fillId="0" borderId="0"/>
    <xf numFmtId="0" fontId="266" fillId="0" borderId="0"/>
    <xf numFmtId="0" fontId="267" fillId="0" borderId="0"/>
    <xf numFmtId="0" fontId="268" fillId="0" borderId="0"/>
    <xf numFmtId="0" fontId="269" fillId="0" borderId="0" applyNumberFormat="0" applyBorder="0" applyProtection="0"/>
    <xf numFmtId="0" fontId="267" fillId="0" borderId="0" applyNumberFormat="0" applyBorder="0" applyProtection="0"/>
    <xf numFmtId="0" fontId="270" fillId="0" borderId="0"/>
    <xf numFmtId="0" fontId="270" fillId="0" borderId="0" applyNumberFormat="0" applyBorder="0" applyProtection="0"/>
    <xf numFmtId="0" fontId="251" fillId="0" borderId="0"/>
    <xf numFmtId="0" fontId="253" fillId="0" borderId="0"/>
    <xf numFmtId="0" fontId="253" fillId="0" borderId="0"/>
    <xf numFmtId="0" fontId="253" fillId="0" borderId="0" applyNumberFormat="0" applyBorder="0" applyProtection="0"/>
    <xf numFmtId="0" fontId="251" fillId="0" borderId="0"/>
    <xf numFmtId="0" fontId="251" fillId="0" borderId="0" applyNumberFormat="0" applyBorder="0" applyProtection="0"/>
    <xf numFmtId="0" fontId="271" fillId="92" borderId="0">
      <alignment horizontal="left" vertical="center"/>
      <protection locked="0"/>
    </xf>
    <xf numFmtId="0" fontId="89" fillId="88" borderId="0">
      <alignment horizontal="center"/>
      <protection locked="0"/>
    </xf>
    <xf numFmtId="0" fontId="89" fillId="88" borderId="0">
      <alignment horizontal="center"/>
      <protection locked="0"/>
    </xf>
    <xf numFmtId="0" fontId="90" fillId="88" borderId="0" applyNumberFormat="0" applyBorder="0">
      <alignment horizontal="center"/>
      <protection locked="0"/>
    </xf>
    <xf numFmtId="0" fontId="89" fillId="88" borderId="0">
      <alignment horizontal="center"/>
      <protection locked="0"/>
    </xf>
    <xf numFmtId="0" fontId="89" fillId="88" borderId="0">
      <alignment horizontal="center"/>
      <protection locked="0"/>
    </xf>
    <xf numFmtId="0" fontId="90" fillId="88" borderId="0" applyNumberFormat="0" applyBorder="0">
      <alignment horizontal="center"/>
      <protection locked="0"/>
    </xf>
    <xf numFmtId="0" fontId="89" fillId="88" borderId="0">
      <alignment horizontal="center"/>
      <protection locked="0"/>
    </xf>
    <xf numFmtId="0" fontId="89" fillId="88" borderId="0">
      <alignment horizontal="center"/>
      <protection locked="0"/>
    </xf>
    <xf numFmtId="0" fontId="90" fillId="88" borderId="0" applyNumberFormat="0" applyBorder="0">
      <alignment horizontal="center"/>
      <protection locked="0"/>
    </xf>
    <xf numFmtId="0" fontId="272" fillId="92" borderId="0">
      <alignment horizontal="left" vertical="center"/>
      <protection locked="0"/>
    </xf>
    <xf numFmtId="0" fontId="272" fillId="92" borderId="0" applyNumberFormat="0" applyBorder="0">
      <alignment horizontal="left" vertical="center"/>
      <protection locked="0"/>
    </xf>
    <xf numFmtId="0" fontId="154" fillId="88" borderId="0">
      <alignment horizontal="center"/>
      <protection locked="0"/>
    </xf>
    <xf numFmtId="0" fontId="154" fillId="88" borderId="0">
      <alignment horizontal="center"/>
      <protection locked="0"/>
    </xf>
    <xf numFmtId="0" fontId="154" fillId="88" borderId="0">
      <alignment horizontal="center"/>
      <protection locked="0"/>
    </xf>
    <xf numFmtId="0" fontId="155" fillId="88" borderId="0" applyNumberFormat="0" applyBorder="0">
      <alignment horizontal="center"/>
      <protection locked="0"/>
    </xf>
    <xf numFmtId="0" fontId="154" fillId="88" borderId="0">
      <alignment horizontal="center"/>
      <protection locked="0"/>
    </xf>
    <xf numFmtId="0" fontId="154" fillId="88" borderId="0">
      <alignment horizontal="center"/>
      <protection locked="0"/>
    </xf>
    <xf numFmtId="0" fontId="155" fillId="88" borderId="0" applyNumberFormat="0" applyBorder="0">
      <alignment horizontal="center"/>
      <protection locked="0"/>
    </xf>
    <xf numFmtId="0" fontId="154" fillId="88" borderId="0">
      <alignment horizontal="center"/>
      <protection locked="0"/>
    </xf>
    <xf numFmtId="0" fontId="155" fillId="88" borderId="0" applyNumberFormat="0" applyBorder="0">
      <alignment horizontal="center"/>
      <protection locked="0"/>
    </xf>
    <xf numFmtId="0" fontId="273" fillId="88" borderId="0">
      <alignment horizontal="left"/>
      <protection locked="0"/>
    </xf>
    <xf numFmtId="0" fontId="89" fillId="88" borderId="0">
      <alignment horizontal="left"/>
      <protection locked="0"/>
    </xf>
    <xf numFmtId="0" fontId="89" fillId="88" borderId="0">
      <alignment horizontal="left"/>
      <protection locked="0"/>
    </xf>
    <xf numFmtId="0" fontId="90" fillId="88" borderId="0" applyNumberFormat="0" applyBorder="0">
      <alignment horizontal="left"/>
      <protection locked="0"/>
    </xf>
    <xf numFmtId="0" fontId="89" fillId="88" borderId="0">
      <alignment horizontal="left"/>
      <protection locked="0"/>
    </xf>
    <xf numFmtId="0" fontId="89" fillId="88" borderId="0">
      <alignment horizontal="left"/>
      <protection locked="0"/>
    </xf>
    <xf numFmtId="0" fontId="90" fillId="88" borderId="0" applyNumberFormat="0" applyBorder="0">
      <alignment horizontal="left"/>
      <protection locked="0"/>
    </xf>
    <xf numFmtId="0" fontId="89" fillId="88" borderId="0">
      <alignment horizontal="left"/>
      <protection locked="0"/>
    </xf>
    <xf numFmtId="0" fontId="89" fillId="88" borderId="0">
      <alignment horizontal="left"/>
      <protection locked="0"/>
    </xf>
    <xf numFmtId="0" fontId="90" fillId="88" borderId="0" applyNumberFormat="0" applyBorder="0">
      <alignment horizontal="left"/>
      <protection locked="0"/>
    </xf>
    <xf numFmtId="0" fontId="89" fillId="88" borderId="0">
      <alignment horizontal="left"/>
      <protection locked="0"/>
    </xf>
    <xf numFmtId="0" fontId="89" fillId="88" borderId="0">
      <alignment horizontal="left"/>
      <protection locked="0"/>
    </xf>
    <xf numFmtId="0" fontId="90" fillId="88" borderId="0" applyNumberFormat="0" applyBorder="0">
      <alignment horizontal="left"/>
      <protection locked="0"/>
    </xf>
    <xf numFmtId="0" fontId="274" fillId="88" borderId="0">
      <alignment horizontal="left"/>
      <protection locked="0"/>
    </xf>
    <xf numFmtId="0" fontId="274" fillId="88" borderId="0" applyNumberFormat="0" applyBorder="0">
      <alignment horizontal="left"/>
      <protection locked="0"/>
    </xf>
    <xf numFmtId="0" fontId="89" fillId="88" borderId="0">
      <alignment horizontal="left"/>
      <protection locked="0"/>
    </xf>
    <xf numFmtId="0" fontId="275" fillId="88" borderId="0">
      <alignment horizontal="left"/>
      <protection locked="0"/>
    </xf>
    <xf numFmtId="0" fontId="275" fillId="88" borderId="0">
      <alignment horizontal="left"/>
      <protection locked="0"/>
    </xf>
    <xf numFmtId="0" fontId="275" fillId="88" borderId="0">
      <alignment horizontal="left"/>
      <protection locked="0"/>
    </xf>
    <xf numFmtId="0" fontId="276" fillId="88" borderId="0" applyNumberFormat="0" applyBorder="0">
      <alignment horizontal="left"/>
      <protection locked="0"/>
    </xf>
    <xf numFmtId="0" fontId="275" fillId="88" borderId="0">
      <alignment horizontal="left"/>
      <protection locked="0"/>
    </xf>
    <xf numFmtId="0" fontId="275" fillId="88" borderId="0">
      <alignment horizontal="left"/>
      <protection locked="0"/>
    </xf>
    <xf numFmtId="0" fontId="276" fillId="88" borderId="0" applyNumberFormat="0" applyBorder="0">
      <alignment horizontal="left"/>
      <protection locked="0"/>
    </xf>
    <xf numFmtId="0" fontId="275" fillId="88" borderId="0">
      <alignment horizontal="left"/>
      <protection locked="0"/>
    </xf>
    <xf numFmtId="0" fontId="276" fillId="88" borderId="0" applyNumberFormat="0" applyBorder="0">
      <alignment horizontal="left"/>
      <protection locked="0"/>
    </xf>
    <xf numFmtId="0" fontId="253" fillId="0" borderId="0"/>
    <xf numFmtId="0" fontId="277" fillId="0" borderId="0"/>
    <xf numFmtId="0" fontId="277" fillId="0" borderId="0"/>
    <xf numFmtId="0" fontId="277" fillId="0" borderId="0" applyNumberFormat="0" applyBorder="0" applyProtection="0"/>
    <xf numFmtId="0" fontId="253" fillId="0" borderId="0"/>
    <xf numFmtId="0" fontId="253" fillId="0" borderId="0" applyNumberFormat="0" applyBorder="0" applyProtection="0"/>
    <xf numFmtId="0" fontId="254" fillId="0" borderId="68"/>
    <xf numFmtId="0" fontId="254" fillId="0" borderId="68"/>
    <xf numFmtId="0" fontId="255" fillId="0" borderId="68" applyNumberFormat="0" applyProtection="0"/>
    <xf numFmtId="0" fontId="260" fillId="0" borderId="69"/>
    <xf numFmtId="0" fontId="260" fillId="0" borderId="69"/>
    <xf numFmtId="0" fontId="261" fillId="0" borderId="69" applyNumberFormat="0" applyProtection="0"/>
    <xf numFmtId="0" fontId="268" fillId="0" borderId="80"/>
    <xf numFmtId="0" fontId="268" fillId="0" borderId="80"/>
    <xf numFmtId="0" fontId="269" fillId="0" borderId="80" applyNumberFormat="0" applyProtection="0"/>
    <xf numFmtId="0" fontId="268" fillId="0" borderId="0"/>
    <xf numFmtId="0" fontId="268" fillId="0" borderId="0"/>
    <xf numFmtId="0" fontId="269" fillId="0" borderId="0" applyNumberFormat="0" applyBorder="0" applyProtection="0"/>
    <xf numFmtId="0" fontId="251" fillId="0" borderId="0"/>
    <xf numFmtId="0" fontId="165" fillId="0" borderId="68"/>
    <xf numFmtId="0" fontId="166" fillId="0" borderId="68"/>
    <xf numFmtId="0" fontId="166" fillId="0" borderId="68" applyNumberFormat="0" applyProtection="0"/>
    <xf numFmtId="0" fontId="167" fillId="0" borderId="69"/>
    <xf numFmtId="0" fontId="168" fillId="0" borderId="69"/>
    <xf numFmtId="0" fontId="168" fillId="0" borderId="69" applyNumberFormat="0" applyProtection="0"/>
    <xf numFmtId="0" fontId="149" fillId="0" borderId="70"/>
    <xf numFmtId="0" fontId="150" fillId="0" borderId="70"/>
    <xf numFmtId="0" fontId="150" fillId="0" borderId="70" applyNumberFormat="0" applyProtection="0"/>
    <xf numFmtId="0" fontId="251" fillId="0" borderId="0"/>
    <xf numFmtId="0" fontId="251" fillId="0" borderId="0" applyNumberFormat="0" applyBorder="0" applyProtection="0"/>
    <xf numFmtId="0" fontId="151" fillId="88" borderId="0">
      <protection locked="0"/>
    </xf>
    <xf numFmtId="0" fontId="151" fillId="88" borderId="0">
      <protection locked="0"/>
    </xf>
    <xf numFmtId="0" fontId="214" fillId="88" borderId="0" applyNumberFormat="0" applyBorder="0">
      <protection locked="0"/>
    </xf>
    <xf numFmtId="0" fontId="89" fillId="0" borderId="43"/>
    <xf numFmtId="0" fontId="89" fillId="0" borderId="43"/>
    <xf numFmtId="0" fontId="90" fillId="0" borderId="81" applyNumberFormat="0" applyProtection="0"/>
    <xf numFmtId="0" fontId="278" fillId="0" borderId="82"/>
    <xf numFmtId="0" fontId="61" fillId="0" borderId="82"/>
    <xf numFmtId="0" fontId="61" fillId="0" borderId="83" applyNumberFormat="0" applyProtection="0"/>
    <xf numFmtId="0" fontId="107" fillId="94" borderId="0"/>
    <xf numFmtId="0" fontId="108" fillId="94" borderId="0"/>
    <xf numFmtId="0" fontId="108" fillId="94" borderId="0" applyNumberFormat="0" applyBorder="0" applyProtection="0"/>
    <xf numFmtId="0" fontId="113" fillId="81" borderId="0"/>
    <xf numFmtId="0" fontId="114" fillId="81" borderId="0"/>
    <xf numFmtId="0" fontId="114" fillId="81" borderId="0" applyNumberFormat="0" applyBorder="0" applyProtection="0"/>
    <xf numFmtId="0" fontId="279" fillId="115" borderId="39"/>
    <xf numFmtId="0" fontId="279" fillId="115" borderId="39"/>
    <xf numFmtId="0" fontId="280" fillId="115" borderId="45" applyNumberFormat="0" applyProtection="0"/>
    <xf numFmtId="0" fontId="281" fillId="109" borderId="39"/>
    <xf numFmtId="0" fontId="281" fillId="109" borderId="39"/>
    <xf numFmtId="0" fontId="282" fillId="109" borderId="39"/>
    <xf numFmtId="0" fontId="282" fillId="109" borderId="45" applyNumberFormat="0" applyProtection="0"/>
    <xf numFmtId="0" fontId="282" fillId="109" borderId="39"/>
    <xf numFmtId="0" fontId="282" fillId="109" borderId="45" applyNumberFormat="0" applyProtection="0"/>
    <xf numFmtId="2" fontId="89" fillId="0" borderId="0"/>
    <xf numFmtId="2" fontId="89" fillId="0" borderId="0"/>
    <xf numFmtId="2" fontId="89" fillId="0" borderId="0"/>
    <xf numFmtId="2" fontId="90" fillId="0" borderId="0" applyBorder="0" applyProtection="0"/>
    <xf numFmtId="2" fontId="89" fillId="0" borderId="0"/>
    <xf numFmtId="2" fontId="90" fillId="0" borderId="0" applyBorder="0" applyProtection="0"/>
    <xf numFmtId="200" fontId="89" fillId="0" borderId="0"/>
    <xf numFmtId="201" fontId="89" fillId="0" borderId="0"/>
    <xf numFmtId="0" fontId="247" fillId="0" borderId="0"/>
    <xf numFmtId="0" fontId="248" fillId="0" borderId="0"/>
    <xf numFmtId="0" fontId="248" fillId="0" borderId="0" applyNumberFormat="0" applyBorder="0" applyProtection="0"/>
    <xf numFmtId="0" fontId="283" fillId="0" borderId="0"/>
    <xf numFmtId="164" fontId="1" fillId="0" borderId="0" applyFont="0" applyFill="0" applyBorder="0" applyAlignment="0" applyProtection="0"/>
    <xf numFmtId="0" fontId="34" fillId="0" borderId="0">
      <alignment vertical="top"/>
    </xf>
    <xf numFmtId="43" fontId="1" fillId="0" borderId="0" applyFont="0" applyFill="0" applyBorder="0" applyAlignment="0" applyProtection="0"/>
    <xf numFmtId="0" fontId="285" fillId="0" borderId="0"/>
    <xf numFmtId="164" fontId="1" fillId="0" borderId="0" applyFont="0" applyFill="0" applyBorder="0" applyAlignment="0" applyProtection="0"/>
    <xf numFmtId="0" fontId="286" fillId="0" borderId="0" applyNumberFormat="0" applyFill="0" applyBorder="0" applyProtection="0">
      <alignment horizontal="center"/>
    </xf>
    <xf numFmtId="213" fontId="34" fillId="0" borderId="0" applyFill="0" applyBorder="0" applyAlignment="0" applyProtection="0"/>
    <xf numFmtId="0" fontId="287" fillId="0" borderId="0" applyNumberFormat="0" applyFill="0" applyBorder="0" applyAlignment="0" applyProtection="0"/>
    <xf numFmtId="214" fontId="287" fillId="0" borderId="0" applyFill="0" applyBorder="0" applyAlignment="0" applyProtection="0"/>
    <xf numFmtId="0" fontId="286" fillId="0" borderId="0" applyNumberFormat="0" applyFill="0" applyBorder="0" applyProtection="0">
      <alignment horizontal="center" textRotation="90"/>
    </xf>
    <xf numFmtId="0" fontId="34" fillId="0" borderId="0"/>
    <xf numFmtId="213" fontId="34" fillId="0" borderId="0" applyFill="0" applyBorder="0" applyAlignment="0" applyProtection="0"/>
    <xf numFmtId="0" fontId="34" fillId="0" borderId="0"/>
    <xf numFmtId="213" fontId="34" fillId="0" borderId="0" applyFill="0" applyBorder="0" applyAlignment="0" applyProtection="0"/>
    <xf numFmtId="0" fontId="34" fillId="0" borderId="0"/>
    <xf numFmtId="213" fontId="34" fillId="0" borderId="0" applyFill="0" applyBorder="0" applyAlignment="0" applyProtection="0"/>
    <xf numFmtId="0" fontId="284" fillId="4" borderId="0" applyNumberFormat="0" applyBorder="0" applyAlignment="0" applyProtection="0"/>
    <xf numFmtId="43" fontId="1" fillId="0" borderId="0" applyFont="0" applyFill="0" applyBorder="0" applyAlignment="0" applyProtection="0"/>
    <xf numFmtId="0" fontId="34"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86" fillId="0" borderId="0" applyFont="0" applyFill="0" applyBorder="0" applyAlignment="0" applyProtection="0"/>
    <xf numFmtId="205" fontId="288" fillId="0" borderId="0" applyFont="0" applyFill="0" applyBorder="0" applyAlignment="0" applyProtection="0"/>
  </cellStyleXfs>
  <cellXfs count="514">
    <xf numFmtId="0" fontId="0" fillId="0" borderId="0" xfId="0"/>
    <xf numFmtId="0" fontId="0" fillId="0" borderId="0" xfId="0" applyAlignment="1">
      <alignment wrapText="1"/>
    </xf>
    <xf numFmtId="0" fontId="0" fillId="0" borderId="0" xfId="0" applyAlignment="1">
      <alignment vertical="center" wrapText="1"/>
    </xf>
    <xf numFmtId="0" fontId="24" fillId="0" borderId="0" xfId="0" applyFont="1" applyAlignment="1">
      <alignment horizontal="left"/>
    </xf>
    <xf numFmtId="0" fontId="25" fillId="0" borderId="0" xfId="0" applyFont="1" applyAlignment="1">
      <alignment wrapText="1"/>
    </xf>
    <xf numFmtId="9" fontId="0" fillId="0" borderId="0" xfId="152" applyFont="1"/>
    <xf numFmtId="0" fontId="27" fillId="0" borderId="0" xfId="0" applyFont="1" applyAlignment="1">
      <alignment horizontal="left" vertical="center" indent="6"/>
    </xf>
    <xf numFmtId="9" fontId="0" fillId="0" borderId="0" xfId="0" applyNumberFormat="1"/>
    <xf numFmtId="0" fontId="0" fillId="39" borderId="10" xfId="0" applyFill="1" applyBorder="1" applyAlignment="1">
      <alignment vertical="center" wrapText="1"/>
    </xf>
    <xf numFmtId="9" fontId="0" fillId="39" borderId="10" xfId="0" applyNumberFormat="1" applyFill="1" applyBorder="1" applyAlignment="1">
      <alignment vertical="center" wrapText="1"/>
    </xf>
    <xf numFmtId="0" fontId="0" fillId="39" borderId="10" xfId="0" applyFill="1" applyBorder="1" applyAlignment="1">
      <alignment horizontal="left" vertical="center" wrapText="1"/>
    </xf>
    <xf numFmtId="0" fontId="0" fillId="0" borderId="0" xfId="0" applyAlignment="1">
      <alignment horizontal="left" wrapText="1"/>
    </xf>
    <xf numFmtId="9" fontId="1" fillId="39" borderId="10" xfId="152" applyFill="1" applyBorder="1" applyAlignment="1">
      <alignment horizontal="right" vertical="center" wrapText="1"/>
    </xf>
    <xf numFmtId="9" fontId="1" fillId="39" borderId="10" xfId="152" applyFill="1" applyBorder="1" applyAlignment="1">
      <alignment vertical="center" wrapText="1"/>
    </xf>
    <xf numFmtId="9" fontId="0" fillId="39" borderId="10" xfId="0" applyNumberFormat="1" applyFill="1" applyBorder="1" applyAlignment="1">
      <alignment horizontal="right" vertical="center" wrapText="1"/>
    </xf>
    <xf numFmtId="9" fontId="0" fillId="39" borderId="10" xfId="152" applyFont="1" applyFill="1" applyBorder="1" applyAlignment="1">
      <alignment horizontal="right" vertical="center" wrapText="1"/>
    </xf>
    <xf numFmtId="0" fontId="21" fillId="0" borderId="10" xfId="0" applyFont="1" applyBorder="1" applyAlignment="1">
      <alignment horizontal="left" vertical="center" wrapText="1"/>
    </xf>
    <xf numFmtId="0" fontId="21" fillId="0" borderId="10" xfId="0" applyFont="1" applyBorder="1" applyAlignment="1">
      <alignment horizontal="center" vertical="center" wrapText="1"/>
    </xf>
    <xf numFmtId="20" fontId="21" fillId="0" borderId="10" xfId="0" applyNumberFormat="1" applyFont="1" applyBorder="1" applyAlignment="1">
      <alignment horizontal="center" vertical="center" wrapText="1"/>
    </xf>
    <xf numFmtId="0" fontId="23" fillId="0" borderId="0" xfId="0" applyFont="1" applyAlignment="1">
      <alignment horizontal="left"/>
    </xf>
    <xf numFmtId="0" fontId="0" fillId="0" borderId="11" xfId="0" applyBorder="1"/>
    <xf numFmtId="0" fontId="15" fillId="44" borderId="12" xfId="0" applyFont="1" applyFill="1" applyBorder="1" applyAlignment="1">
      <alignment vertical="center" wrapText="1"/>
    </xf>
    <xf numFmtId="0" fontId="15" fillId="44" borderId="16" xfId="0" applyFont="1" applyFill="1" applyBorder="1" applyAlignment="1">
      <alignment vertical="center" wrapText="1"/>
    </xf>
    <xf numFmtId="0" fontId="28" fillId="0" borderId="12" xfId="0" applyFont="1" applyBorder="1" applyAlignment="1">
      <alignment horizontal="left"/>
    </xf>
    <xf numFmtId="166" fontId="0" fillId="0" borderId="0" xfId="0" applyNumberFormat="1"/>
    <xf numFmtId="167" fontId="0" fillId="0" borderId="0" xfId="0" applyNumberFormat="1"/>
    <xf numFmtId="0" fontId="15" fillId="0" borderId="0" xfId="0" applyFont="1"/>
    <xf numFmtId="168" fontId="0" fillId="0" borderId="0" xfId="0" applyNumberFormat="1"/>
    <xf numFmtId="0" fontId="23" fillId="0" borderId="0" xfId="0" applyFont="1"/>
    <xf numFmtId="0" fontId="22" fillId="0" borderId="0" xfId="0" applyFont="1" applyAlignment="1">
      <alignment horizontal="right"/>
    </xf>
    <xf numFmtId="0" fontId="31" fillId="0" borderId="0" xfId="0" applyFont="1" applyAlignment="1">
      <alignment horizontal="left"/>
    </xf>
    <xf numFmtId="0" fontId="25" fillId="0" borderId="0" xfId="0" applyFont="1" applyAlignment="1">
      <alignment horizontal="right"/>
    </xf>
    <xf numFmtId="168" fontId="0" fillId="0" borderId="0" xfId="0" applyNumberFormat="1" applyAlignment="1">
      <alignment horizontal="center" vertical="center"/>
    </xf>
    <xf numFmtId="0" fontId="0" fillId="0" borderId="0" xfId="0" applyAlignment="1">
      <alignment vertical="center"/>
    </xf>
    <xf numFmtId="0" fontId="28" fillId="0" borderId="0" xfId="0" applyFont="1" applyAlignment="1">
      <alignment horizontal="left"/>
    </xf>
    <xf numFmtId="9" fontId="0" fillId="39" borderId="0" xfId="152" applyFont="1" applyFill="1"/>
    <xf numFmtId="0" fontId="0" fillId="39" borderId="0" xfId="0" applyFill="1"/>
    <xf numFmtId="9" fontId="0" fillId="39" borderId="0" xfId="0" applyNumberFormat="1" applyFill="1"/>
    <xf numFmtId="2" fontId="0" fillId="0" borderId="0" xfId="0" applyNumberFormat="1"/>
    <xf numFmtId="0" fontId="0" fillId="39" borderId="0" xfId="0" applyFill="1" applyAlignment="1">
      <alignment horizontal="left" wrapText="1"/>
    </xf>
    <xf numFmtId="0" fontId="23" fillId="0" borderId="0" xfId="0" applyFont="1" applyAlignment="1">
      <alignment horizontal="right"/>
    </xf>
    <xf numFmtId="0" fontId="32" fillId="0" borderId="0" xfId="0" applyFont="1"/>
    <xf numFmtId="0" fontId="0" fillId="0" borderId="0" xfId="0" applyAlignment="1">
      <alignment horizontal="center" vertical="center"/>
    </xf>
    <xf numFmtId="0" fontId="0" fillId="0" borderId="0" xfId="0" applyAlignment="1">
      <alignment horizontal="left" indent="2"/>
    </xf>
    <xf numFmtId="0" fontId="30" fillId="0" borderId="0" xfId="0" applyFont="1"/>
    <xf numFmtId="0" fontId="33" fillId="0" borderId="0" xfId="0" applyFont="1" applyAlignment="1">
      <alignment wrapText="1"/>
    </xf>
    <xf numFmtId="2" fontId="23" fillId="0" borderId="0" xfId="0" applyNumberFormat="1" applyFont="1" applyAlignment="1">
      <alignment horizontal="left"/>
    </xf>
    <xf numFmtId="165" fontId="0" fillId="0" borderId="0" xfId="0" applyNumberFormat="1" applyAlignment="1">
      <alignment horizontal="center" vertical="center"/>
    </xf>
    <xf numFmtId="0" fontId="0" fillId="0" borderId="0" xfId="0" applyAlignment="1">
      <alignment horizontal="left" vertical="center" wrapText="1" indent="2"/>
    </xf>
    <xf numFmtId="0" fontId="15" fillId="0" borderId="0" xfId="0" applyFont="1" applyAlignment="1">
      <alignment vertical="center"/>
    </xf>
    <xf numFmtId="0" fontId="0" fillId="0" borderId="0" xfId="0" applyAlignment="1">
      <alignment horizontal="left" vertical="center" wrapText="1"/>
    </xf>
    <xf numFmtId="0" fontId="0" fillId="0" borderId="0" xfId="0" applyAlignment="1">
      <alignment horizontal="left" indent="3"/>
    </xf>
    <xf numFmtId="0" fontId="15" fillId="0" borderId="12" xfId="0" applyFont="1" applyBorder="1" applyAlignment="1">
      <alignment horizontal="center" vertical="center" wrapText="1"/>
    </xf>
    <xf numFmtId="0" fontId="15" fillId="0" borderId="12" xfId="0" applyFont="1" applyBorder="1" applyAlignment="1">
      <alignment vertical="center"/>
    </xf>
    <xf numFmtId="0" fontId="0" fillId="0" borderId="0" xfId="0" applyAlignment="1">
      <alignment horizontal="left" vertical="center" indent="3"/>
    </xf>
    <xf numFmtId="0" fontId="35" fillId="46" borderId="0" xfId="0" applyFont="1" applyFill="1" applyAlignment="1">
      <alignment horizontal="center"/>
    </xf>
    <xf numFmtId="0" fontId="36" fillId="46" borderId="0" xfId="0" applyFont="1" applyFill="1"/>
    <xf numFmtId="0" fontId="37" fillId="46" borderId="0" xfId="0" applyFont="1" applyFill="1"/>
    <xf numFmtId="0" fontId="39" fillId="39" borderId="0" xfId="0" applyFont="1" applyFill="1" applyAlignment="1">
      <alignment horizontal="left"/>
    </xf>
    <xf numFmtId="0" fontId="40" fillId="39" borderId="0" xfId="0" applyFont="1" applyFill="1" applyAlignment="1">
      <alignment horizontal="left"/>
    </xf>
    <xf numFmtId="0" fontId="41" fillId="39" borderId="0" xfId="0" applyFont="1" applyFill="1"/>
    <xf numFmtId="0" fontId="39" fillId="39" borderId="0" xfId="0" applyFont="1" applyFill="1"/>
    <xf numFmtId="0" fontId="39" fillId="39" borderId="0" xfId="152" applyNumberFormat="1" applyFont="1" applyFill="1"/>
    <xf numFmtId="165" fontId="39" fillId="39" borderId="0" xfId="152" applyNumberFormat="1" applyFont="1" applyFill="1"/>
    <xf numFmtId="0" fontId="42" fillId="47" borderId="0" xfId="0" applyFont="1" applyFill="1"/>
    <xf numFmtId="0" fontId="43" fillId="47" borderId="0" xfId="0" applyFont="1" applyFill="1"/>
    <xf numFmtId="0" fontId="44" fillId="0" borderId="0" xfId="0" applyFont="1" applyAlignment="1">
      <alignment horizontal="center" vertical="center" wrapText="1"/>
    </xf>
    <xf numFmtId="0" fontId="45" fillId="0" borderId="10" xfId="0" applyFont="1" applyBorder="1" applyAlignment="1">
      <alignment horizontal="center"/>
    </xf>
    <xf numFmtId="0" fontId="45" fillId="0" borderId="10" xfId="0" applyFont="1" applyBorder="1" applyAlignment="1">
      <alignment horizontal="center" wrapText="1"/>
    </xf>
    <xf numFmtId="0" fontId="46" fillId="0" borderId="10" xfId="0" applyFont="1" applyBorder="1"/>
    <xf numFmtId="168" fontId="47" fillId="0" borderId="10" xfId="0" applyNumberFormat="1" applyFont="1" applyBorder="1"/>
    <xf numFmtId="1" fontId="47" fillId="0" borderId="10" xfId="0" applyNumberFormat="1" applyFont="1" applyBorder="1"/>
    <xf numFmtId="0" fontId="48" fillId="0" borderId="10" xfId="0" applyFont="1" applyBorder="1"/>
    <xf numFmtId="168" fontId="49" fillId="0" borderId="10" xfId="0" applyNumberFormat="1" applyFont="1" applyBorder="1"/>
    <xf numFmtId="0" fontId="46" fillId="48" borderId="10" xfId="0" applyFont="1" applyFill="1" applyBorder="1"/>
    <xf numFmtId="168" fontId="46" fillId="48" borderId="10" xfId="0" applyNumberFormat="1" applyFont="1" applyFill="1" applyBorder="1"/>
    <xf numFmtId="1" fontId="46" fillId="48" borderId="10" xfId="0" applyNumberFormat="1" applyFont="1" applyFill="1" applyBorder="1"/>
    <xf numFmtId="0" fontId="50" fillId="39" borderId="0" xfId="0" applyFont="1" applyFill="1"/>
    <xf numFmtId="9" fontId="50" fillId="39" borderId="0" xfId="152" applyFont="1" applyFill="1"/>
    <xf numFmtId="2" fontId="50" fillId="39" borderId="0" xfId="0" applyNumberFormat="1" applyFont="1" applyFill="1"/>
    <xf numFmtId="0" fontId="51" fillId="49" borderId="0" xfId="0" applyFont="1" applyFill="1"/>
    <xf numFmtId="0" fontId="52" fillId="49" borderId="0" xfId="0" applyFont="1" applyFill="1"/>
    <xf numFmtId="0" fontId="47" fillId="0" borderId="10" xfId="0" applyFont="1" applyBorder="1" applyAlignment="1">
      <alignment vertical="center" wrapText="1"/>
    </xf>
    <xf numFmtId="171" fontId="47" fillId="0" borderId="10" xfId="0" applyNumberFormat="1" applyFont="1" applyBorder="1" applyAlignment="1">
      <alignment vertical="center"/>
    </xf>
    <xf numFmtId="0" fontId="46" fillId="50" borderId="16" xfId="0" applyFont="1" applyFill="1" applyBorder="1" applyAlignment="1">
      <alignment horizontal="left"/>
    </xf>
    <xf numFmtId="168" fontId="46" fillId="50" borderId="10" xfId="0" applyNumberFormat="1" applyFont="1" applyFill="1" applyBorder="1"/>
    <xf numFmtId="0" fontId="40" fillId="39" borderId="0" xfId="0" applyFont="1" applyFill="1" applyAlignment="1">
      <alignment horizontal="right"/>
    </xf>
    <xf numFmtId="168" fontId="40" fillId="39" borderId="0" xfId="0" applyNumberFormat="1" applyFont="1" applyFill="1"/>
    <xf numFmtId="9" fontId="39" fillId="39" borderId="0" xfId="152" applyFont="1" applyFill="1"/>
    <xf numFmtId="0" fontId="53" fillId="51" borderId="0" xfId="0" applyFont="1" applyFill="1"/>
    <xf numFmtId="0" fontId="52" fillId="51" borderId="0" xfId="0" applyFont="1" applyFill="1"/>
    <xf numFmtId="0" fontId="47" fillId="39" borderId="10" xfId="0" applyFont="1" applyFill="1" applyBorder="1" applyAlignment="1">
      <alignment vertical="center" wrapText="1"/>
    </xf>
    <xf numFmtId="0" fontId="46" fillId="52" borderId="16" xfId="0" applyFont="1" applyFill="1" applyBorder="1" applyAlignment="1">
      <alignment horizontal="left"/>
    </xf>
    <xf numFmtId="1" fontId="46" fillId="52" borderId="10" xfId="0" applyNumberFormat="1" applyFont="1" applyFill="1" applyBorder="1"/>
    <xf numFmtId="0" fontId="47" fillId="39" borderId="0" xfId="0" applyFont="1" applyFill="1"/>
    <xf numFmtId="0" fontId="51" fillId="53" borderId="0" xfId="0" applyFont="1" applyFill="1"/>
    <xf numFmtId="0" fontId="52" fillId="53" borderId="0" xfId="0" applyFont="1" applyFill="1"/>
    <xf numFmtId="0" fontId="46" fillId="54" borderId="16" xfId="0" applyFont="1" applyFill="1" applyBorder="1" applyAlignment="1">
      <alignment horizontal="left"/>
    </xf>
    <xf numFmtId="168" fontId="46" fillId="54" borderId="10" xfId="0" applyNumberFormat="1" applyFont="1" applyFill="1" applyBorder="1"/>
    <xf numFmtId="0" fontId="51" fillId="55" borderId="0" xfId="0" applyFont="1" applyFill="1"/>
    <xf numFmtId="0" fontId="52" fillId="55" borderId="0" xfId="0" applyFont="1" applyFill="1"/>
    <xf numFmtId="0" fontId="46" fillId="56" borderId="10" xfId="0" applyFont="1" applyFill="1" applyBorder="1" applyAlignment="1">
      <alignment vertical="center" wrapText="1"/>
    </xf>
    <xf numFmtId="171" fontId="46" fillId="56" borderId="10" xfId="0" applyNumberFormat="1" applyFont="1" applyFill="1" applyBorder="1" applyAlignment="1">
      <alignment vertical="center"/>
    </xf>
    <xf numFmtId="0" fontId="48" fillId="57" borderId="16" xfId="0" applyFont="1" applyFill="1" applyBorder="1" applyAlignment="1">
      <alignment horizontal="left"/>
    </xf>
    <xf numFmtId="171" fontId="48" fillId="57" borderId="10" xfId="0" applyNumberFormat="1" applyFont="1" applyFill="1" applyBorder="1"/>
    <xf numFmtId="0" fontId="51" fillId="58" borderId="0" xfId="0" applyFont="1" applyFill="1"/>
    <xf numFmtId="0" fontId="52" fillId="58" borderId="0" xfId="0" applyFont="1" applyFill="1"/>
    <xf numFmtId="0" fontId="46" fillId="59" borderId="16" xfId="0" applyFont="1" applyFill="1" applyBorder="1" applyAlignment="1">
      <alignment horizontal="left"/>
    </xf>
    <xf numFmtId="168" fontId="46" fillId="59" borderId="10" xfId="0" applyNumberFormat="1" applyFont="1" applyFill="1" applyBorder="1"/>
    <xf numFmtId="0" fontId="46" fillId="60" borderId="10" xfId="0" applyFont="1" applyFill="1" applyBorder="1" applyAlignment="1">
      <alignment horizontal="left"/>
    </xf>
    <xf numFmtId="168" fontId="46" fillId="60" borderId="10" xfId="0" applyNumberFormat="1" applyFont="1" applyFill="1" applyBorder="1"/>
    <xf numFmtId="0" fontId="48" fillId="39" borderId="0" xfId="0" applyFont="1" applyFill="1" applyAlignment="1">
      <alignment horizontal="left"/>
    </xf>
    <xf numFmtId="168" fontId="48" fillId="39" borderId="0" xfId="0" applyNumberFormat="1" applyFont="1" applyFill="1"/>
    <xf numFmtId="0" fontId="53" fillId="61" borderId="0" xfId="0" applyFont="1" applyFill="1"/>
    <xf numFmtId="0" fontId="52" fillId="61" borderId="0" xfId="0" applyFont="1" applyFill="1"/>
    <xf numFmtId="0" fontId="46" fillId="62" borderId="16" xfId="0" applyFont="1" applyFill="1" applyBorder="1" applyAlignment="1">
      <alignment horizontal="left"/>
    </xf>
    <xf numFmtId="168" fontId="46" fillId="62" borderId="10" xfId="0" applyNumberFormat="1" applyFont="1" applyFill="1" applyBorder="1"/>
    <xf numFmtId="1" fontId="46" fillId="62" borderId="10" xfId="0" applyNumberFormat="1" applyFont="1" applyFill="1" applyBorder="1"/>
    <xf numFmtId="171" fontId="46" fillId="62" borderId="10" xfId="0" applyNumberFormat="1" applyFont="1" applyFill="1" applyBorder="1"/>
    <xf numFmtId="0" fontId="46" fillId="63" borderId="16" xfId="0" applyFont="1" applyFill="1" applyBorder="1" applyAlignment="1">
      <alignment horizontal="left"/>
    </xf>
    <xf numFmtId="168" fontId="46" fillId="63" borderId="10" xfId="0" applyNumberFormat="1" applyFont="1" applyFill="1" applyBorder="1"/>
    <xf numFmtId="171" fontId="46" fillId="63" borderId="10" xfId="0" applyNumberFormat="1" applyFont="1" applyFill="1" applyBorder="1"/>
    <xf numFmtId="0" fontId="54" fillId="39" borderId="0" xfId="0" applyFont="1" applyFill="1"/>
    <xf numFmtId="0" fontId="49" fillId="39" borderId="10" xfId="0" applyFont="1" applyFill="1" applyBorder="1" applyAlignment="1">
      <alignment vertical="center" wrapText="1"/>
    </xf>
    <xf numFmtId="171" fontId="49" fillId="0" borderId="10" xfId="0" applyNumberFormat="1" applyFont="1" applyBorder="1" applyAlignment="1">
      <alignment vertical="center"/>
    </xf>
    <xf numFmtId="0" fontId="49" fillId="39" borderId="16" xfId="0" applyFont="1" applyFill="1" applyBorder="1" applyAlignment="1">
      <alignment vertical="center" wrapText="1"/>
    </xf>
    <xf numFmtId="172" fontId="49" fillId="0" borderId="10" xfId="0" applyNumberFormat="1" applyFont="1" applyBorder="1" applyAlignment="1">
      <alignment vertical="center"/>
    </xf>
    <xf numFmtId="0" fontId="48" fillId="48" borderId="16" xfId="0" applyFont="1" applyFill="1" applyBorder="1" applyAlignment="1">
      <alignment horizontal="left"/>
    </xf>
    <xf numFmtId="168" fontId="48" fillId="48" borderId="10" xfId="0" applyNumberFormat="1" applyFont="1" applyFill="1" applyBorder="1"/>
    <xf numFmtId="171" fontId="48" fillId="48" borderId="10" xfId="0" applyNumberFormat="1" applyFont="1" applyFill="1" applyBorder="1"/>
    <xf numFmtId="0" fontId="53" fillId="64" borderId="0" xfId="0" applyFont="1" applyFill="1"/>
    <xf numFmtId="0" fontId="55" fillId="64" borderId="0" xfId="0" applyFont="1" applyFill="1"/>
    <xf numFmtId="0" fontId="46" fillId="65" borderId="16" xfId="0" applyFont="1" applyFill="1" applyBorder="1" applyAlignment="1">
      <alignment horizontal="left"/>
    </xf>
    <xf numFmtId="168" fontId="46" fillId="65" borderId="10" xfId="0" applyNumberFormat="1" applyFont="1" applyFill="1" applyBorder="1"/>
    <xf numFmtId="170" fontId="47" fillId="0" borderId="10" xfId="155" applyNumberFormat="1" applyFont="1" applyBorder="1"/>
    <xf numFmtId="170" fontId="49" fillId="0" borderId="10" xfId="155" applyNumberFormat="1" applyFont="1" applyBorder="1"/>
    <xf numFmtId="170" fontId="46" fillId="60" borderId="10" xfId="155" applyNumberFormat="1" applyFont="1" applyFill="1" applyBorder="1"/>
    <xf numFmtId="170" fontId="46" fillId="65" borderId="10" xfId="155" applyNumberFormat="1" applyFont="1" applyFill="1" applyBorder="1"/>
    <xf numFmtId="170" fontId="46" fillId="68" borderId="10" xfId="155" applyNumberFormat="1" applyFont="1" applyFill="1" applyBorder="1" applyAlignment="1">
      <alignment vertical="center"/>
    </xf>
    <xf numFmtId="170" fontId="46" fillId="69" borderId="10" xfId="155" applyNumberFormat="1" applyFont="1" applyFill="1" applyBorder="1"/>
    <xf numFmtId="171" fontId="54" fillId="39" borderId="0" xfId="0" applyNumberFormat="1" applyFont="1" applyFill="1"/>
    <xf numFmtId="0" fontId="46" fillId="70" borderId="16" xfId="0" applyFont="1" applyFill="1" applyBorder="1" applyAlignment="1">
      <alignment horizontal="left"/>
    </xf>
    <xf numFmtId="0" fontId="44" fillId="0" borderId="10" xfId="0" applyFont="1" applyBorder="1" applyAlignment="1">
      <alignment horizontal="center"/>
    </xf>
    <xf numFmtId="170" fontId="0" fillId="0" borderId="0" xfId="0" applyNumberFormat="1"/>
    <xf numFmtId="170" fontId="46" fillId="68" borderId="10" xfId="155" applyNumberFormat="1" applyFont="1" applyFill="1" applyBorder="1" applyAlignment="1">
      <alignment horizontal="center" vertical="center"/>
    </xf>
    <xf numFmtId="0" fontId="15" fillId="0" borderId="0" xfId="0" applyFont="1" applyAlignment="1">
      <alignment wrapText="1"/>
    </xf>
    <xf numFmtId="0" fontId="0" fillId="66" borderId="0" xfId="0" applyFill="1"/>
    <xf numFmtId="0" fontId="0" fillId="66" borderId="23" xfId="0" applyFill="1" applyBorder="1"/>
    <xf numFmtId="0" fontId="57" fillId="0" borderId="0" xfId="0" applyFont="1" applyAlignment="1">
      <alignment wrapText="1"/>
    </xf>
    <xf numFmtId="0" fontId="0" fillId="0" borderId="10" xfId="0" applyBorder="1" applyAlignment="1">
      <alignment horizontal="left" vertical="center" wrapText="1"/>
    </xf>
    <xf numFmtId="0" fontId="0" fillId="0" borderId="10" xfId="0" applyBorder="1" applyAlignment="1">
      <alignment vertical="center" wrapText="1"/>
    </xf>
    <xf numFmtId="9" fontId="1" fillId="0" borderId="10" xfId="152" applyBorder="1" applyAlignment="1">
      <alignment vertical="center" wrapText="1"/>
    </xf>
    <xf numFmtId="0" fontId="0" fillId="39" borderId="14" xfId="0" applyFill="1" applyBorder="1" applyAlignment="1">
      <alignment horizontal="left" vertical="center" wrapText="1"/>
    </xf>
    <xf numFmtId="0" fontId="0" fillId="39" borderId="14" xfId="0" applyFill="1" applyBorder="1" applyAlignment="1">
      <alignment vertical="center" wrapText="1"/>
    </xf>
    <xf numFmtId="9" fontId="1" fillId="39" borderId="14" xfId="152" applyFill="1" applyBorder="1" applyAlignment="1">
      <alignment vertical="center" wrapText="1"/>
    </xf>
    <xf numFmtId="9" fontId="0" fillId="0" borderId="10" xfId="152" applyFont="1" applyBorder="1" applyAlignment="1">
      <alignment vertical="center" wrapText="1"/>
    </xf>
    <xf numFmtId="9" fontId="0" fillId="39" borderId="10" xfId="152" applyFont="1" applyFill="1" applyBorder="1" applyAlignment="1">
      <alignment vertical="center" wrapText="1"/>
    </xf>
    <xf numFmtId="0" fontId="0" fillId="39" borderId="20" xfId="0" applyFill="1" applyBorder="1" applyAlignment="1">
      <alignment horizontal="left" vertical="center" wrapText="1"/>
    </xf>
    <xf numFmtId="0" fontId="0" fillId="39" borderId="20" xfId="0" applyFill="1" applyBorder="1" applyAlignment="1">
      <alignment vertical="center" wrapText="1"/>
    </xf>
    <xf numFmtId="9" fontId="1" fillId="39" borderId="20" xfId="152" applyFill="1" applyBorder="1" applyAlignment="1">
      <alignment vertical="center" wrapText="1"/>
    </xf>
    <xf numFmtId="9" fontId="0" fillId="39" borderId="15" xfId="0" applyNumberFormat="1" applyFill="1" applyBorder="1" applyAlignment="1">
      <alignment vertical="center" wrapText="1"/>
    </xf>
    <xf numFmtId="9" fontId="1" fillId="39" borderId="15" xfId="152" applyFill="1" applyBorder="1" applyAlignment="1">
      <alignment vertical="center" wrapText="1"/>
    </xf>
    <xf numFmtId="9" fontId="1" fillId="39" borderId="15" xfId="152" applyFill="1" applyBorder="1" applyAlignment="1">
      <alignment horizontal="right" vertical="center" wrapText="1"/>
    </xf>
    <xf numFmtId="0" fontId="0" fillId="66" borderId="24" xfId="0" applyFill="1" applyBorder="1"/>
    <xf numFmtId="0" fontId="0" fillId="40" borderId="0" xfId="0" applyFill="1" applyAlignment="1">
      <alignment wrapText="1"/>
    </xf>
    <xf numFmtId="0" fontId="57" fillId="40" borderId="0" xfId="0" applyFont="1" applyFill="1" applyAlignment="1">
      <alignment wrapText="1"/>
    </xf>
    <xf numFmtId="0" fontId="0" fillId="40" borderId="0" xfId="0" applyFill="1" applyAlignment="1">
      <alignment horizontal="left" wrapText="1"/>
    </xf>
    <xf numFmtId="0" fontId="0" fillId="40" borderId="0" xfId="0" applyFill="1" applyAlignment="1">
      <alignment vertical="center" wrapText="1"/>
    </xf>
    <xf numFmtId="0" fontId="0" fillId="40" borderId="0" xfId="0" applyFill="1"/>
    <xf numFmtId="0" fontId="0" fillId="43" borderId="10" xfId="0" applyFill="1" applyBorder="1" applyAlignment="1">
      <alignment horizontal="center" vertical="center" wrapText="1"/>
    </xf>
    <xf numFmtId="0" fontId="0" fillId="43" borderId="10" xfId="0" applyFill="1" applyBorder="1" applyAlignment="1">
      <alignment horizontal="center" vertical="center"/>
    </xf>
    <xf numFmtId="0" fontId="15" fillId="44" borderId="10" xfId="0" applyFont="1" applyFill="1" applyBorder="1" applyAlignment="1">
      <alignment vertical="center" wrapText="1"/>
    </xf>
    <xf numFmtId="0" fontId="21" fillId="43" borderId="10" xfId="0" applyFont="1" applyFill="1" applyBorder="1" applyAlignment="1">
      <alignment horizontal="center" vertical="center" wrapText="1"/>
    </xf>
    <xf numFmtId="9" fontId="21" fillId="0" borderId="10" xfId="0" applyNumberFormat="1" applyFont="1" applyBorder="1" applyAlignment="1">
      <alignment horizontal="center" vertical="center" wrapText="1"/>
    </xf>
    <xf numFmtId="0" fontId="0" fillId="66" borderId="29" xfId="0" applyFill="1" applyBorder="1"/>
    <xf numFmtId="0" fontId="22" fillId="0" borderId="0" xfId="0" applyFont="1"/>
    <xf numFmtId="0" fontId="15" fillId="44" borderId="10" xfId="0" applyFont="1" applyFill="1" applyBorder="1" applyAlignment="1">
      <alignment horizontal="center" vertical="center" wrapText="1"/>
    </xf>
    <xf numFmtId="0" fontId="59" fillId="39" borderId="10" xfId="0" applyFont="1" applyFill="1" applyBorder="1" applyAlignment="1">
      <alignment horizontal="right" vertical="center" wrapText="1"/>
    </xf>
    <xf numFmtId="0" fontId="58" fillId="0" borderId="0" xfId="0" applyFont="1"/>
    <xf numFmtId="171" fontId="59" fillId="0" borderId="10" xfId="0" applyNumberFormat="1" applyFont="1" applyBorder="1" applyAlignment="1">
      <alignment vertical="center"/>
    </xf>
    <xf numFmtId="169" fontId="59" fillId="0" borderId="10" xfId="153" applyNumberFormat="1" applyFont="1" applyBorder="1" applyAlignment="1">
      <alignment vertical="center"/>
    </xf>
    <xf numFmtId="4" fontId="47" fillId="0" borderId="10" xfId="0" applyNumberFormat="1" applyFont="1" applyBorder="1" applyAlignment="1">
      <alignment vertical="center"/>
    </xf>
    <xf numFmtId="0" fontId="60" fillId="72" borderId="0" xfId="0" applyFont="1" applyFill="1" applyAlignment="1">
      <alignment horizontal="center" vertical="center" wrapText="1"/>
    </xf>
    <xf numFmtId="0" fontId="62" fillId="74" borderId="10" xfId="0" applyFont="1" applyFill="1" applyBorder="1" applyAlignment="1">
      <alignment horizontal="center" vertical="center" wrapText="1"/>
    </xf>
    <xf numFmtId="0" fontId="15" fillId="44" borderId="10" xfId="0" applyFont="1" applyFill="1" applyBorder="1" applyAlignment="1">
      <alignment wrapText="1"/>
    </xf>
    <xf numFmtId="0" fontId="0" fillId="44" borderId="10" xfId="0" applyFill="1" applyBorder="1"/>
    <xf numFmtId="0" fontId="0" fillId="41" borderId="10" xfId="0" applyFill="1" applyBorder="1" applyAlignment="1">
      <alignment horizontal="left" wrapText="1"/>
    </xf>
    <xf numFmtId="0" fontId="28" fillId="0" borderId="10" xfId="0" applyFont="1" applyBorder="1" applyAlignment="1">
      <alignment horizontal="left"/>
    </xf>
    <xf numFmtId="0" fontId="15" fillId="0" borderId="10" xfId="0" applyFont="1" applyBorder="1" applyAlignment="1">
      <alignment horizontal="right"/>
    </xf>
    <xf numFmtId="168" fontId="21" fillId="39" borderId="10" xfId="0" applyNumberFormat="1" applyFont="1" applyFill="1" applyBorder="1"/>
    <xf numFmtId="0" fontId="0" fillId="39" borderId="10" xfId="0" applyFill="1" applyBorder="1"/>
    <xf numFmtId="9" fontId="0" fillId="39" borderId="10" xfId="0" applyNumberFormat="1" applyFill="1" applyBorder="1"/>
    <xf numFmtId="0" fontId="15" fillId="42" borderId="10" xfId="0" applyFont="1" applyFill="1" applyBorder="1"/>
    <xf numFmtId="0" fontId="0" fillId="42" borderId="10" xfId="0" applyFill="1" applyBorder="1"/>
    <xf numFmtId="9" fontId="0" fillId="42" borderId="10" xfId="0" applyNumberFormat="1" applyFill="1" applyBorder="1"/>
    <xf numFmtId="168" fontId="0" fillId="0" borderId="10" xfId="0" applyNumberFormat="1" applyBorder="1"/>
    <xf numFmtId="0" fontId="0" fillId="0" borderId="10" xfId="0" applyBorder="1"/>
    <xf numFmtId="9" fontId="0" fillId="0" borderId="10" xfId="0" applyNumberFormat="1" applyBorder="1"/>
    <xf numFmtId="0" fontId="0" fillId="42" borderId="10" xfId="0" applyFill="1" applyBorder="1" applyAlignment="1">
      <alignment wrapText="1"/>
    </xf>
    <xf numFmtId="0" fontId="0" fillId="0" borderId="10" xfId="0" applyBorder="1" applyAlignment="1">
      <alignment horizontal="center"/>
    </xf>
    <xf numFmtId="9" fontId="0" fillId="0" borderId="10" xfId="152" applyFont="1" applyBorder="1" applyAlignment="1">
      <alignment horizontal="right"/>
    </xf>
    <xf numFmtId="9" fontId="0" fillId="39" borderId="10" xfId="152" applyFont="1" applyFill="1" applyBorder="1"/>
    <xf numFmtId="0" fontId="0" fillId="42" borderId="10" xfId="0" applyFill="1" applyBorder="1" applyAlignment="1">
      <alignment horizontal="center"/>
    </xf>
    <xf numFmtId="9" fontId="0" fillId="42" borderId="10" xfId="152" applyFont="1" applyFill="1" applyBorder="1" applyAlignment="1">
      <alignment horizontal="right"/>
    </xf>
    <xf numFmtId="168" fontId="15" fillId="0" borderId="10" xfId="0" applyNumberFormat="1" applyFont="1" applyBorder="1"/>
    <xf numFmtId="9" fontId="0" fillId="0" borderId="10" xfId="152" applyFont="1" applyBorder="1"/>
    <xf numFmtId="0" fontId="26" fillId="43" borderId="10" xfId="0" applyFont="1" applyFill="1" applyBorder="1" applyAlignment="1">
      <alignment horizontal="left" wrapText="1" indent="2"/>
    </xf>
    <xf numFmtId="0" fontId="0" fillId="43" borderId="10" xfId="0" applyFill="1" applyBorder="1"/>
    <xf numFmtId="0" fontId="0" fillId="43" borderId="10" xfId="0" applyFill="1" applyBorder="1" applyAlignment="1">
      <alignment horizontal="left" indent="2"/>
    </xf>
    <xf numFmtId="0" fontId="0" fillId="43" borderId="10" xfId="0" applyFill="1" applyBorder="1" applyAlignment="1">
      <alignment horizontal="left" indent="3"/>
    </xf>
    <xf numFmtId="0" fontId="0" fillId="43" borderId="10" xfId="0" applyFill="1" applyBorder="1" applyAlignment="1">
      <alignment horizontal="left" wrapText="1"/>
    </xf>
    <xf numFmtId="0" fontId="15" fillId="41" borderId="10" xfId="0" applyFont="1" applyFill="1" applyBorder="1" applyAlignment="1">
      <alignment wrapText="1"/>
    </xf>
    <xf numFmtId="0" fontId="0" fillId="41" borderId="10" xfId="0" applyFill="1" applyBorder="1"/>
    <xf numFmtId="0" fontId="26" fillId="43" borderId="10" xfId="0" applyFont="1" applyFill="1" applyBorder="1" applyAlignment="1">
      <alignment horizontal="left" wrapText="1" indent="3"/>
    </xf>
    <xf numFmtId="0" fontId="15" fillId="41" borderId="10" xfId="0" applyFont="1" applyFill="1" applyBorder="1" applyAlignment="1">
      <alignment horizontal="left"/>
    </xf>
    <xf numFmtId="0" fontId="15" fillId="41" borderId="10" xfId="0" applyFont="1" applyFill="1" applyBorder="1" applyAlignment="1">
      <alignment horizontal="right"/>
    </xf>
    <xf numFmtId="168" fontId="0" fillId="41" borderId="10" xfId="0" applyNumberFormat="1" applyFill="1" applyBorder="1"/>
    <xf numFmtId="9" fontId="0" fillId="41" borderId="10" xfId="0" applyNumberFormat="1" applyFill="1" applyBorder="1"/>
    <xf numFmtId="0" fontId="15" fillId="42" borderId="10" xfId="0" applyFont="1" applyFill="1" applyBorder="1" applyAlignment="1">
      <alignment wrapText="1"/>
    </xf>
    <xf numFmtId="1" fontId="0" fillId="0" borderId="10" xfId="0" applyNumberFormat="1" applyBorder="1"/>
    <xf numFmtId="0" fontId="15" fillId="43" borderId="10" xfId="0" applyFont="1" applyFill="1" applyBorder="1" applyAlignment="1">
      <alignment horizontal="left" indent="2"/>
    </xf>
    <xf numFmtId="0" fontId="58" fillId="0" borderId="10" xfId="0" applyFont="1" applyBorder="1"/>
    <xf numFmtId="2" fontId="0" fillId="41" borderId="10" xfId="0" applyNumberFormat="1" applyFill="1" applyBorder="1"/>
    <xf numFmtId="9" fontId="0" fillId="41" borderId="10" xfId="152" applyFont="1" applyFill="1" applyBorder="1"/>
    <xf numFmtId="0" fontId="0" fillId="41" borderId="10" xfId="0" applyFill="1" applyBorder="1" applyAlignment="1">
      <alignment horizontal="left"/>
    </xf>
    <xf numFmtId="0" fontId="26" fillId="43" borderId="10" xfId="0" applyFont="1" applyFill="1" applyBorder="1" applyAlignment="1">
      <alignment horizontal="left" indent="2"/>
    </xf>
    <xf numFmtId="9" fontId="0" fillId="43" borderId="10" xfId="152" applyFont="1" applyFill="1" applyBorder="1"/>
    <xf numFmtId="2" fontId="58" fillId="0" borderId="10" xfId="0" applyNumberFormat="1" applyFont="1" applyBorder="1" applyAlignment="1">
      <alignment horizontal="right" vertical="center"/>
    </xf>
    <xf numFmtId="9" fontId="58" fillId="0" borderId="10" xfId="152" applyFont="1" applyBorder="1"/>
    <xf numFmtId="0" fontId="0" fillId="43" borderId="10" xfId="0" applyFill="1" applyBorder="1" applyAlignment="1">
      <alignment horizontal="left" wrapText="1" indent="2"/>
    </xf>
    <xf numFmtId="9" fontId="58" fillId="0" borderId="10" xfId="0" applyNumberFormat="1" applyFont="1" applyBorder="1"/>
    <xf numFmtId="0" fontId="0" fillId="41" borderId="10" xfId="0" applyFill="1" applyBorder="1" applyAlignment="1">
      <alignment wrapText="1"/>
    </xf>
    <xf numFmtId="168" fontId="0" fillId="42" borderId="10" xfId="0" applyNumberFormat="1" applyFill="1" applyBorder="1"/>
    <xf numFmtId="168" fontId="0" fillId="0" borderId="10" xfId="0" applyNumberFormat="1" applyBorder="1" applyAlignment="1">
      <alignment horizontal="center"/>
    </xf>
    <xf numFmtId="168" fontId="0" fillId="39" borderId="10" xfId="0" applyNumberFormat="1" applyFill="1" applyBorder="1"/>
    <xf numFmtId="168" fontId="0" fillId="42" borderId="10" xfId="0" applyNumberFormat="1" applyFill="1" applyBorder="1" applyAlignment="1">
      <alignment horizontal="center"/>
    </xf>
    <xf numFmtId="2" fontId="0" fillId="0" borderId="10" xfId="0" applyNumberFormat="1" applyBorder="1"/>
    <xf numFmtId="2" fontId="0" fillId="0" borderId="10" xfId="0" applyNumberFormat="1" applyBorder="1" applyAlignment="1">
      <alignment wrapText="1"/>
    </xf>
    <xf numFmtId="168" fontId="0" fillId="0" borderId="10" xfId="0" applyNumberFormat="1" applyBorder="1" applyAlignment="1">
      <alignment horizontal="center" vertical="center"/>
    </xf>
    <xf numFmtId="0" fontId="0" fillId="0" borderId="10" xfId="0" applyBorder="1" applyAlignment="1">
      <alignment horizontal="right"/>
    </xf>
    <xf numFmtId="0" fontId="0" fillId="0" borderId="10" xfId="0" applyBorder="1" applyAlignment="1">
      <alignment horizontal="right" wrapText="1"/>
    </xf>
    <xf numFmtId="0" fontId="0" fillId="0" borderId="34" xfId="0" applyBorder="1" applyAlignment="1">
      <alignment horizontal="left" vertical="center" wrapText="1"/>
    </xf>
    <xf numFmtId="0" fontId="0" fillId="0" borderId="34" xfId="0" applyBorder="1" applyAlignment="1">
      <alignment vertical="center" wrapText="1"/>
    </xf>
    <xf numFmtId="9" fontId="0" fillId="0" borderId="34" xfId="0" applyNumberFormat="1" applyBorder="1" applyAlignment="1">
      <alignment vertical="center" wrapText="1"/>
    </xf>
    <xf numFmtId="170" fontId="47" fillId="0" borderId="10" xfId="155" applyNumberFormat="1" applyFont="1" applyBorder="1" applyAlignment="1">
      <alignment horizontal="center" vertical="center"/>
    </xf>
    <xf numFmtId="0" fontId="57" fillId="40" borderId="0" xfId="0" applyFont="1" applyFill="1" applyAlignment="1">
      <alignment vertical="center"/>
    </xf>
    <xf numFmtId="0" fontId="57" fillId="40" borderId="11" xfId="0" applyFont="1" applyFill="1" applyBorder="1" applyAlignment="1">
      <alignment horizontal="center" vertical="center" wrapText="1"/>
    </xf>
    <xf numFmtId="0" fontId="1" fillId="0" borderId="0" xfId="160"/>
    <xf numFmtId="0" fontId="57" fillId="0" borderId="0" xfId="160" applyFont="1"/>
    <xf numFmtId="0" fontId="1" fillId="40" borderId="0" xfId="160" applyFill="1"/>
    <xf numFmtId="0" fontId="57" fillId="40" borderId="0" xfId="160" applyFont="1" applyFill="1"/>
    <xf numFmtId="9" fontId="1" fillId="40" borderId="0" xfId="160" applyNumberFormat="1" applyFill="1"/>
    <xf numFmtId="0" fontId="57" fillId="40" borderId="0" xfId="160" applyFont="1" applyFill="1" applyAlignment="1">
      <alignment wrapText="1"/>
    </xf>
    <xf numFmtId="0" fontId="1" fillId="0" borderId="14" xfId="160" applyBorder="1" applyAlignment="1">
      <alignment vertical="center" wrapText="1"/>
    </xf>
    <xf numFmtId="0" fontId="1" fillId="0" borderId="21" xfId="160" applyBorder="1" applyAlignment="1">
      <alignment horizontal="left" vertical="center" wrapText="1"/>
    </xf>
    <xf numFmtId="9" fontId="0" fillId="39" borderId="15" xfId="161" applyFont="1" applyFill="1" applyBorder="1" applyAlignment="1">
      <alignment wrapText="1"/>
    </xf>
    <xf numFmtId="0" fontId="1" fillId="39" borderId="10" xfId="160" applyFill="1" applyBorder="1" applyAlignment="1">
      <alignment vertical="center" wrapText="1"/>
    </xf>
    <xf numFmtId="0" fontId="1" fillId="39" borderId="17" xfId="160" applyFill="1" applyBorder="1" applyAlignment="1">
      <alignment horizontal="left" vertical="center" wrapText="1"/>
    </xf>
    <xf numFmtId="9" fontId="1" fillId="39" borderId="15" xfId="160" applyNumberFormat="1" applyFill="1" applyBorder="1" applyAlignment="1">
      <alignment wrapText="1"/>
    </xf>
    <xf numFmtId="0" fontId="1" fillId="39" borderId="10" xfId="160" applyFill="1" applyBorder="1" applyAlignment="1">
      <alignment horizontal="left" vertical="center" wrapText="1"/>
    </xf>
    <xf numFmtId="9" fontId="21" fillId="39" borderId="15" xfId="160" applyNumberFormat="1" applyFont="1" applyFill="1" applyBorder="1" applyAlignment="1">
      <alignment wrapText="1"/>
    </xf>
    <xf numFmtId="9" fontId="1" fillId="39" borderId="15" xfId="160" applyNumberFormat="1" applyFill="1" applyBorder="1" applyAlignment="1">
      <alignment vertical="center" wrapText="1"/>
    </xf>
    <xf numFmtId="9" fontId="1" fillId="39" borderId="15" xfId="161" applyFill="1" applyBorder="1" applyAlignment="1">
      <alignment vertical="center" wrapText="1"/>
    </xf>
    <xf numFmtId="0" fontId="1" fillId="0" borderId="10" xfId="160" applyBorder="1" applyAlignment="1">
      <alignment vertical="center" wrapText="1"/>
    </xf>
    <xf numFmtId="9" fontId="1" fillId="39" borderId="15" xfId="161" applyFill="1" applyBorder="1" applyAlignment="1">
      <alignment horizontal="right" vertical="center" wrapText="1"/>
    </xf>
    <xf numFmtId="0" fontId="1" fillId="0" borderId="10" xfId="160" applyBorder="1" applyAlignment="1">
      <alignment horizontal="left" vertical="center" wrapText="1"/>
    </xf>
    <xf numFmtId="9" fontId="0" fillId="39" borderId="15" xfId="161" applyFont="1" applyFill="1" applyBorder="1" applyAlignment="1">
      <alignment horizontal="right" wrapText="1"/>
    </xf>
    <xf numFmtId="0" fontId="1" fillId="0" borderId="17" xfId="160" applyBorder="1" applyAlignment="1">
      <alignment horizontal="left" vertical="center" wrapText="1"/>
    </xf>
    <xf numFmtId="9" fontId="0" fillId="0" borderId="15" xfId="161" applyFont="1" applyBorder="1" applyAlignment="1">
      <alignment wrapText="1"/>
    </xf>
    <xf numFmtId="9" fontId="0" fillId="0" borderId="15" xfId="161" applyFont="1" applyBorder="1" applyAlignment="1">
      <alignment vertical="center" wrapText="1"/>
    </xf>
    <xf numFmtId="0" fontId="57" fillId="40" borderId="0" xfId="160" applyFont="1" applyFill="1" applyAlignment="1">
      <alignment vertical="center"/>
    </xf>
    <xf numFmtId="0" fontId="0" fillId="66" borderId="16" xfId="0" applyFill="1" applyBorder="1"/>
    <xf numFmtId="174" fontId="0" fillId="0" borderId="0" xfId="0" applyNumberFormat="1"/>
    <xf numFmtId="175" fontId="0" fillId="0" borderId="10" xfId="0" applyNumberFormat="1" applyBorder="1"/>
    <xf numFmtId="168" fontId="46" fillId="76" borderId="10" xfId="0" applyNumberFormat="1" applyFont="1" applyFill="1" applyBorder="1"/>
    <xf numFmtId="171" fontId="47" fillId="0" borderId="10" xfId="0" applyNumberFormat="1" applyFont="1" applyBorder="1" applyAlignment="1">
      <alignment horizontal="center" vertical="center"/>
    </xf>
    <xf numFmtId="170" fontId="46" fillId="77" borderId="10" xfId="155" applyNumberFormat="1" applyFont="1" applyFill="1" applyBorder="1"/>
    <xf numFmtId="170" fontId="47" fillId="0" borderId="10" xfId="155" applyNumberFormat="1" applyFont="1" applyBorder="1" applyAlignment="1">
      <alignment vertical="center"/>
    </xf>
    <xf numFmtId="176" fontId="46" fillId="67" borderId="10" xfId="155" applyNumberFormat="1" applyFont="1" applyFill="1" applyBorder="1"/>
    <xf numFmtId="170" fontId="47" fillId="0" borderId="10" xfId="155" applyNumberFormat="1" applyFont="1" applyBorder="1" applyAlignment="1">
      <alignment horizontal="right" vertical="center"/>
    </xf>
    <xf numFmtId="171" fontId="59" fillId="0" borderId="10" xfId="0" applyNumberFormat="1" applyFont="1" applyBorder="1" applyAlignment="1">
      <alignment horizontal="right" vertical="center"/>
    </xf>
    <xf numFmtId="170" fontId="46" fillId="59" borderId="10" xfId="155" applyNumberFormat="1" applyFont="1" applyFill="1" applyBorder="1" applyAlignment="1">
      <alignment vertical="center"/>
    </xf>
    <xf numFmtId="168" fontId="46" fillId="59" borderId="10" xfId="0" applyNumberFormat="1" applyFont="1" applyFill="1" applyBorder="1" applyAlignment="1">
      <alignment vertical="center"/>
    </xf>
    <xf numFmtId="170" fontId="46" fillId="60" borderId="10" xfId="155" applyNumberFormat="1" applyFont="1" applyFill="1" applyBorder="1" applyAlignment="1">
      <alignment vertical="center"/>
    </xf>
    <xf numFmtId="170" fontId="59" fillId="0" borderId="10" xfId="155" applyNumberFormat="1" applyFont="1" applyBorder="1" applyAlignment="1">
      <alignment vertical="center"/>
    </xf>
    <xf numFmtId="170" fontId="46" fillId="62" borderId="10" xfId="155" applyNumberFormat="1" applyFont="1" applyFill="1" applyBorder="1" applyAlignment="1">
      <alignment vertical="center"/>
    </xf>
    <xf numFmtId="170" fontId="46" fillId="63" borderId="10" xfId="155" applyNumberFormat="1" applyFont="1" applyFill="1" applyBorder="1" applyAlignment="1">
      <alignment vertical="center"/>
    </xf>
    <xf numFmtId="170" fontId="48" fillId="48" borderId="10" xfId="155" applyNumberFormat="1" applyFont="1" applyFill="1" applyBorder="1" applyAlignment="1">
      <alignment vertical="center"/>
    </xf>
    <xf numFmtId="170" fontId="46" fillId="65" borderId="10" xfId="155" applyNumberFormat="1" applyFont="1" applyFill="1" applyBorder="1" applyAlignment="1">
      <alignment vertical="center"/>
    </xf>
    <xf numFmtId="170" fontId="46" fillId="71" borderId="10" xfId="155" applyNumberFormat="1" applyFont="1" applyFill="1" applyBorder="1"/>
    <xf numFmtId="1" fontId="46" fillId="67" borderId="10" xfId="0" applyNumberFormat="1" applyFont="1" applyFill="1" applyBorder="1" applyAlignment="1">
      <alignment vertical="center"/>
    </xf>
    <xf numFmtId="170" fontId="46" fillId="67" borderId="10" xfId="155" applyNumberFormat="1" applyFont="1" applyFill="1" applyBorder="1" applyAlignment="1">
      <alignment vertical="center"/>
    </xf>
    <xf numFmtId="170" fontId="46" fillId="69" borderId="10" xfId="155" applyNumberFormat="1" applyFont="1" applyFill="1" applyBorder="1" applyAlignment="1">
      <alignment vertical="center"/>
    </xf>
    <xf numFmtId="171" fontId="47" fillId="0" borderId="10" xfId="0" applyNumberFormat="1" applyFont="1" applyBorder="1" applyAlignment="1">
      <alignment horizontal="right" vertical="center"/>
    </xf>
    <xf numFmtId="170" fontId="46" fillId="71" borderId="10" xfId="155" applyNumberFormat="1" applyFont="1" applyFill="1" applyBorder="1" applyAlignment="1">
      <alignment vertical="center"/>
    </xf>
    <xf numFmtId="0" fontId="0" fillId="0" borderId="17" xfId="160" applyFont="1" applyBorder="1" applyAlignment="1">
      <alignment horizontal="left" vertical="center" wrapText="1"/>
    </xf>
    <xf numFmtId="0" fontId="0" fillId="39" borderId="17" xfId="160" applyFont="1" applyFill="1" applyBorder="1" applyAlignment="1">
      <alignment horizontal="left" vertical="center" wrapText="1"/>
    </xf>
    <xf numFmtId="170" fontId="47" fillId="0" borderId="10" xfId="155" applyNumberFormat="1" applyFont="1" applyBorder="1" applyAlignment="1">
      <alignment horizontal="center" vertical="center"/>
    </xf>
    <xf numFmtId="168" fontId="46" fillId="56" borderId="10" xfId="0" applyNumberFormat="1" applyFont="1" applyFill="1" applyBorder="1" applyAlignment="1">
      <alignment vertical="center" wrapText="1"/>
    </xf>
    <xf numFmtId="170" fontId="47" fillId="0" borderId="14" xfId="155" applyNumberFormat="1" applyFont="1" applyBorder="1" applyAlignment="1">
      <alignment vertical="center"/>
    </xf>
    <xf numFmtId="170" fontId="47" fillId="0" borderId="20" xfId="155" applyNumberFormat="1" applyFont="1" applyBorder="1" applyAlignment="1">
      <alignment vertical="center"/>
    </xf>
    <xf numFmtId="171" fontId="59" fillId="0" borderId="15" xfId="0" applyNumberFormat="1" applyFont="1" applyBorder="1" applyAlignment="1">
      <alignment vertical="center"/>
    </xf>
    <xf numFmtId="171" fontId="59" fillId="0" borderId="16" xfId="0" applyNumberFormat="1" applyFont="1" applyBorder="1" applyAlignment="1">
      <alignment vertical="center"/>
    </xf>
    <xf numFmtId="0" fontId="23" fillId="0" borderId="0" xfId="0" applyFont="1" applyAlignment="1">
      <alignment horizontal="left"/>
    </xf>
    <xf numFmtId="168" fontId="46" fillId="50" borderId="0" xfId="0" applyNumberFormat="1" applyFont="1" applyFill="1" applyBorder="1"/>
    <xf numFmtId="170" fontId="46" fillId="77" borderId="0" xfId="155" applyNumberFormat="1" applyFont="1" applyFill="1" applyBorder="1"/>
    <xf numFmtId="0" fontId="46" fillId="79" borderId="10" xfId="0" applyFont="1" applyFill="1" applyBorder="1" applyAlignment="1">
      <alignment horizontal="left"/>
    </xf>
    <xf numFmtId="0" fontId="46" fillId="52" borderId="0" xfId="0" applyFont="1" applyFill="1" applyBorder="1" applyAlignment="1">
      <alignment horizontal="left"/>
    </xf>
    <xf numFmtId="1" fontId="46" fillId="52" borderId="0" xfId="0" applyNumberFormat="1" applyFont="1" applyFill="1" applyBorder="1"/>
    <xf numFmtId="176" fontId="46" fillId="67" borderId="0" xfId="155" applyNumberFormat="1" applyFont="1" applyFill="1" applyBorder="1"/>
    <xf numFmtId="1" fontId="46" fillId="52" borderId="15" xfId="0" applyNumberFormat="1" applyFont="1" applyFill="1" applyBorder="1"/>
    <xf numFmtId="0" fontId="46" fillId="79" borderId="0" xfId="0" applyFont="1" applyFill="1" applyBorder="1" applyAlignment="1">
      <alignment horizontal="left"/>
    </xf>
    <xf numFmtId="0" fontId="43" fillId="0" borderId="0" xfId="0" applyFont="1" applyFill="1"/>
    <xf numFmtId="1" fontId="0" fillId="0" borderId="0" xfId="0" applyNumberFormat="1" applyFill="1" applyBorder="1"/>
    <xf numFmtId="1" fontId="0" fillId="0" borderId="26" xfId="0" applyNumberFormat="1" applyFill="1" applyBorder="1"/>
    <xf numFmtId="168" fontId="0" fillId="0" borderId="0" xfId="152" applyNumberFormat="1" applyFont="1"/>
    <xf numFmtId="0" fontId="0" fillId="0" borderId="0" xfId="0" applyFill="1" applyBorder="1" applyAlignment="1">
      <alignment horizontal="left" wrapText="1"/>
    </xf>
    <xf numFmtId="0" fontId="0" fillId="0" borderId="0" xfId="0" applyFill="1" applyBorder="1"/>
    <xf numFmtId="9" fontId="0" fillId="0" borderId="0" xfId="0" applyNumberFormat="1" applyFill="1" applyBorder="1"/>
    <xf numFmtId="1" fontId="0" fillId="41" borderId="10" xfId="0" applyNumberFormat="1" applyFill="1" applyBorder="1"/>
    <xf numFmtId="0" fontId="1" fillId="39" borderId="21" xfId="160" applyFill="1" applyBorder="1" applyAlignment="1">
      <alignment horizontal="left" vertical="center" wrapText="1"/>
    </xf>
    <xf numFmtId="0" fontId="1" fillId="39" borderId="14" xfId="160" applyFill="1" applyBorder="1" applyAlignment="1">
      <alignment vertical="center" wrapText="1"/>
    </xf>
    <xf numFmtId="9" fontId="1" fillId="39" borderId="19" xfId="160" applyNumberFormat="1" applyFill="1" applyBorder="1" applyAlignment="1">
      <alignment wrapText="1"/>
    </xf>
    <xf numFmtId="0" fontId="16" fillId="0" borderId="0" xfId="0" applyFont="1"/>
    <xf numFmtId="2" fontId="16" fillId="0" borderId="0" xfId="0" applyNumberFormat="1" applyFont="1"/>
    <xf numFmtId="0" fontId="28" fillId="42" borderId="10" xfId="0" applyFont="1" applyFill="1" applyBorder="1" applyAlignment="1">
      <alignment horizontal="right"/>
    </xf>
    <xf numFmtId="168" fontId="0" fillId="0" borderId="10" xfId="0" applyNumberFormat="1" applyBorder="1" applyAlignment="1">
      <alignment horizontal="center" vertical="center" wrapText="1"/>
    </xf>
    <xf numFmtId="0" fontId="0" fillId="0" borderId="0" xfId="0" applyFill="1"/>
    <xf numFmtId="168" fontId="0" fillId="0" borderId="0" xfId="0" applyNumberFormat="1" applyFill="1"/>
    <xf numFmtId="0" fontId="0" fillId="0" borderId="0" xfId="0" applyFill="1" applyAlignment="1">
      <alignment horizontal="right"/>
    </xf>
    <xf numFmtId="168" fontId="0" fillId="0" borderId="10" xfId="0" applyNumberFormat="1" applyFill="1" applyBorder="1"/>
    <xf numFmtId="168" fontId="0" fillId="0" borderId="16" xfId="0" applyNumberFormat="1" applyFill="1" applyBorder="1"/>
    <xf numFmtId="0" fontId="15" fillId="71" borderId="10" xfId="0" applyFont="1" applyFill="1" applyBorder="1" applyAlignment="1">
      <alignment horizontal="center" vertical="center" wrapText="1"/>
    </xf>
    <xf numFmtId="0" fontId="0" fillId="43" borderId="10" xfId="0" applyFill="1" applyBorder="1" applyAlignment="1">
      <alignment horizontal="center" vertical="center" wrapText="1"/>
    </xf>
    <xf numFmtId="0" fontId="0" fillId="43" borderId="10" xfId="0" applyFill="1" applyBorder="1" applyAlignment="1">
      <alignment horizontal="center" vertical="center"/>
    </xf>
    <xf numFmtId="0" fontId="21" fillId="0" borderId="10" xfId="0" applyFont="1" applyBorder="1" applyAlignment="1">
      <alignment horizontal="center" vertical="center" wrapText="1"/>
    </xf>
    <xf numFmtId="0" fontId="0" fillId="0" borderId="0" xfId="0" applyAlignment="1">
      <alignment horizontal="center" vertical="center" wrapText="1"/>
    </xf>
    <xf numFmtId="0" fontId="28" fillId="0" borderId="10" xfId="0" applyFont="1" applyFill="1" applyBorder="1"/>
    <xf numFmtId="0" fontId="0" fillId="66" borderId="0" xfId="0" applyFill="1" applyBorder="1"/>
    <xf numFmtId="0" fontId="15" fillId="39" borderId="35" xfId="0" applyFont="1" applyFill="1" applyBorder="1" applyAlignment="1">
      <alignment horizontal="center" vertical="center" wrapText="1"/>
    </xf>
    <xf numFmtId="0" fontId="28" fillId="71" borderId="10" xfId="0" applyFont="1" applyFill="1" applyBorder="1"/>
    <xf numFmtId="0" fontId="0" fillId="66" borderId="36" xfId="0" applyFill="1" applyBorder="1"/>
    <xf numFmtId="0" fontId="15" fillId="71" borderId="37" xfId="0" applyFont="1" applyFill="1" applyBorder="1" applyAlignment="1">
      <alignment horizontal="center" vertical="center" wrapText="1"/>
    </xf>
    <xf numFmtId="0" fontId="29" fillId="71" borderId="33" xfId="0" applyFont="1" applyFill="1" applyBorder="1" applyAlignment="1">
      <alignment horizontal="center" vertical="center" wrapText="1"/>
    </xf>
    <xf numFmtId="0" fontId="29" fillId="71" borderId="25" xfId="0" applyFont="1" applyFill="1" applyBorder="1" applyAlignment="1">
      <alignment horizontal="center" vertical="center" wrapText="1"/>
    </xf>
    <xf numFmtId="0" fontId="29" fillId="71" borderId="10" xfId="0" applyFont="1" applyFill="1" applyBorder="1" applyAlignment="1">
      <alignment horizontal="center" vertical="center" wrapText="1"/>
    </xf>
    <xf numFmtId="0" fontId="15" fillId="71" borderId="22" xfId="160" applyFont="1" applyFill="1" applyBorder="1" applyAlignment="1">
      <alignment horizontal="center" vertical="center" wrapText="1"/>
    </xf>
    <xf numFmtId="0" fontId="15" fillId="71" borderId="20" xfId="160" applyFont="1" applyFill="1" applyBorder="1" applyAlignment="1">
      <alignment horizontal="center" vertical="center" wrapText="1"/>
    </xf>
    <xf numFmtId="0" fontId="29" fillId="71" borderId="18" xfId="160" applyFont="1" applyFill="1" applyBorder="1" applyAlignment="1">
      <alignment horizontal="center" vertical="center" wrapText="1"/>
    </xf>
    <xf numFmtId="0" fontId="21" fillId="39" borderId="10" xfId="0" applyFont="1" applyFill="1" applyBorder="1" applyAlignment="1">
      <alignment horizontal="left" vertical="center" wrapText="1"/>
    </xf>
    <xf numFmtId="0" fontId="15" fillId="71" borderId="10" xfId="160" applyFont="1" applyFill="1" applyBorder="1" applyAlignment="1">
      <alignment horizontal="center" vertical="center" wrapText="1"/>
    </xf>
    <xf numFmtId="0" fontId="0" fillId="43" borderId="10" xfId="0" applyFill="1" applyBorder="1" applyAlignment="1">
      <alignment horizontal="center" wrapText="1"/>
    </xf>
    <xf numFmtId="0" fontId="57" fillId="0" borderId="0" xfId="160" applyFont="1" applyFill="1" applyAlignment="1">
      <alignment vertical="center"/>
    </xf>
    <xf numFmtId="0" fontId="0" fillId="43" borderId="14" xfId="0" applyFill="1" applyBorder="1" applyAlignment="1">
      <alignment horizontal="center" vertical="center" wrapText="1"/>
    </xf>
    <xf numFmtId="0" fontId="70" fillId="0" borderId="0" xfId="0" applyFont="1"/>
    <xf numFmtId="0" fontId="70" fillId="0" borderId="0" xfId="0" applyFont="1" applyAlignment="1">
      <alignment horizontal="center" vertical="center" wrapText="1"/>
    </xf>
    <xf numFmtId="0" fontId="70" fillId="0" borderId="0" xfId="0" applyFont="1" applyAlignment="1">
      <alignment wrapText="1"/>
    </xf>
    <xf numFmtId="0" fontId="13" fillId="0" borderId="0" xfId="0" applyFont="1" applyAlignment="1">
      <alignment wrapText="1"/>
    </xf>
    <xf numFmtId="0" fontId="0" fillId="43" borderId="10" xfId="0" applyFill="1" applyBorder="1" applyAlignment="1">
      <alignment horizontal="center" vertical="center" wrapText="1"/>
    </xf>
    <xf numFmtId="0" fontId="21" fillId="0" borderId="10" xfId="0" applyFont="1" applyBorder="1" applyAlignment="1">
      <alignment horizontal="center" vertical="center" wrapText="1"/>
    </xf>
    <xf numFmtId="0" fontId="21" fillId="43" borderId="20" xfId="0" applyFont="1" applyFill="1" applyBorder="1" applyAlignment="1">
      <alignment horizontal="center" vertical="center" wrapText="1"/>
    </xf>
    <xf numFmtId="0" fontId="21" fillId="0" borderId="10" xfId="0" applyFont="1" applyBorder="1" applyAlignment="1">
      <alignment horizontal="center" vertical="center" wrapText="1"/>
    </xf>
    <xf numFmtId="0" fontId="0" fillId="43" borderId="26" xfId="0" applyFill="1" applyBorder="1" applyAlignment="1">
      <alignment horizontal="center" vertical="center" wrapText="1"/>
    </xf>
    <xf numFmtId="9" fontId="0" fillId="0" borderId="15" xfId="161" applyFont="1" applyFill="1" applyBorder="1" applyAlignment="1">
      <alignment horizontal="right" wrapText="1"/>
    </xf>
    <xf numFmtId="9" fontId="0" fillId="0" borderId="15" xfId="161" applyFont="1" applyFill="1" applyBorder="1" applyAlignment="1">
      <alignment wrapText="1"/>
    </xf>
    <xf numFmtId="9" fontId="1" fillId="0" borderId="15" xfId="161" applyFill="1" applyBorder="1" applyAlignment="1">
      <alignment vertical="center" wrapText="1"/>
    </xf>
    <xf numFmtId="0" fontId="75" fillId="40" borderId="11" xfId="0" applyFont="1" applyFill="1" applyBorder="1" applyAlignment="1">
      <alignment horizontal="center" vertical="center" wrapText="1"/>
    </xf>
    <xf numFmtId="0" fontId="21" fillId="0" borderId="10" xfId="0" applyFont="1" applyBorder="1" applyAlignment="1">
      <alignment horizontal="center" vertical="center" wrapText="1"/>
    </xf>
    <xf numFmtId="0" fontId="21" fillId="0" borderId="10" xfId="0" applyFont="1" applyBorder="1" applyAlignment="1">
      <alignment horizontal="center" vertical="center" wrapText="1"/>
    </xf>
    <xf numFmtId="0" fontId="0" fillId="43" borderId="10" xfId="0" applyFill="1" applyBorder="1" applyAlignment="1">
      <alignment horizontal="center" vertical="center" wrapText="1"/>
    </xf>
    <xf numFmtId="0" fontId="23" fillId="0" borderId="0" xfId="0" applyFont="1" applyAlignment="1">
      <alignment horizontal="left"/>
    </xf>
    <xf numFmtId="0" fontId="49" fillId="39" borderId="16" xfId="0" applyFont="1" applyFill="1" applyBorder="1" applyAlignment="1">
      <alignment vertical="center"/>
    </xf>
    <xf numFmtId="170" fontId="47" fillId="0" borderId="10" xfId="162" applyNumberFormat="1" applyFont="1" applyBorder="1" applyAlignment="1"/>
    <xf numFmtId="170" fontId="64" fillId="70" borderId="10" xfId="155" applyNumberFormat="1" applyFont="1" applyFill="1" applyBorder="1"/>
    <xf numFmtId="170" fontId="64" fillId="70" borderId="10" xfId="155" applyNumberFormat="1" applyFont="1" applyFill="1" applyBorder="1" applyAlignment="1">
      <alignment horizontal="center" vertical="center"/>
    </xf>
    <xf numFmtId="170" fontId="65" fillId="70" borderId="10" xfId="155" applyNumberFormat="1" applyFont="1" applyFill="1" applyBorder="1"/>
    <xf numFmtId="171" fontId="47" fillId="70" borderId="10" xfId="0" applyNumberFormat="1" applyFont="1" applyFill="1" applyBorder="1" applyAlignment="1">
      <alignment vertical="center"/>
    </xf>
    <xf numFmtId="168" fontId="46" fillId="70" borderId="10" xfId="0" applyNumberFormat="1" applyFont="1" applyFill="1" applyBorder="1" applyAlignment="1"/>
    <xf numFmtId="0" fontId="21" fillId="0" borderId="10" xfId="0" applyFont="1" applyBorder="1" applyAlignment="1">
      <alignment horizontal="center" vertical="center" wrapText="1"/>
    </xf>
    <xf numFmtId="0" fontId="0" fillId="43" borderId="10" xfId="0" applyFill="1" applyBorder="1" applyAlignment="1">
      <alignment horizontal="center" vertical="center" wrapText="1"/>
    </xf>
    <xf numFmtId="0" fontId="44" fillId="80" borderId="0" xfId="0" applyFont="1" applyFill="1" applyAlignment="1">
      <alignment horizontal="center" vertical="center" wrapText="1"/>
    </xf>
    <xf numFmtId="168" fontId="46" fillId="80" borderId="10" xfId="0" applyNumberFormat="1" applyFont="1" applyFill="1" applyBorder="1" applyAlignment="1">
      <alignment vertical="center" wrapText="1"/>
    </xf>
    <xf numFmtId="170" fontId="47" fillId="0" borderId="10" xfId="155" applyNumberFormat="1" applyFont="1" applyFill="1" applyBorder="1" applyAlignment="1">
      <alignment vertical="center"/>
    </xf>
    <xf numFmtId="171" fontId="47" fillId="0" borderId="10" xfId="0" applyNumberFormat="1" applyFont="1" applyFill="1" applyBorder="1" applyAlignment="1">
      <alignment vertical="center"/>
    </xf>
    <xf numFmtId="170" fontId="47" fillId="0" borderId="10" xfId="155" applyNumberFormat="1" applyFont="1" applyFill="1" applyBorder="1"/>
    <xf numFmtId="170" fontId="47" fillId="0" borderId="10" xfId="162" applyNumberFormat="1" applyFont="1" applyFill="1" applyBorder="1"/>
    <xf numFmtId="0" fontId="0" fillId="0" borderId="0" xfId="0"/>
    <xf numFmtId="0" fontId="0" fillId="0" borderId="0" xfId="0" applyAlignment="1">
      <alignment wrapText="1"/>
    </xf>
    <xf numFmtId="0" fontId="0" fillId="0" borderId="0" xfId="0" applyFill="1"/>
    <xf numFmtId="175" fontId="0" fillId="0" borderId="10" xfId="0" applyNumberFormat="1" applyFill="1" applyBorder="1"/>
    <xf numFmtId="170" fontId="47" fillId="0" borderId="0" xfId="155" applyNumberFormat="1" applyFont="1" applyFill="1" applyBorder="1" applyAlignment="1">
      <alignment vertical="center"/>
    </xf>
    <xf numFmtId="0" fontId="0" fillId="64" borderId="0" xfId="0" applyFill="1"/>
    <xf numFmtId="170" fontId="47" fillId="0" borderId="26" xfId="155" applyNumberFormat="1" applyFont="1" applyFill="1" applyBorder="1" applyAlignment="1">
      <alignment vertical="center"/>
    </xf>
    <xf numFmtId="0" fontId="45" fillId="0" borderId="10" xfId="0" applyFont="1" applyFill="1" applyBorder="1" applyAlignment="1">
      <alignment horizontal="center"/>
    </xf>
    <xf numFmtId="0" fontId="44" fillId="0" borderId="10" xfId="0" applyFont="1" applyFill="1" applyBorder="1" applyAlignment="1">
      <alignment horizontal="center"/>
    </xf>
    <xf numFmtId="0" fontId="44" fillId="0" borderId="26" xfId="0" applyFont="1" applyFill="1" applyBorder="1" applyAlignment="1">
      <alignment horizontal="center"/>
    </xf>
    <xf numFmtId="0" fontId="45" fillId="0" borderId="26" xfId="0" applyFont="1" applyFill="1" applyBorder="1" applyAlignment="1">
      <alignment horizontal="center"/>
    </xf>
    <xf numFmtId="0" fontId="45" fillId="0" borderId="10" xfId="0" applyFont="1" applyFill="1" applyBorder="1" applyAlignment="1">
      <alignment horizontal="center" wrapText="1"/>
    </xf>
    <xf numFmtId="171" fontId="47" fillId="0" borderId="26" xfId="0" applyNumberFormat="1" applyFont="1" applyFill="1" applyBorder="1" applyAlignment="1">
      <alignment horizontal="right" vertical="center"/>
    </xf>
    <xf numFmtId="0" fontId="21" fillId="0" borderId="0" xfId="0" applyFont="1"/>
    <xf numFmtId="171" fontId="47" fillId="0" borderId="15" xfId="0" applyNumberFormat="1" applyFont="1" applyBorder="1" applyAlignment="1">
      <alignment vertical="center"/>
    </xf>
    <xf numFmtId="171" fontId="47" fillId="0" borderId="16" xfId="0" applyNumberFormat="1" applyFont="1" applyBorder="1" applyAlignment="1">
      <alignment vertical="center"/>
    </xf>
    <xf numFmtId="0" fontId="15" fillId="67" borderId="10" xfId="160" applyFont="1" applyFill="1" applyBorder="1" applyAlignment="1">
      <alignment horizontal="center" vertical="center" wrapText="1"/>
    </xf>
    <xf numFmtId="0" fontId="57" fillId="40" borderId="0" xfId="0" applyFont="1" applyFill="1" applyAlignment="1">
      <alignment horizontal="center" wrapText="1"/>
    </xf>
    <xf numFmtId="170" fontId="47" fillId="0" borderId="10" xfId="155" applyNumberFormat="1" applyFont="1" applyBorder="1" applyAlignment="1">
      <alignment horizontal="center" vertical="center"/>
    </xf>
    <xf numFmtId="0" fontId="57" fillId="40" borderId="0" xfId="160" applyFont="1" applyFill="1" applyAlignment="1">
      <alignment horizontal="left" vertical="center" wrapText="1"/>
    </xf>
    <xf numFmtId="0" fontId="15" fillId="41" borderId="10" xfId="0" applyFont="1" applyFill="1" applyBorder="1" applyAlignment="1">
      <alignment horizontal="left" wrapText="1"/>
    </xf>
    <xf numFmtId="9" fontId="0" fillId="39" borderId="14" xfId="152" applyFont="1" applyFill="1" applyBorder="1" applyAlignment="1">
      <alignment vertical="center" wrapText="1"/>
    </xf>
    <xf numFmtId="9" fontId="0" fillId="0" borderId="10" xfId="152" applyFont="1" applyFill="1" applyBorder="1" applyAlignment="1">
      <alignment vertical="center" wrapText="1"/>
    </xf>
    <xf numFmtId="9" fontId="1" fillId="39" borderId="15" xfId="161" applyFill="1" applyBorder="1" applyAlignment="1">
      <alignment wrapText="1"/>
    </xf>
    <xf numFmtId="170" fontId="47" fillId="0" borderId="10" xfId="162" applyNumberFormat="1" applyFont="1" applyBorder="1" applyAlignment="1">
      <alignment horizontal="center" vertical="center"/>
    </xf>
    <xf numFmtId="170" fontId="47" fillId="0" borderId="10" xfId="155" applyNumberFormat="1" applyFont="1" applyFill="1" applyBorder="1" applyAlignment="1">
      <alignment horizontal="center" vertical="center"/>
    </xf>
    <xf numFmtId="0" fontId="21" fillId="0" borderId="0" xfId="0" applyFont="1" applyFill="1"/>
    <xf numFmtId="168" fontId="28" fillId="0" borderId="0" xfId="0" applyNumberFormat="1" applyFont="1" applyFill="1"/>
    <xf numFmtId="168" fontId="72" fillId="0" borderId="10" xfId="0" applyNumberFormat="1" applyFont="1" applyFill="1" applyBorder="1" applyAlignment="1">
      <alignment horizontal="right"/>
    </xf>
    <xf numFmtId="0" fontId="47" fillId="80" borderId="10" xfId="0" applyFont="1" applyFill="1" applyBorder="1" applyAlignment="1">
      <alignment vertical="center" wrapText="1"/>
    </xf>
    <xf numFmtId="0" fontId="15" fillId="40" borderId="0" xfId="0" applyFont="1" applyFill="1" applyBorder="1" applyAlignment="1">
      <alignment horizontal="center" vertical="center" wrapText="1"/>
    </xf>
    <xf numFmtId="0" fontId="46" fillId="39" borderId="10" xfId="0" applyFont="1" applyFill="1" applyBorder="1"/>
    <xf numFmtId="0" fontId="59" fillId="0" borderId="10" xfId="0" applyNumberFormat="1" applyFont="1" applyBorder="1" applyAlignment="1">
      <alignment horizontal="right" vertical="center"/>
    </xf>
    <xf numFmtId="0" fontId="0" fillId="0" borderId="0" xfId="0" applyBorder="1"/>
    <xf numFmtId="170" fontId="47" fillId="0" borderId="11" xfId="155" applyNumberFormat="1" applyFont="1" applyFill="1" applyBorder="1" applyAlignment="1">
      <alignment vertical="center"/>
    </xf>
    <xf numFmtId="0" fontId="47" fillId="0" borderId="10" xfId="0" applyFont="1" applyFill="1" applyBorder="1" applyAlignment="1">
      <alignment vertical="center" wrapText="1"/>
    </xf>
    <xf numFmtId="171" fontId="59" fillId="0" borderId="10" xfId="0" applyNumberFormat="1" applyFont="1" applyFill="1" applyBorder="1" applyAlignment="1">
      <alignment vertical="center"/>
    </xf>
    <xf numFmtId="171" fontId="59" fillId="0" borderId="15" xfId="0" applyNumberFormat="1" applyFont="1" applyFill="1" applyBorder="1" applyAlignment="1">
      <alignment vertical="center"/>
    </xf>
    <xf numFmtId="171" fontId="59" fillId="0" borderId="16" xfId="0" applyNumberFormat="1" applyFont="1" applyFill="1" applyBorder="1" applyAlignment="1">
      <alignment vertical="center"/>
    </xf>
    <xf numFmtId="171" fontId="47" fillId="0" borderId="11" xfId="0" applyNumberFormat="1" applyFont="1" applyFill="1" applyBorder="1" applyAlignment="1">
      <alignment horizontal="right" vertical="center"/>
    </xf>
    <xf numFmtId="0" fontId="60" fillId="73" borderId="10" xfId="0" applyFont="1" applyFill="1" applyBorder="1" applyAlignment="1">
      <alignment horizontal="left" vertical="center" wrapText="1"/>
    </xf>
    <xf numFmtId="0" fontId="60" fillId="75" borderId="10" xfId="0" applyFont="1" applyFill="1" applyBorder="1" applyAlignment="1">
      <alignment horizontal="left" vertical="center" wrapText="1"/>
    </xf>
    <xf numFmtId="0" fontId="61" fillId="73" borderId="10" xfId="0" applyFont="1" applyFill="1" applyBorder="1" applyAlignment="1">
      <alignment horizontal="center" vertical="center" wrapText="1"/>
    </xf>
    <xf numFmtId="0" fontId="62" fillId="74" borderId="10" xfId="0" applyFont="1" applyFill="1" applyBorder="1" applyAlignment="1">
      <alignment horizontal="center" vertical="center" wrapText="1"/>
    </xf>
    <xf numFmtId="0" fontId="15" fillId="45" borderId="27" xfId="0" applyFont="1" applyFill="1" applyBorder="1" applyAlignment="1">
      <alignment horizontal="center" vertical="center" wrapText="1"/>
    </xf>
    <xf numFmtId="0" fontId="15" fillId="45" borderId="28" xfId="0" applyFont="1" applyFill="1" applyBorder="1" applyAlignment="1">
      <alignment horizontal="center" vertical="center" wrapText="1"/>
    </xf>
    <xf numFmtId="0" fontId="15" fillId="67" borderId="30" xfId="0" applyFont="1" applyFill="1" applyBorder="1" applyAlignment="1">
      <alignment horizontal="center" vertical="center" wrapText="1"/>
    </xf>
    <xf numFmtId="0" fontId="15" fillId="67" borderId="31" xfId="0" applyFont="1" applyFill="1" applyBorder="1" applyAlignment="1">
      <alignment horizontal="center" vertical="center" wrapText="1"/>
    </xf>
    <xf numFmtId="0" fontId="15" fillId="67" borderId="32" xfId="0" applyFont="1" applyFill="1" applyBorder="1" applyAlignment="1">
      <alignment horizontal="center" vertical="center" wrapText="1"/>
    </xf>
    <xf numFmtId="0" fontId="15" fillId="67" borderId="15" xfId="0" applyFont="1" applyFill="1" applyBorder="1" applyAlignment="1">
      <alignment horizontal="center" vertical="center" wrapText="1"/>
    </xf>
    <xf numFmtId="0" fontId="15" fillId="67" borderId="16" xfId="0" applyFont="1" applyFill="1" applyBorder="1" applyAlignment="1">
      <alignment horizontal="center" vertical="center" wrapText="1"/>
    </xf>
    <xf numFmtId="0" fontId="15" fillId="67" borderId="21" xfId="0" applyFont="1" applyFill="1" applyBorder="1" applyAlignment="1">
      <alignment horizontal="center" vertical="center" wrapText="1"/>
    </xf>
    <xf numFmtId="0" fontId="15" fillId="45" borderId="27" xfId="160" applyFont="1" applyFill="1" applyBorder="1" applyAlignment="1">
      <alignment horizontal="center" vertical="center" wrapText="1"/>
    </xf>
    <xf numFmtId="0" fontId="15" fillId="45" borderId="28" xfId="160" applyFont="1" applyFill="1" applyBorder="1" applyAlignment="1">
      <alignment horizontal="center" vertical="center" wrapText="1"/>
    </xf>
    <xf numFmtId="0" fontId="15" fillId="67" borderId="15" xfId="160" applyFont="1" applyFill="1" applyBorder="1" applyAlignment="1">
      <alignment horizontal="center" vertical="center" wrapText="1"/>
    </xf>
    <xf numFmtId="0" fontId="15" fillId="67" borderId="16" xfId="160" applyFont="1" applyFill="1" applyBorder="1" applyAlignment="1">
      <alignment horizontal="center" vertical="center" wrapText="1"/>
    </xf>
    <xf numFmtId="0" fontId="15" fillId="67" borderId="17" xfId="160" applyFont="1" applyFill="1" applyBorder="1" applyAlignment="1">
      <alignment horizontal="center" vertical="center" wrapText="1"/>
    </xf>
    <xf numFmtId="0" fontId="15" fillId="67" borderId="10" xfId="160" applyFont="1" applyFill="1" applyBorder="1" applyAlignment="1">
      <alignment horizontal="center" vertical="center" wrapText="1"/>
    </xf>
    <xf numFmtId="0" fontId="0" fillId="43" borderId="14" xfId="0" applyFill="1" applyBorder="1" applyAlignment="1">
      <alignment horizontal="center" vertical="center" wrapText="1"/>
    </xf>
    <xf numFmtId="0" fontId="0" fillId="43" borderId="20" xfId="0" applyFill="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39" borderId="10" xfId="0" applyFont="1" applyFill="1" applyBorder="1" applyAlignment="1">
      <alignment horizontal="center" vertical="center" wrapText="1"/>
    </xf>
    <xf numFmtId="0" fontId="21" fillId="0" borderId="10" xfId="0" applyFont="1" applyBorder="1" applyAlignment="1">
      <alignment horizontal="center" vertical="center"/>
    </xf>
    <xf numFmtId="0" fontId="21" fillId="0" borderId="10" xfId="0" applyFont="1" applyBorder="1" applyAlignment="1">
      <alignment horizontal="center" vertical="center" wrapText="1"/>
    </xf>
    <xf numFmtId="0" fontId="0" fillId="43" borderId="10" xfId="0" applyFill="1" applyBorder="1" applyAlignment="1">
      <alignment horizontal="center" vertical="center" wrapText="1"/>
    </xf>
    <xf numFmtId="0" fontId="0" fillId="43" borderId="26" xfId="0" applyFill="1" applyBorder="1" applyAlignment="1">
      <alignment horizontal="center" vertical="center" wrapText="1"/>
    </xf>
    <xf numFmtId="0" fontId="15" fillId="44" borderId="15" xfId="0" applyFont="1" applyFill="1" applyBorder="1" applyAlignment="1">
      <alignment horizontal="center" vertical="center"/>
    </xf>
    <xf numFmtId="0" fontId="15" fillId="44" borderId="16" xfId="0" applyFont="1" applyFill="1" applyBorder="1" applyAlignment="1">
      <alignment horizontal="center" vertical="center"/>
    </xf>
    <xf numFmtId="0" fontId="15" fillId="44" borderId="17" xfId="0" applyFont="1" applyFill="1" applyBorder="1" applyAlignment="1">
      <alignment horizontal="center" vertical="center"/>
    </xf>
    <xf numFmtId="0" fontId="23" fillId="0" borderId="0" xfId="0" applyFont="1" applyAlignment="1">
      <alignment horizontal="left"/>
    </xf>
    <xf numFmtId="9" fontId="15" fillId="41" borderId="10" xfId="0" applyNumberFormat="1" applyFont="1" applyFill="1" applyBorder="1" applyAlignment="1">
      <alignment horizontal="center" vertical="center"/>
    </xf>
    <xf numFmtId="0" fontId="21" fillId="0" borderId="10"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1" fillId="0" borderId="17" xfId="0" applyFont="1" applyFill="1" applyBorder="1" applyAlignment="1">
      <alignment horizontal="center" vertical="center" wrapText="1"/>
    </xf>
    <xf numFmtId="9" fontId="15" fillId="41" borderId="16" xfId="0" applyNumberFormat="1" applyFont="1" applyFill="1" applyBorder="1" applyAlignment="1">
      <alignment horizontal="center" vertical="center"/>
    </xf>
    <xf numFmtId="9" fontId="15" fillId="41" borderId="17" xfId="0" applyNumberFormat="1" applyFont="1" applyFill="1" applyBorder="1" applyAlignment="1">
      <alignment horizontal="center" vertical="center"/>
    </xf>
    <xf numFmtId="20" fontId="21" fillId="0" borderId="10" xfId="0" applyNumberFormat="1" applyFont="1" applyBorder="1" applyAlignment="1">
      <alignment horizontal="center" vertical="center" wrapText="1"/>
    </xf>
    <xf numFmtId="9" fontId="21" fillId="0" borderId="10" xfId="0" applyNumberFormat="1" applyFont="1" applyBorder="1" applyAlignment="1">
      <alignment horizontal="center" vertical="center" wrapText="1"/>
    </xf>
    <xf numFmtId="9" fontId="21" fillId="0" borderId="15" xfId="0" applyNumberFormat="1" applyFont="1" applyBorder="1" applyAlignment="1">
      <alignment horizontal="center" vertical="center" wrapText="1"/>
    </xf>
    <xf numFmtId="9" fontId="21" fillId="0" borderId="16" xfId="0" applyNumberFormat="1" applyFont="1" applyBorder="1" applyAlignment="1">
      <alignment horizontal="center" vertical="center" wrapText="1"/>
    </xf>
    <xf numFmtId="9" fontId="21" fillId="0" borderId="17" xfId="0" applyNumberFormat="1" applyFont="1" applyBorder="1" applyAlignment="1">
      <alignment horizontal="center" vertical="center" wrapText="1"/>
    </xf>
    <xf numFmtId="0" fontId="21" fillId="0" borderId="15" xfId="0" applyFont="1" applyBorder="1" applyAlignment="1">
      <alignment horizontal="center" wrapText="1"/>
    </xf>
    <xf numFmtId="0" fontId="21" fillId="0" borderId="16" xfId="0" applyFont="1" applyBorder="1" applyAlignment="1">
      <alignment horizontal="center" wrapText="1"/>
    </xf>
    <xf numFmtId="0" fontId="21" fillId="0" borderId="17" xfId="0" applyFont="1" applyBorder="1" applyAlignment="1">
      <alignment horizontal="center" wrapText="1"/>
    </xf>
    <xf numFmtId="0" fontId="0" fillId="0" borderId="0" xfId="0" applyAlignment="1">
      <alignment horizontal="left" vertical="center" wrapText="1"/>
    </xf>
    <xf numFmtId="0" fontId="22" fillId="0" borderId="0" xfId="0" applyFont="1" applyAlignment="1">
      <alignment horizontal="left" vertical="center" wrapText="1"/>
    </xf>
    <xf numFmtId="0" fontId="21" fillId="0" borderId="10" xfId="0" quotePrefix="1" applyFont="1" applyBorder="1" applyAlignment="1">
      <alignment horizontal="center" vertical="center" wrapText="1"/>
    </xf>
    <xf numFmtId="0" fontId="21" fillId="0" borderId="15" xfId="0" quotePrefix="1" applyFont="1" applyBorder="1" applyAlignment="1">
      <alignment horizontal="center" vertical="center" wrapText="1"/>
    </xf>
    <xf numFmtId="0" fontId="21" fillId="0" borderId="16" xfId="0" quotePrefix="1" applyFont="1" applyBorder="1" applyAlignment="1">
      <alignment horizontal="center" vertical="center" wrapText="1"/>
    </xf>
    <xf numFmtId="0" fontId="21" fillId="0" borderId="17" xfId="0" quotePrefix="1" applyFont="1" applyBorder="1" applyAlignment="1">
      <alignment horizontal="center" vertical="center" wrapText="1"/>
    </xf>
    <xf numFmtId="0" fontId="0" fillId="0" borderId="0" xfId="0" applyAlignment="1">
      <alignment horizontal="center" vertical="center" wrapText="1"/>
    </xf>
    <xf numFmtId="0" fontId="30" fillId="0" borderId="0" xfId="0" applyFont="1" applyAlignment="1">
      <alignment horizontal="center"/>
    </xf>
    <xf numFmtId="0" fontId="21" fillId="0" borderId="10" xfId="0" quotePrefix="1" applyFont="1" applyFill="1" applyBorder="1" applyAlignment="1">
      <alignment horizontal="center" vertical="center" wrapText="1"/>
    </xf>
    <xf numFmtId="0" fontId="21" fillId="0" borderId="10" xfId="0" applyFont="1" applyBorder="1" applyAlignment="1">
      <alignment horizontal="center" wrapText="1"/>
    </xf>
    <xf numFmtId="0" fontId="0" fillId="43" borderId="14" xfId="0" applyFill="1" applyBorder="1" applyAlignment="1">
      <alignment horizontal="center" vertical="center"/>
    </xf>
    <xf numFmtId="0" fontId="0" fillId="43" borderId="26" xfId="0" applyFill="1" applyBorder="1" applyAlignment="1">
      <alignment horizontal="center" vertical="center"/>
    </xf>
    <xf numFmtId="0" fontId="0" fillId="43" borderId="20" xfId="0" applyFill="1" applyBorder="1" applyAlignment="1">
      <alignment horizontal="center" vertical="center"/>
    </xf>
    <xf numFmtId="0" fontId="15" fillId="44" borderId="10" xfId="0" applyFont="1" applyFill="1" applyBorder="1" applyAlignment="1">
      <alignment horizontal="center" vertical="center"/>
    </xf>
    <xf numFmtId="165" fontId="21" fillId="0" borderId="10" xfId="0" applyNumberFormat="1" applyFont="1" applyBorder="1" applyAlignment="1">
      <alignment horizontal="center" vertical="center" wrapText="1"/>
    </xf>
    <xf numFmtId="165" fontId="15" fillId="41" borderId="10" xfId="0" applyNumberFormat="1" applyFont="1" applyFill="1" applyBorder="1" applyAlignment="1">
      <alignment horizontal="center" vertical="center"/>
    </xf>
    <xf numFmtId="0" fontId="21" fillId="43" borderId="10" xfId="0" applyFont="1" applyFill="1" applyBorder="1" applyAlignment="1">
      <alignment horizontal="center" vertical="center" wrapText="1"/>
    </xf>
    <xf numFmtId="0" fontId="21" fillId="43" borderId="14" xfId="0" applyFont="1" applyFill="1" applyBorder="1" applyAlignment="1">
      <alignment horizontal="center" vertical="center" wrapText="1"/>
    </xf>
    <xf numFmtId="0" fontId="21" fillId="43" borderId="26" xfId="0" applyFont="1" applyFill="1" applyBorder="1" applyAlignment="1">
      <alignment horizontal="center" vertical="center" wrapText="1"/>
    </xf>
    <xf numFmtId="0" fontId="21" fillId="43" borderId="20" xfId="0" applyFont="1" applyFill="1" applyBorder="1" applyAlignment="1">
      <alignment horizontal="center" vertical="center" wrapText="1"/>
    </xf>
    <xf numFmtId="0" fontId="0" fillId="68" borderId="12" xfId="0" applyFill="1" applyBorder="1" applyAlignment="1">
      <alignment horizontal="center"/>
    </xf>
    <xf numFmtId="0" fontId="0" fillId="69" borderId="12" xfId="0" applyFill="1" applyBorder="1" applyAlignment="1">
      <alignment horizontal="center"/>
    </xf>
    <xf numFmtId="0" fontId="0" fillId="44" borderId="12" xfId="0" applyFont="1" applyFill="1" applyBorder="1" applyAlignment="1">
      <alignment horizontal="center"/>
    </xf>
    <xf numFmtId="0" fontId="0" fillId="44" borderId="12" xfId="0" applyFill="1" applyBorder="1" applyAlignment="1">
      <alignment horizontal="center"/>
    </xf>
    <xf numFmtId="0" fontId="29" fillId="64" borderId="0" xfId="0" applyFont="1" applyFill="1" applyAlignment="1">
      <alignment horizontal="center"/>
    </xf>
    <xf numFmtId="0" fontId="38" fillId="39" borderId="0" xfId="0" applyFont="1" applyFill="1" applyAlignment="1">
      <alignment horizontal="left"/>
    </xf>
    <xf numFmtId="0" fontId="39" fillId="39" borderId="0" xfId="0" applyFont="1" applyFill="1" applyAlignment="1">
      <alignment horizontal="left"/>
    </xf>
    <xf numFmtId="0" fontId="47" fillId="39" borderId="13" xfId="0" applyFont="1" applyFill="1" applyBorder="1" applyAlignment="1">
      <alignment wrapText="1"/>
    </xf>
    <xf numFmtId="0" fontId="39" fillId="39" borderId="0" xfId="0" applyFont="1" applyFill="1" applyAlignment="1"/>
    <xf numFmtId="0" fontId="0" fillId="78" borderId="12" xfId="0" applyFill="1" applyBorder="1" applyAlignment="1">
      <alignment horizontal="center"/>
    </xf>
    <xf numFmtId="0" fontId="0" fillId="67" borderId="12" xfId="0" applyFill="1" applyBorder="1" applyAlignment="1">
      <alignment horizontal="center"/>
    </xf>
    <xf numFmtId="0" fontId="0" fillId="44" borderId="0" xfId="0" applyFill="1" applyAlignment="1">
      <alignment horizontal="center"/>
    </xf>
    <xf numFmtId="0" fontId="0" fillId="45" borderId="12" xfId="0" applyFill="1" applyBorder="1" applyAlignment="1">
      <alignment horizontal="center"/>
    </xf>
    <xf numFmtId="0" fontId="0" fillId="45" borderId="0" xfId="0" applyFill="1" applyBorder="1" applyAlignment="1">
      <alignment horizontal="center"/>
    </xf>
    <xf numFmtId="170" fontId="47" fillId="0" borderId="14" xfId="155" applyNumberFormat="1" applyFont="1" applyBorder="1" applyAlignment="1">
      <alignment horizontal="center" vertical="center"/>
    </xf>
    <xf numFmtId="170" fontId="47" fillId="0" borderId="20" xfId="155" applyNumberFormat="1" applyFont="1" applyBorder="1" applyAlignment="1">
      <alignment horizontal="center" vertical="center"/>
    </xf>
    <xf numFmtId="0" fontId="0" fillId="67" borderId="0" xfId="0" applyFill="1" applyBorder="1" applyAlignment="1">
      <alignment horizontal="center"/>
    </xf>
    <xf numFmtId="0" fontId="0" fillId="44" borderId="0" xfId="0" applyFill="1" applyBorder="1" applyAlignment="1">
      <alignment horizontal="center"/>
    </xf>
    <xf numFmtId="0" fontId="0" fillId="69" borderId="0" xfId="0" applyFill="1" applyBorder="1" applyAlignment="1">
      <alignment horizontal="center"/>
    </xf>
    <xf numFmtId="0" fontId="0" fillId="68" borderId="0" xfId="0" applyFill="1" applyBorder="1" applyAlignment="1">
      <alignment horizontal="center"/>
    </xf>
    <xf numFmtId="170" fontId="47" fillId="0" borderId="10" xfId="155" applyNumberFormat="1" applyFont="1" applyBorder="1" applyAlignment="1">
      <alignment horizontal="center" vertical="center"/>
    </xf>
  </cellXfs>
  <cellStyles count="3559">
    <cellStyle name="€ : (converti en EURO)" xfId="168" xr:uid="{BF33270B-1EA5-4CC4-9FE7-E97A7F464CB8}"/>
    <cellStyle name="€ : (converti en EURO) 2" xfId="169" xr:uid="{DB7437F8-3A60-4DCB-87AF-8AE77C9878D6}"/>
    <cellStyle name="€ : (converti en EURO) 2 2" xfId="170" xr:uid="{597AD415-F407-4A62-997F-CF612F0DF89D}"/>
    <cellStyle name="€ : (converti en EURO) 2 3" xfId="171" xr:uid="{F819ADAA-3FE0-4335-B4F5-1FB604CC156C}"/>
    <cellStyle name="€ : (converti en EURO) 3" xfId="172" xr:uid="{A66FF86E-D08A-41CB-9816-994242D584F8}"/>
    <cellStyle name="€ : (converti en EURO) 3 2" xfId="173" xr:uid="{B62B1116-46E8-454D-B03E-D0E5C9AE9F99}"/>
    <cellStyle name="€ : (converti en EURO) 3 3" xfId="174" xr:uid="{B5232AA6-A35C-488A-8146-F7B0E87F70C2}"/>
    <cellStyle name="€ : (converti en EURO) 4" xfId="175" xr:uid="{C14AF235-C593-4E3E-8566-49C0845AC48B}"/>
    <cellStyle name="€ : (converti en EURO) 4 2" xfId="176" xr:uid="{7442C789-DDF3-45D3-B8D9-009A17ABE084}"/>
    <cellStyle name="€ : (converti en EURO) 4 3" xfId="177" xr:uid="{842E2A2F-C47B-4AAF-AA90-D261B13BCE7B}"/>
    <cellStyle name="€ : (converti en EURO) 5" xfId="178" xr:uid="{3FAA8694-73F9-4D8F-B136-C7108A8535B2}"/>
    <cellStyle name="€ : (converti en EURO) 6" xfId="179" xr:uid="{E0556BF6-FA8C-439F-AE8D-07D0724B1419}"/>
    <cellStyle name="€ : (formule ECRASEE)" xfId="180" xr:uid="{E8548821-2354-4B35-ACC3-53ECF91511EF}"/>
    <cellStyle name="€ : (formule ECRASEE) 2" xfId="181" xr:uid="{7277DD99-ABAC-4656-ABE3-C7EE7177CDD4}"/>
    <cellStyle name="€ : (formule ECRASEE) 2 2" xfId="182" xr:uid="{A95DFCD6-5011-4F30-A87D-7B3A2DA1C11C}"/>
    <cellStyle name="€ : (formule ECRASEE) 2 3" xfId="183" xr:uid="{F3212E66-4834-4596-B7B1-5E931E73CB9E}"/>
    <cellStyle name="€ : (formule ECRASEE) 3" xfId="184" xr:uid="{A9ACFD1E-9C20-4EEE-89D0-FB41A487A599}"/>
    <cellStyle name="€ : (formule ECRASEE) 4" xfId="185" xr:uid="{EFB48607-74D8-43A6-A960-0A64F0FDA18A}"/>
    <cellStyle name="€ : (NON converti)" xfId="186" xr:uid="{6A2026FD-B242-41D8-822C-45DB20682998}"/>
    <cellStyle name="€ : (NON converti) 2" xfId="187" xr:uid="{D8DF4E49-AEC1-43F5-BC9E-3FAD4D930981}"/>
    <cellStyle name="€ : (NON converti) 2 2" xfId="188" xr:uid="{3F4D067E-5391-48F9-BCD8-12A555B56A05}"/>
    <cellStyle name="€ : (NON converti) 2 3" xfId="189" xr:uid="{7B439DB6-631A-475E-BB46-48FE72D4D22F}"/>
    <cellStyle name="€ : (NON converti) 3" xfId="190" xr:uid="{3A4358AD-6700-4F46-8FDE-A5838892A3C7}"/>
    <cellStyle name="€ : (NON converti) 3 2" xfId="191" xr:uid="{E90AB5DD-336E-404C-9862-F090A34DFBA8}"/>
    <cellStyle name="€ : (NON converti) 3 3" xfId="192" xr:uid="{07626F8F-A30C-477D-B2DF-583BE95D666A}"/>
    <cellStyle name="€ : (NON converti) 4" xfId="193" xr:uid="{5042B869-95A6-4E47-8C73-70CC51EC1DC7}"/>
    <cellStyle name="€ : (NON converti) 4 2" xfId="194" xr:uid="{103A1653-CF1D-44D7-B748-48700C6821D9}"/>
    <cellStyle name="€ : (NON converti) 4 3" xfId="195" xr:uid="{385DA7F8-55A1-45B8-BCB1-6EDA8DBADB0F}"/>
    <cellStyle name="€ : (NON converti) 5" xfId="196" xr:uid="{6BFCCE46-446E-4044-9925-438527DF6CEF}"/>
    <cellStyle name="€ : (NON converti) 6" xfId="197" xr:uid="{AF39B0FF-A1F0-4BC5-AFE7-FA519CBCD49F}"/>
    <cellStyle name="€ : (passage a l'EURO)" xfId="198" xr:uid="{0505BCAF-5295-492D-874D-244776AC5BFE}"/>
    <cellStyle name="€ : (passage a l'EURO) 2" xfId="199" xr:uid="{9F3ED06F-0B18-494C-A72C-3DE57835215B}"/>
    <cellStyle name="€ : (passage a l'EURO) 2 2" xfId="200" xr:uid="{E610B972-AFCA-4D07-B76A-3D81C92F1A46}"/>
    <cellStyle name="€ : (passage a l'EURO) 2 3" xfId="201" xr:uid="{AF799198-D4EB-4A6C-9451-E0008B3A6823}"/>
    <cellStyle name="€ : (passage a l'EURO) 3" xfId="202" xr:uid="{74B393DF-11BB-444E-8E7E-11ED8C1E817C}"/>
    <cellStyle name="€ : (passage a l'EURO) 3 2" xfId="203" xr:uid="{5FA7C724-BD94-424E-AFE0-76D088E95860}"/>
    <cellStyle name="€ : (passage a l'EURO) 3 3" xfId="204" xr:uid="{B77EAEE3-4CEC-4DBF-9F99-0D27A04E1C3F}"/>
    <cellStyle name="€ : (passage a l'EURO) 4" xfId="205" xr:uid="{D7E8ED42-2D9A-47C4-80EC-E13C71DE0174}"/>
    <cellStyle name="€ : (passage a l'EURO) 4 2" xfId="206" xr:uid="{058A4535-AB58-4382-A24E-2C9A80BF1EF5}"/>
    <cellStyle name="€ : (passage a l'EURO) 4 3" xfId="207" xr:uid="{948C450F-D24B-4C82-8C30-301C9DC3283D}"/>
    <cellStyle name="€ : (passage a l'EURO) 5" xfId="208" xr:uid="{C898D4CA-00A9-4CE6-A4A4-A2EFD460FF1E}"/>
    <cellStyle name="€ : (passage a l'EURO) 6" xfId="209" xr:uid="{26BB3E4B-CFF8-4363-8F9D-E1067098304D}"/>
    <cellStyle name="20 % - Accent1" xfId="210" xr:uid="{1D6EDA8E-0A26-4898-9013-B1B42FF8AE64}"/>
    <cellStyle name="20 % - Accent1 2" xfId="211" xr:uid="{8AC0F43C-E67A-49ED-97BC-5BBBCE9EC675}"/>
    <cellStyle name="20 % - Accent1 2 2" xfId="212" xr:uid="{05D4FE2B-3AA3-40CF-8018-660DDEB1C08F}"/>
    <cellStyle name="20 % - Accent1 3" xfId="213" xr:uid="{3E9E2754-7CD5-42EF-8CC4-0B99816C270C}"/>
    <cellStyle name="20 % - Accent2" xfId="214" xr:uid="{BF38EE1E-A49D-40ED-B740-6027C5DEFB4F}"/>
    <cellStyle name="20 % - Accent2 2" xfId="215" xr:uid="{A3B1FE14-020A-44B1-A4FE-03C98A285387}"/>
    <cellStyle name="20 % - Accent2 2 2" xfId="216" xr:uid="{5CD559C7-1A45-447F-9195-3DADB393E453}"/>
    <cellStyle name="20 % - Accent2 3" xfId="217" xr:uid="{E1A3E7EE-4A15-49BF-AAC5-5D4E209387CB}"/>
    <cellStyle name="20 % - Accent3" xfId="218" xr:uid="{B52EF807-7DFC-42CB-A13D-81FB252D8E36}"/>
    <cellStyle name="20 % - Accent3 2" xfId="219" xr:uid="{20A6FFC2-F9A0-409A-B5A9-FECB924246CA}"/>
    <cellStyle name="20 % - Accent3 2 2" xfId="220" xr:uid="{5ABB1BB5-6A94-4AEB-BC61-ADF21A49450A}"/>
    <cellStyle name="20 % - Accent3 3" xfId="221" xr:uid="{09305C76-A3CF-4E6E-8F6A-450CF3C4C37E}"/>
    <cellStyle name="20 % - Accent4" xfId="222" xr:uid="{F07B5438-84DC-4FA3-A81E-2185963AB482}"/>
    <cellStyle name="20 % - Accent4 2" xfId="223" xr:uid="{5A151278-186F-44C9-B3CD-1263A0120EA4}"/>
    <cellStyle name="20 % - Accent4 2 2" xfId="224" xr:uid="{CBC0698F-992A-43E8-A8CC-DF65C46862A2}"/>
    <cellStyle name="20 % - Accent4 3" xfId="225" xr:uid="{763D3D57-4BF9-422D-A992-54C7F9A62311}"/>
    <cellStyle name="20 % - Accent5" xfId="226" xr:uid="{C1D39D9E-2952-48CB-B27F-4711BEAA57C3}"/>
    <cellStyle name="20 % - Accent5 2" xfId="227" xr:uid="{467FC43B-E759-4B7A-8027-3022B7048C40}"/>
    <cellStyle name="20 % - Accent5 2 2" xfId="228" xr:uid="{CE522BA4-8482-4757-992C-7030126D698A}"/>
    <cellStyle name="20 % - Accent5 3" xfId="229" xr:uid="{AF7BEACF-6F4F-400B-9B04-56DFBA4D2B6D}"/>
    <cellStyle name="20 % - Accent6" xfId="230" xr:uid="{CBFCE93C-4A00-4406-A11E-BA457DD5C1D4}"/>
    <cellStyle name="20 % - Accent6 2" xfId="231" xr:uid="{262F2555-11AB-4ABD-BBA3-0BAE2840C7D2}"/>
    <cellStyle name="20 % - Accent6 2 2" xfId="232" xr:uid="{4CDBBB15-7B05-4A34-A993-D1E44FEFA91A}"/>
    <cellStyle name="20 % - Accent6 3" xfId="233" xr:uid="{B06330D0-E0CE-4357-A675-5574254B3B3C}"/>
    <cellStyle name="20 % - Accent1" xfId="17" builtinId="30" customBuiltin="1"/>
    <cellStyle name="20 % - Accent1 2" xfId="84" xr:uid="{00000000-0005-0000-0000-000001000000}"/>
    <cellStyle name="20 % - Accent1 2 2" xfId="132" xr:uid="{00000000-0005-0000-0000-000002000000}"/>
    <cellStyle name="20 % - Accent1 2 2 2" xfId="235" xr:uid="{3A72ADC2-F57F-4DF3-B0C1-E6A07EDD73BF}"/>
    <cellStyle name="20 % - Accent1 2 3" xfId="236" xr:uid="{1DC571E4-561E-4F10-86CD-E7BEBF909AE6}"/>
    <cellStyle name="20 % - Accent1 2 4" xfId="234" xr:uid="{FA5942EB-C0BD-4712-BE11-6C090B084B1B}"/>
    <cellStyle name="20 % - Accent1 3" xfId="111" xr:uid="{00000000-0005-0000-0000-000003000000}"/>
    <cellStyle name="20 % - Accent2" xfId="21" builtinId="34" customBuiltin="1"/>
    <cellStyle name="20 % - Accent2 2" xfId="86" xr:uid="{00000000-0005-0000-0000-000005000000}"/>
    <cellStyle name="20 % - Accent2 2 2" xfId="134" xr:uid="{00000000-0005-0000-0000-000006000000}"/>
    <cellStyle name="20 % - Accent2 2 2 2" xfId="238" xr:uid="{114DD733-46C3-4F05-A219-94FCF539059A}"/>
    <cellStyle name="20 % - Accent2 2 3" xfId="239" xr:uid="{CA29301B-4764-42CD-9BD8-085A5F01E6BC}"/>
    <cellStyle name="20 % - Accent2 2 4" xfId="237" xr:uid="{B558A169-D325-4598-84F8-6F69B2865D0F}"/>
    <cellStyle name="20 % - Accent2 3" xfId="113" xr:uid="{00000000-0005-0000-0000-000007000000}"/>
    <cellStyle name="20 % - Accent3" xfId="25" builtinId="38" customBuiltin="1"/>
    <cellStyle name="20 % - Accent3 2" xfId="88" xr:uid="{00000000-0005-0000-0000-000009000000}"/>
    <cellStyle name="20 % - Accent3 2 2" xfId="136" xr:uid="{00000000-0005-0000-0000-00000A000000}"/>
    <cellStyle name="20 % - Accent3 2 2 2" xfId="241" xr:uid="{29BF53AB-5F99-4EA5-8DC4-989CD79C3BEC}"/>
    <cellStyle name="20 % - Accent3 2 3" xfId="242" xr:uid="{8FA6BAAD-4CC4-4F39-BC6C-2781614EC2B6}"/>
    <cellStyle name="20 % - Accent3 2 4" xfId="240" xr:uid="{47F1BB07-32E3-484C-B897-6496C33C186E}"/>
    <cellStyle name="20 % - Accent3 3" xfId="115" xr:uid="{00000000-0005-0000-0000-00000B000000}"/>
    <cellStyle name="20 % - Accent4" xfId="29" builtinId="42" customBuiltin="1"/>
    <cellStyle name="20 % - Accent4 2" xfId="90" xr:uid="{00000000-0005-0000-0000-00000D000000}"/>
    <cellStyle name="20 % - Accent4 2 2" xfId="138" xr:uid="{00000000-0005-0000-0000-00000E000000}"/>
    <cellStyle name="20 % - Accent4 2 2 2" xfId="244" xr:uid="{E53B011F-F8D5-40B8-9CD3-672858172C8D}"/>
    <cellStyle name="20 % - Accent4 2 3" xfId="245" xr:uid="{36C94C14-C330-46B6-B603-4F83BCF52FB3}"/>
    <cellStyle name="20 % - Accent4 2 4" xfId="243" xr:uid="{1F68B9C8-D1F7-40B2-A3F0-74AE6777B1BD}"/>
    <cellStyle name="20 % - Accent4 3" xfId="117" xr:uid="{00000000-0005-0000-0000-00000F000000}"/>
    <cellStyle name="20 % - Accent5" xfId="33" builtinId="46" customBuiltin="1"/>
    <cellStyle name="20 % - Accent5 2" xfId="92" xr:uid="{00000000-0005-0000-0000-000011000000}"/>
    <cellStyle name="20 % - Accent5 2 2" xfId="140" xr:uid="{00000000-0005-0000-0000-000012000000}"/>
    <cellStyle name="20 % - Accent5 2 2 2" xfId="247" xr:uid="{5DB57544-DC9D-4057-A0DC-EC4F962EF733}"/>
    <cellStyle name="20 % - Accent5 2 3" xfId="248" xr:uid="{4E4BA52C-7906-4625-9932-49BEA0DC6A7D}"/>
    <cellStyle name="20 % - Accent5 2 4" xfId="246" xr:uid="{169C81CF-05C3-4AF3-9FDE-5B8A8C0C5126}"/>
    <cellStyle name="20 % - Accent5 3" xfId="119" xr:uid="{00000000-0005-0000-0000-000013000000}"/>
    <cellStyle name="20 % - Accent6" xfId="37" builtinId="50" customBuiltin="1"/>
    <cellStyle name="20 % - Accent6 2" xfId="94" xr:uid="{00000000-0005-0000-0000-000015000000}"/>
    <cellStyle name="20 % - Accent6 2 2" xfId="142" xr:uid="{00000000-0005-0000-0000-000016000000}"/>
    <cellStyle name="20 % - Accent6 2 2 2" xfId="250" xr:uid="{6CA3CBD6-BBB2-46CB-9320-DA0A09FF12B0}"/>
    <cellStyle name="20 % - Accent6 2 3" xfId="251" xr:uid="{892CA156-D9A3-452E-96E5-7C2F473C36B8}"/>
    <cellStyle name="20 % - Accent6 2 4" xfId="249" xr:uid="{8C81F4B3-ACB2-4259-BD06-AE4BD241427A}"/>
    <cellStyle name="20 % - Accent6 3" xfId="121" xr:uid="{00000000-0005-0000-0000-000017000000}"/>
    <cellStyle name="20% - Accent1" xfId="252" xr:uid="{D1D291AD-3A22-4CE7-9FC1-5F313E3C9274}"/>
    <cellStyle name="20% - Accent1 2" xfId="253" xr:uid="{B45E44FE-F1C4-4920-9E32-6F51409836F6}"/>
    <cellStyle name="20% - Accent1 3" xfId="254" xr:uid="{C4B66CE6-963C-418A-B818-37A9497CF461}"/>
    <cellStyle name="20% - Accent1 3 2" xfId="255" xr:uid="{EBE57560-6A55-4B92-9618-EA4557AF00D0}"/>
    <cellStyle name="20% - Accent1 3 2 2" xfId="256" xr:uid="{877A6FBC-096A-4A6E-AAED-60D6892191AE}"/>
    <cellStyle name="20% - Accent1 3 3" xfId="257" xr:uid="{6D56ADBA-BFFD-4AAA-B1C8-A8443F2B97F5}"/>
    <cellStyle name="20% - Accent1 3 3 2" xfId="258" xr:uid="{D019B79F-177D-4A4F-A691-99ED929C9EF8}"/>
    <cellStyle name="20% - Accent1 3 4" xfId="259" xr:uid="{8F7AD630-512C-4F7A-8E51-8FA717AEC875}"/>
    <cellStyle name="20% - Accent2" xfId="260" xr:uid="{32AB7F6E-4B66-4D07-93EA-C8AFBACB15E3}"/>
    <cellStyle name="20% - Accent2 2" xfId="261" xr:uid="{FBD0491C-C46B-4968-B6C3-4273F54D846C}"/>
    <cellStyle name="20% - Accent2 3" xfId="262" xr:uid="{5944BBB4-3B2F-4464-A558-00FF3AEC5F70}"/>
    <cellStyle name="20% - Accent2 3 2" xfId="263" xr:uid="{12535042-C6EA-4566-8230-3DB32AC08DD6}"/>
    <cellStyle name="20% - Accent2 3 2 2" xfId="264" xr:uid="{FE2258B8-E75D-4B98-8AB2-EB4564521BBF}"/>
    <cellStyle name="20% - Accent2 3 3" xfId="265" xr:uid="{EB0770C9-D3FC-4D21-A788-9DFAB9CE5850}"/>
    <cellStyle name="20% - Accent2 3 3 2" xfId="266" xr:uid="{98E7B66F-5013-4BF0-AE12-FE7C39AB173F}"/>
    <cellStyle name="20% - Accent2 3 4" xfId="267" xr:uid="{6B6F3B75-66B5-4F7D-BC05-C71494417894}"/>
    <cellStyle name="20% - Accent3" xfId="268" xr:uid="{9CCF6265-503E-4813-9E00-A902E005AD66}"/>
    <cellStyle name="20% - Accent3 2" xfId="269" xr:uid="{A06BA9BD-EE40-4B8B-B8B0-EEB93047B0B2}"/>
    <cellStyle name="20% - Accent3 3" xfId="270" xr:uid="{2B2ADBF8-F79D-4ED4-9391-9FCF44AA5B2A}"/>
    <cellStyle name="20% - Accent3 3 2" xfId="271" xr:uid="{F866965A-C458-4AA9-B0B5-C40C9EF883F0}"/>
    <cellStyle name="20% - Accent3 3 2 2" xfId="272" xr:uid="{9D6A48E8-1F9B-404A-999E-0DD35061E1AE}"/>
    <cellStyle name="20% - Accent3 3 3" xfId="273" xr:uid="{4B44F3BA-E140-452C-9D85-0CD1F8342730}"/>
    <cellStyle name="20% - Accent3 3 3 2" xfId="274" xr:uid="{7C0E8F1E-3520-433F-AEC2-BF97590D1B92}"/>
    <cellStyle name="20% - Accent3 3 4" xfId="275" xr:uid="{CA8D733D-C18B-436F-8558-543C5103A26F}"/>
    <cellStyle name="20% - Accent4" xfId="276" xr:uid="{2C77DCA7-8E8E-48D4-9031-5BCFB29878E7}"/>
    <cellStyle name="20% - Accent4 2" xfId="277" xr:uid="{04522CB1-0374-4360-A09B-438D6608DABE}"/>
    <cellStyle name="20% - Accent4 3" xfId="278" xr:uid="{E9AC75D2-410C-4381-857D-66ED9289A10C}"/>
    <cellStyle name="20% - Accent4 3 2" xfId="279" xr:uid="{F4FEBDDA-6E52-409B-AE81-6D06FFE66EE1}"/>
    <cellStyle name="20% - Accent4 3 2 2" xfId="280" xr:uid="{F643F6E7-F6D7-44EB-A728-32B13A5482C3}"/>
    <cellStyle name="20% - Accent4 3 3" xfId="281" xr:uid="{62F5A8B1-605F-4FC1-89AE-E6CF6F6CA754}"/>
    <cellStyle name="20% - Accent4 3 3 2" xfId="282" xr:uid="{F60D142C-1BAA-4DB4-8EF5-AEDDBC53AB82}"/>
    <cellStyle name="20% - Accent4 3 4" xfId="283" xr:uid="{BA983DFB-3EB5-402B-A734-145648530E1A}"/>
    <cellStyle name="20% - Accent5" xfId="284" xr:uid="{6E13E3B4-A6BC-451C-BE3E-706F9454FA02}"/>
    <cellStyle name="20% - Accent5 2" xfId="285" xr:uid="{A9282E00-5BBA-45C2-BD13-C68FA7380CA4}"/>
    <cellStyle name="20% - Accent5 3" xfId="286" xr:uid="{13141265-913A-41E7-BACF-C5C99FC9B49C}"/>
    <cellStyle name="20% - Accent5 3 2" xfId="287" xr:uid="{3B500382-DAF5-49B7-89A4-1979A2F235EB}"/>
    <cellStyle name="20% - Accent5 3 2 2" xfId="288" xr:uid="{8107E6C7-4F26-4D5F-86BF-D6F922C6E304}"/>
    <cellStyle name="20% - Accent5 3 3" xfId="289" xr:uid="{C475CAD2-4F74-4973-96C9-414D0F2A5AA0}"/>
    <cellStyle name="20% - Accent5 3 3 2" xfId="290" xr:uid="{7C83270E-735A-4708-85EE-0A30689D6946}"/>
    <cellStyle name="20% - Accent5 3 4" xfId="291" xr:uid="{D1A3EC0C-EDDF-4BB7-A618-27C989C54FFF}"/>
    <cellStyle name="20% - Accent6" xfId="292" xr:uid="{D74B5543-A5E5-4271-BAB2-AF671F12EBCE}"/>
    <cellStyle name="20% - Accent6 2" xfId="293" xr:uid="{7ABDD673-D085-4690-BB6C-31CA0FA16F1B}"/>
    <cellStyle name="20% - Accent6 3" xfId="294" xr:uid="{101A2520-0335-4317-9853-94C618673271}"/>
    <cellStyle name="20% - Accent6 3 2" xfId="295" xr:uid="{50AC5061-EE49-4521-88CC-0FEC603A8FB2}"/>
    <cellStyle name="20% - Accent6 3 2 2" xfId="296" xr:uid="{341D04AF-A2DD-4294-B3A0-792C85558379}"/>
    <cellStyle name="20% - Accent6 3 3" xfId="297" xr:uid="{0DBEE63D-14C9-4560-ACF3-F55CD07747FC}"/>
    <cellStyle name="20% - Accent6 3 3 2" xfId="298" xr:uid="{C294818F-6B5A-4F8C-ABAB-0C6768EAA659}"/>
    <cellStyle name="20% - Accent6 3 4" xfId="299" xr:uid="{1FD39633-61D6-4983-A6E4-4B0692DCA66E}"/>
    <cellStyle name="20% - Colore 1" xfId="300" xr:uid="{686855EF-DB16-4F81-A62B-4F1030344004}"/>
    <cellStyle name="20% - Colore 1 2" xfId="301" xr:uid="{12B6BE91-6EB6-4FCB-9C76-8EBA7C41E4B6}"/>
    <cellStyle name="20% - Colore 1 3" xfId="302" xr:uid="{F62DE215-AC23-4A8C-A61A-200322E3FF50}"/>
    <cellStyle name="20% - Colore 1 3 2" xfId="303" xr:uid="{5338D6D4-618C-4757-838A-DB6732268882}"/>
    <cellStyle name="20% - Colore 1 3 2 2" xfId="304" xr:uid="{6E1D0086-A17F-4596-B162-0F5710790C9E}"/>
    <cellStyle name="20% - Colore 1 3 3" xfId="305" xr:uid="{FBA757C6-DF3E-41A5-BA9A-9959F44D3301}"/>
    <cellStyle name="20% - Colore 1 3 3 2" xfId="306" xr:uid="{C5E97B9F-5E44-4022-B714-3D7724EC9AB5}"/>
    <cellStyle name="20% - Colore 1 3 4" xfId="307" xr:uid="{D06C5EA9-F4E6-46A6-9DA2-CF3A241CFF6B}"/>
    <cellStyle name="20% - Colore 2" xfId="308" xr:uid="{A676ED72-B753-456C-B99C-D94C61DEA4AD}"/>
    <cellStyle name="20% - Colore 2 2" xfId="309" xr:uid="{5C35BF46-E44A-469F-9C8F-826A415A06E0}"/>
    <cellStyle name="20% - Colore 2 3" xfId="310" xr:uid="{254E3C8C-0998-467D-84FC-6E2EDE713BB9}"/>
    <cellStyle name="20% - Colore 2 3 2" xfId="311" xr:uid="{08518EC9-5EFF-42D7-9312-D3DEA5C316CE}"/>
    <cellStyle name="20% - Colore 2 3 2 2" xfId="312" xr:uid="{801EF3C5-B93D-4117-ADA2-AA72C65C2E8A}"/>
    <cellStyle name="20% - Colore 2 3 3" xfId="313" xr:uid="{DA536A31-B1FA-426B-B560-CD1D4493BDF6}"/>
    <cellStyle name="20% - Colore 2 3 3 2" xfId="314" xr:uid="{7E138130-7379-4344-ADBE-515BB8DE7E3F}"/>
    <cellStyle name="20% - Colore 2 3 4" xfId="315" xr:uid="{2339635F-2A0B-495B-9C9C-565B8E37299A}"/>
    <cellStyle name="20% - Colore 3" xfId="316" xr:uid="{8A5B6192-6684-4E16-A36C-75576FAFD83E}"/>
    <cellStyle name="20% - Colore 3 2" xfId="317" xr:uid="{52D60936-0900-4731-BDE7-E2439EDA7A69}"/>
    <cellStyle name="20% - Colore 3 3" xfId="318" xr:uid="{E52AD338-F218-4572-9EA2-2A8CF69ADD75}"/>
    <cellStyle name="20% - Colore 3 3 2" xfId="319" xr:uid="{588934CD-2860-46B3-A2F4-8E183BFDA8D2}"/>
    <cellStyle name="20% - Colore 3 3 2 2" xfId="320" xr:uid="{1BE3DDC6-78B4-4767-83DE-6035975668F9}"/>
    <cellStyle name="20% - Colore 3 3 3" xfId="321" xr:uid="{59F5DC24-AD02-41DA-9D54-F8C140895235}"/>
    <cellStyle name="20% - Colore 3 3 3 2" xfId="322" xr:uid="{E366759A-BE17-49EA-845B-47ABBA6829DD}"/>
    <cellStyle name="20% - Colore 3 3 4" xfId="323" xr:uid="{2FAA9A97-358A-42E5-8B28-E2D7016A3EE0}"/>
    <cellStyle name="20% - Colore 4" xfId="324" xr:uid="{DB84F514-3C4D-499C-92F8-D70E38B14AE1}"/>
    <cellStyle name="20% - Colore 4 2" xfId="325" xr:uid="{A6DFBF44-6888-4BB2-A33C-65BC978F8ED5}"/>
    <cellStyle name="20% - Colore 4 3" xfId="326" xr:uid="{0AB60545-68A3-4B66-A63D-60BB1B1B1356}"/>
    <cellStyle name="20% - Colore 4 3 2" xfId="327" xr:uid="{55858C30-6743-469D-A260-67AD439E6112}"/>
    <cellStyle name="20% - Colore 4 3 2 2" xfId="328" xr:uid="{FD0508CB-9C73-43E7-8192-4185320106CF}"/>
    <cellStyle name="20% - Colore 4 3 3" xfId="329" xr:uid="{05AA654D-C470-42F7-94E0-30B09B3D6580}"/>
    <cellStyle name="20% - Colore 4 3 3 2" xfId="330" xr:uid="{A067A0E9-DC98-4D67-A850-720DA9D76ACF}"/>
    <cellStyle name="20% - Colore 4 3 4" xfId="331" xr:uid="{B46E5999-0495-4ED7-8A03-086B2FA74CB4}"/>
    <cellStyle name="20% - Colore 5" xfId="332" xr:uid="{26897D29-1E67-45CC-9CEF-66AEE947C5E4}"/>
    <cellStyle name="20% - Colore 5 2" xfId="333" xr:uid="{397CE6CE-8671-4978-9A98-49478D6E9077}"/>
    <cellStyle name="20% - Colore 5 3" xfId="334" xr:uid="{54499F5B-F719-48A4-931B-EC77718FE2E0}"/>
    <cellStyle name="20% - Colore 5 3 2" xfId="335" xr:uid="{1A6659F3-DCD1-4B9E-8ECC-100D71912A92}"/>
    <cellStyle name="20% - Colore 5 3 2 2" xfId="336" xr:uid="{8263AFEF-ADA7-46AD-BADF-D80AF0070BDC}"/>
    <cellStyle name="20% - Colore 5 3 3" xfId="337" xr:uid="{865A1BAF-807F-4A64-B0B4-9420563B77B5}"/>
    <cellStyle name="20% - Colore 5 3 3 2" xfId="338" xr:uid="{EC7667C6-52E2-40BD-9177-B761FB0F52F6}"/>
    <cellStyle name="20% - Colore 5 3 4" xfId="339" xr:uid="{EC6DED4E-7C34-4846-8D9E-A6C7C6CC7DAE}"/>
    <cellStyle name="20% - Colore 6" xfId="340" xr:uid="{62CC8417-4D40-4D1B-BD99-56A60A3C70DA}"/>
    <cellStyle name="20% - Colore 6 2" xfId="341" xr:uid="{62D7C76E-581C-454C-AE4B-969CB7A68680}"/>
    <cellStyle name="20% - Colore 6 3" xfId="342" xr:uid="{9A0E92F1-26B5-46CD-BE41-D836F75D1EC5}"/>
    <cellStyle name="20% - Colore 6 3 2" xfId="343" xr:uid="{28862FFA-88F5-4025-A236-8E81E6B35F92}"/>
    <cellStyle name="20% - Colore 6 3 2 2" xfId="344" xr:uid="{753A81D5-FB6C-4176-B143-70C2CFF1ED63}"/>
    <cellStyle name="20% - Colore 6 3 3" xfId="345" xr:uid="{D88A733E-BBF8-481C-B958-2E9C95DB5AA8}"/>
    <cellStyle name="20% - Colore 6 3 3 2" xfId="346" xr:uid="{E715FCB8-5BAC-4FB5-ACAD-966D964E0ECD}"/>
    <cellStyle name="20% - Colore 6 3 4" xfId="347" xr:uid="{976F32B8-A734-446B-9854-B63999318E38}"/>
    <cellStyle name="20% - Énfasis1" xfId="348" xr:uid="{0F387AB6-CF02-46B5-A5EE-06B5EAC086B8}"/>
    <cellStyle name="20% - Énfasis1 2" xfId="349" xr:uid="{C951D34B-E8C7-4654-91F5-6C89A289C7A0}"/>
    <cellStyle name="20% - Énfasis1 3" xfId="350" xr:uid="{B149C08D-DAB1-4B3C-8CF6-0249EB87CB17}"/>
    <cellStyle name="20% - Énfasis1 3 2" xfId="351" xr:uid="{84FAFA8B-E0BF-4338-8E8D-8E7DF9B00E9D}"/>
    <cellStyle name="20% - Énfasis1 3 2 2" xfId="352" xr:uid="{989B21CA-5760-4EA7-8C5A-6E6BE594248B}"/>
    <cellStyle name="20% - Énfasis1 3 3" xfId="353" xr:uid="{D4B3A91C-0BE4-4AC1-9C08-559B7D4A1C60}"/>
    <cellStyle name="20% - Énfasis1 3 3 2" xfId="354" xr:uid="{CD3802D6-F0E7-4F75-9FAE-F81760B1880E}"/>
    <cellStyle name="20% - Énfasis1 3 4" xfId="355" xr:uid="{41D18153-9605-4512-8C68-F638ACCF4854}"/>
    <cellStyle name="20% - Énfasis2" xfId="356" xr:uid="{EC69E2E6-94B4-4106-913E-4CC29805C5A6}"/>
    <cellStyle name="20% - Énfasis2 2" xfId="357" xr:uid="{B36FBC3A-8224-4EC9-9DB8-9D0961AC5526}"/>
    <cellStyle name="20% - Énfasis2 3" xfId="358" xr:uid="{662A7434-9640-45E1-92CB-F00667A98BEA}"/>
    <cellStyle name="20% - Énfasis2 3 2" xfId="359" xr:uid="{C5D8D9F7-EDB1-4DF6-8826-435580338472}"/>
    <cellStyle name="20% - Énfasis2 3 2 2" xfId="360" xr:uid="{A9CFE3F7-083F-4C4D-AE7F-AE6CA05C4FB7}"/>
    <cellStyle name="20% - Énfasis2 3 3" xfId="361" xr:uid="{72F3AC9E-C9FE-4C7B-A457-59194922882F}"/>
    <cellStyle name="20% - Énfasis2 3 3 2" xfId="362" xr:uid="{9130E0CF-91D0-4609-AB69-03329C135F5D}"/>
    <cellStyle name="20% - Énfasis2 3 4" xfId="363" xr:uid="{E005D2F2-D5E0-4490-B32D-CA8821021F18}"/>
    <cellStyle name="20% - Énfasis3" xfId="364" xr:uid="{DF4544D7-797F-4A85-9916-BABE6A692C64}"/>
    <cellStyle name="20% - Énfasis3 2" xfId="365" xr:uid="{1CCE9B29-E608-4F83-9B34-8B280CEDB1A2}"/>
    <cellStyle name="20% - Énfasis3 3" xfId="366" xr:uid="{B1B71A9A-3FE4-4263-ABAD-E6487F2F3B1F}"/>
    <cellStyle name="20% - Énfasis3 3 2" xfId="367" xr:uid="{C355EBBF-C1E0-4520-B3F7-EED7AEC5CEF1}"/>
    <cellStyle name="20% - Énfasis3 3 2 2" xfId="368" xr:uid="{1C11DD80-EA78-44FF-8212-AC0828C9CB80}"/>
    <cellStyle name="20% - Énfasis3 3 3" xfId="369" xr:uid="{EBFCB733-5D1A-4035-B8B1-AB9E8C7E748F}"/>
    <cellStyle name="20% - Énfasis3 3 3 2" xfId="370" xr:uid="{51A6C9F4-DDEB-4C8E-A2AB-0BFA053DD976}"/>
    <cellStyle name="20% - Énfasis3 3 4" xfId="371" xr:uid="{7943459E-7E3D-49CF-8EC3-56221D931F2A}"/>
    <cellStyle name="20% - Énfasis4" xfId="372" xr:uid="{E928FA02-303D-4B72-A0FE-362CFFAFF585}"/>
    <cellStyle name="20% - Énfasis4 2" xfId="373" xr:uid="{750F28B3-C8D0-4066-9CA8-BC4226CB320C}"/>
    <cellStyle name="20% - Énfasis4 3" xfId="374" xr:uid="{1FB3754F-3101-4ED0-A773-7F0E38A0A32A}"/>
    <cellStyle name="20% - Énfasis4 3 2" xfId="375" xr:uid="{D468F7D7-2E26-475E-98EE-A633DAB64478}"/>
    <cellStyle name="20% - Énfasis4 3 2 2" xfId="376" xr:uid="{55AD2A78-6D17-4734-B443-367E936B4625}"/>
    <cellStyle name="20% - Énfasis4 3 3" xfId="377" xr:uid="{C4BF9F53-CFBD-434A-8042-00ADF5D59A9E}"/>
    <cellStyle name="20% - Énfasis4 3 3 2" xfId="378" xr:uid="{C52FE764-08B7-4A3A-99CC-A775C1C5FD8E}"/>
    <cellStyle name="20% - Énfasis4 3 4" xfId="379" xr:uid="{62A74EC4-ED73-4CB1-8583-5DF91D25CDF4}"/>
    <cellStyle name="20% - Énfasis5" xfId="380" xr:uid="{E0954026-0F08-4BE8-B292-178EE95A4813}"/>
    <cellStyle name="20% - Énfasis5 2" xfId="381" xr:uid="{0523C7DC-5866-4F27-A380-9E14D27EC89A}"/>
    <cellStyle name="20% - Énfasis5 3" xfId="382" xr:uid="{0F737361-F90C-4495-B6B4-CEF1A1617BF1}"/>
    <cellStyle name="20% - Énfasis5 3 2" xfId="383" xr:uid="{E1F6E452-7D27-461C-B0B7-D1C7A7651B22}"/>
    <cellStyle name="20% - Énfasis5 3 2 2" xfId="384" xr:uid="{B31ADBD2-E10B-45DA-A475-5C1CF9CC161A}"/>
    <cellStyle name="20% - Énfasis5 3 3" xfId="385" xr:uid="{B97FA48C-4985-4300-B915-9BD132358AE9}"/>
    <cellStyle name="20% - Énfasis5 3 3 2" xfId="386" xr:uid="{3AAD5D2C-335C-4521-B976-E2A3E91ADE70}"/>
    <cellStyle name="20% - Énfasis5 3 4" xfId="387" xr:uid="{1657FB58-DEB8-4BB2-A609-BE4DD1F8AB0C}"/>
    <cellStyle name="20% - Énfasis6" xfId="388" xr:uid="{58ADBE34-75C1-4F01-9677-53C53304B907}"/>
    <cellStyle name="20% - Énfasis6 2" xfId="389" xr:uid="{73A77430-323F-4425-84F8-D33695903DF8}"/>
    <cellStyle name="20% - Énfasis6 3" xfId="390" xr:uid="{FD7C8EE5-E693-45F5-9103-E2659CFDF05D}"/>
    <cellStyle name="20% - Énfasis6 3 2" xfId="391" xr:uid="{41F232FA-E5FE-4C89-94FB-0A3DE8966565}"/>
    <cellStyle name="20% - Énfasis6 3 2 2" xfId="392" xr:uid="{D443F4D0-D05C-4D92-93E9-5B403E1F9B3E}"/>
    <cellStyle name="20% - Énfasis6 3 3" xfId="393" xr:uid="{A367B779-30C0-43C3-BE5C-37B28C9C74C5}"/>
    <cellStyle name="20% - Énfasis6 3 3 2" xfId="394" xr:uid="{2210AEEB-A7B5-4AB0-B258-16FD02635021}"/>
    <cellStyle name="20% - Énfasis6 3 4" xfId="395" xr:uid="{51DD1B57-93BD-4363-ACCA-684D1F741535}"/>
    <cellStyle name="40 % - Accent1" xfId="396" xr:uid="{59520632-F111-41E6-AAC7-941B564F3608}"/>
    <cellStyle name="40 % - Accent1 2" xfId="397" xr:uid="{301AF9D1-D6BD-42F4-8555-21F320BCE0E5}"/>
    <cellStyle name="40 % - Accent1 2 2" xfId="398" xr:uid="{A7FBF1AD-1B1E-43B1-925A-11D14E5CA4F9}"/>
    <cellStyle name="40 % - Accent1 3" xfId="399" xr:uid="{1BC56D61-8046-4C1D-9D71-C34774FD80E3}"/>
    <cellStyle name="40 % - Accent2" xfId="400" xr:uid="{955BD7BB-18B1-49F9-AAEE-90099E8DEEBE}"/>
    <cellStyle name="40 % - Accent2 2" xfId="401" xr:uid="{109E30F2-6705-4D35-9880-131CDC6A1BF0}"/>
    <cellStyle name="40 % - Accent2 2 2" xfId="402" xr:uid="{79B5BA32-DDD2-46E6-9A73-92299D506A66}"/>
    <cellStyle name="40 % - Accent2 3" xfId="403" xr:uid="{47116A32-2E56-4B95-A72D-E7D7B9A38525}"/>
    <cellStyle name="40 % - Accent3" xfId="404" xr:uid="{A317DFB6-0A3E-464D-BA60-DCFE13268EE2}"/>
    <cellStyle name="40 % - Accent3 2" xfId="405" xr:uid="{6DF607C2-4CF3-47BB-8ED0-E08152464931}"/>
    <cellStyle name="40 % - Accent3 2 2" xfId="406" xr:uid="{249C2CB3-2CCD-477B-838C-48125C7753F6}"/>
    <cellStyle name="40 % - Accent3 3" xfId="407" xr:uid="{64AD51CC-2360-4009-9B63-995A2B9C9118}"/>
    <cellStyle name="40 % - Accent4" xfId="408" xr:uid="{FD233F81-5F78-4124-AEAE-38265293BDEF}"/>
    <cellStyle name="40 % - Accent4 2" xfId="409" xr:uid="{2295AD10-4DCE-4166-B173-C24B9A951244}"/>
    <cellStyle name="40 % - Accent4 2 2" xfId="410" xr:uid="{2C8A27B9-7DE5-44BD-88EC-3A0A4C6C1377}"/>
    <cellStyle name="40 % - Accent4 3" xfId="411" xr:uid="{2D13DFF0-0CD0-4693-893D-57F41D5BAEDA}"/>
    <cellStyle name="40 % - Accent5" xfId="412" xr:uid="{933586BD-659C-4064-9641-79C63F915025}"/>
    <cellStyle name="40 % - Accent5 2" xfId="413" xr:uid="{65B199E4-7AAD-4BD5-AAB6-93260E4B5E9A}"/>
    <cellStyle name="40 % - Accent5 2 2" xfId="414" xr:uid="{E5651404-2996-4CBE-A5ED-894F886BB549}"/>
    <cellStyle name="40 % - Accent5 3" xfId="415" xr:uid="{3980C433-DDCF-4256-86A8-614A72000401}"/>
    <cellStyle name="40 % - Accent6" xfId="416" xr:uid="{551E9960-8837-43A0-8EDE-3EA86D16157E}"/>
    <cellStyle name="40 % - Accent6 2" xfId="417" xr:uid="{ED34FE68-4F1C-404E-8D7A-0D4102D760EC}"/>
    <cellStyle name="40 % - Accent6 2 2" xfId="418" xr:uid="{90430C25-5AD2-46D8-BCFC-16477479B8EE}"/>
    <cellStyle name="40 % - Accent6 3" xfId="419" xr:uid="{C51C80B7-44F3-4531-8D10-3E07EB44A88A}"/>
    <cellStyle name="40 % - Accent1" xfId="18" builtinId="31" customBuiltin="1"/>
    <cellStyle name="40 % - Accent1 2" xfId="85" xr:uid="{00000000-0005-0000-0000-000019000000}"/>
    <cellStyle name="40 % - Accent1 2 2" xfId="133" xr:uid="{00000000-0005-0000-0000-00001A000000}"/>
    <cellStyle name="40 % - Accent1 2 2 2" xfId="421" xr:uid="{E201E1C4-1496-4706-A32A-52B31B52BAE2}"/>
    <cellStyle name="40 % - Accent1 2 3" xfId="422" xr:uid="{E2A4A27C-E9BA-4028-85A6-C9B81900E735}"/>
    <cellStyle name="40 % - Accent1 2 4" xfId="420" xr:uid="{78E57BF0-BBD4-4A7A-AFE4-04AA87AE4106}"/>
    <cellStyle name="40 % - Accent1 3" xfId="112" xr:uid="{00000000-0005-0000-0000-00001B000000}"/>
    <cellStyle name="40 % - Accent2" xfId="22" builtinId="35" customBuiltin="1"/>
    <cellStyle name="40 % - Accent2 2" xfId="87" xr:uid="{00000000-0005-0000-0000-00001D000000}"/>
    <cellStyle name="40 % - Accent2 2 2" xfId="135" xr:uid="{00000000-0005-0000-0000-00001E000000}"/>
    <cellStyle name="40 % - Accent2 2 2 2" xfId="424" xr:uid="{F29E17BD-1799-4FEB-9F4C-AFAA2252FE6A}"/>
    <cellStyle name="40 % - Accent2 2 3" xfId="425" xr:uid="{954DC9B6-DD3E-490E-9F30-67DDAF7E8FEB}"/>
    <cellStyle name="40 % - Accent2 2 4" xfId="423" xr:uid="{FA9E073C-9BC5-4157-BA86-621739E083EF}"/>
    <cellStyle name="40 % - Accent2 3" xfId="114" xr:uid="{00000000-0005-0000-0000-00001F000000}"/>
    <cellStyle name="40 % - Accent3" xfId="26" builtinId="39" customBuiltin="1"/>
    <cellStyle name="40 % - Accent3 2" xfId="89" xr:uid="{00000000-0005-0000-0000-000021000000}"/>
    <cellStyle name="40 % - Accent3 2 2" xfId="137" xr:uid="{00000000-0005-0000-0000-000022000000}"/>
    <cellStyle name="40 % - Accent3 2 2 2" xfId="427" xr:uid="{FE8772B5-023F-4C2E-A205-FC4C8DE62C86}"/>
    <cellStyle name="40 % - Accent3 2 3" xfId="428" xr:uid="{E676A84E-3A7F-4646-B3E8-362BEF47A432}"/>
    <cellStyle name="40 % - Accent3 2 4" xfId="426" xr:uid="{11358385-D1FB-4CE7-BF80-B9DC01F73EC4}"/>
    <cellStyle name="40 % - Accent3 3" xfId="116" xr:uid="{00000000-0005-0000-0000-000023000000}"/>
    <cellStyle name="40 % - Accent4" xfId="30" builtinId="43" customBuiltin="1"/>
    <cellStyle name="40 % - Accent4 2" xfId="91" xr:uid="{00000000-0005-0000-0000-000025000000}"/>
    <cellStyle name="40 % - Accent4 2 2" xfId="139" xr:uid="{00000000-0005-0000-0000-000026000000}"/>
    <cellStyle name="40 % - Accent4 2 2 2" xfId="430" xr:uid="{2ACE3022-E919-499B-A8FC-4CD1E90FC776}"/>
    <cellStyle name="40 % - Accent4 2 3" xfId="431" xr:uid="{BDC4D542-D741-4A51-8161-49719CEC2DA6}"/>
    <cellStyle name="40 % - Accent4 2 4" xfId="429" xr:uid="{77A26EE1-3457-4B46-B32B-25B5D579316D}"/>
    <cellStyle name="40 % - Accent4 3" xfId="118" xr:uid="{00000000-0005-0000-0000-000027000000}"/>
    <cellStyle name="40 % - Accent5" xfId="34" builtinId="47" customBuiltin="1"/>
    <cellStyle name="40 % - Accent5 2" xfId="93" xr:uid="{00000000-0005-0000-0000-000029000000}"/>
    <cellStyle name="40 % - Accent5 2 2" xfId="141" xr:uid="{00000000-0005-0000-0000-00002A000000}"/>
    <cellStyle name="40 % - Accent5 2 2 2" xfId="433" xr:uid="{E1E201B5-7B9A-4AC8-BC0F-10AF9ABEDE91}"/>
    <cellStyle name="40 % - Accent5 2 3" xfId="434" xr:uid="{B5FE13F5-BB40-4E79-A21C-32D91CE2356B}"/>
    <cellStyle name="40 % - Accent5 2 4" xfId="432" xr:uid="{B4E8866C-E8E6-4041-8924-F3B09FC74A1D}"/>
    <cellStyle name="40 % - Accent5 3" xfId="120" xr:uid="{00000000-0005-0000-0000-00002B000000}"/>
    <cellStyle name="40 % - Accent6" xfId="38" builtinId="51" customBuiltin="1"/>
    <cellStyle name="40 % - Accent6 2" xfId="95" xr:uid="{00000000-0005-0000-0000-00002D000000}"/>
    <cellStyle name="40 % - Accent6 2 2" xfId="143" xr:uid="{00000000-0005-0000-0000-00002E000000}"/>
    <cellStyle name="40 % - Accent6 2 2 2" xfId="436" xr:uid="{8991F1C7-3211-49B8-B631-8B4DAE2D9C22}"/>
    <cellStyle name="40 % - Accent6 2 3" xfId="437" xr:uid="{D15D5961-C3BE-4BCA-85CC-192C261D8FFD}"/>
    <cellStyle name="40 % - Accent6 2 4" xfId="435" xr:uid="{42496039-0FEE-49B6-831E-E1744722222D}"/>
    <cellStyle name="40 % - Accent6 3" xfId="122" xr:uid="{00000000-0005-0000-0000-00002F000000}"/>
    <cellStyle name="40% - Accent1" xfId="438" xr:uid="{AF8A6C23-FDF4-4F3C-B7EE-BD78E81EAC31}"/>
    <cellStyle name="40% - Accent1 2" xfId="439" xr:uid="{DBAFDC0C-1EC5-4594-90C4-9ABA330F619C}"/>
    <cellStyle name="40% - Accent1 3" xfId="440" xr:uid="{4C82ECCB-C828-4C75-90E5-BF2173A527AD}"/>
    <cellStyle name="40% - Accent1 3 2" xfId="441" xr:uid="{7078CA1A-2B37-4CA6-AC92-F677E64FF3C5}"/>
    <cellStyle name="40% - Accent1 3 2 2" xfId="442" xr:uid="{C00C0DA3-0D50-41DA-A79B-73327CFB3209}"/>
    <cellStyle name="40% - Accent1 3 3" xfId="443" xr:uid="{2BE39DAD-5CEC-468C-B5A1-DE0EDD93A2DA}"/>
    <cellStyle name="40% - Accent1 3 3 2" xfId="444" xr:uid="{AD354F81-821C-4937-BE99-A973C5C824EC}"/>
    <cellStyle name="40% - Accent1 3 4" xfId="445" xr:uid="{AC72CFA7-E959-47A0-8821-CAB406D24B93}"/>
    <cellStyle name="40% - Accent2" xfId="446" xr:uid="{4421D91D-9C61-4F33-92AE-1D854A58BA28}"/>
    <cellStyle name="40% - Accent2 2" xfId="447" xr:uid="{A94CCB69-1886-4D50-A912-C9DC60EA58DB}"/>
    <cellStyle name="40% - Accent2 3" xfId="448" xr:uid="{5692CC5D-65EF-486A-843A-B198E2D3A3B6}"/>
    <cellStyle name="40% - Accent2 3 2" xfId="449" xr:uid="{F91E6D6F-AAD3-4F75-9A6C-431C7CCC8C48}"/>
    <cellStyle name="40% - Accent2 3 2 2" xfId="450" xr:uid="{CDAE2AF0-79FF-4BFB-BB71-ED1B45677444}"/>
    <cellStyle name="40% - Accent2 3 3" xfId="451" xr:uid="{58DDAB30-4B61-4AE3-A406-5FF548946C34}"/>
    <cellStyle name="40% - Accent2 3 3 2" xfId="452" xr:uid="{22514289-BA0D-438B-8CA8-CC7CA849913C}"/>
    <cellStyle name="40% - Accent2 3 4" xfId="453" xr:uid="{2D2D55AB-EBC1-4DB9-BC73-F4B503B393CD}"/>
    <cellStyle name="40% - Accent3" xfId="454" xr:uid="{42053C2E-C6CF-4994-B27A-917858C4CCB6}"/>
    <cellStyle name="40% - Accent3 2" xfId="455" xr:uid="{49EAA28C-7DA8-4813-9ED2-96D5FF39A944}"/>
    <cellStyle name="40% - Accent3 3" xfId="456" xr:uid="{FBE12C20-EDB7-4BAC-B498-6B4A54CBFC43}"/>
    <cellStyle name="40% - Accent3 3 2" xfId="457" xr:uid="{1DD06886-500C-4762-9622-42C59738D685}"/>
    <cellStyle name="40% - Accent3 3 2 2" xfId="458" xr:uid="{CF6056E7-64DA-4022-9034-DB5971A53153}"/>
    <cellStyle name="40% - Accent3 3 3" xfId="459" xr:uid="{06EC682A-D54F-421C-A775-48777BED8DFC}"/>
    <cellStyle name="40% - Accent3 3 3 2" xfId="460" xr:uid="{F3D6FAA2-47D6-472A-932A-6F17A1523B0A}"/>
    <cellStyle name="40% - Accent3 3 4" xfId="461" xr:uid="{A53F64D5-A190-401A-A980-1FDB7129ADCA}"/>
    <cellStyle name="40% - Accent4" xfId="462" xr:uid="{9F81D283-45E4-439A-8411-8A0C3A45BCF3}"/>
    <cellStyle name="40% - Accent4 2" xfId="463" xr:uid="{ACB52BDF-077A-447E-B370-C7C462DA30A6}"/>
    <cellStyle name="40% - Accent4 3" xfId="464" xr:uid="{89B2ED88-BFD7-45FC-9564-9065318C1EB1}"/>
    <cellStyle name="40% - Accent4 3 2" xfId="465" xr:uid="{465A1888-F1ED-427B-B68E-C86155BC82BE}"/>
    <cellStyle name="40% - Accent4 3 2 2" xfId="466" xr:uid="{A16969A7-6E59-4634-9069-3B9D8057834B}"/>
    <cellStyle name="40% - Accent4 3 3" xfId="467" xr:uid="{ED21F108-7C19-4D0A-A773-F744C9301E21}"/>
    <cellStyle name="40% - Accent4 3 3 2" xfId="468" xr:uid="{B2E3649E-3B8E-401E-8EDF-7DA2EC529E70}"/>
    <cellStyle name="40% - Accent4 3 4" xfId="469" xr:uid="{F7416BA7-716E-49E2-81DF-1013341E1FD1}"/>
    <cellStyle name="40% - Accent5" xfId="470" xr:uid="{A38D948B-B0BF-4D64-8B22-63C0B0630FFA}"/>
    <cellStyle name="40% - Accent5 2" xfId="471" xr:uid="{4C05BFCC-FCA0-4B8F-A619-9E2C9113EC6F}"/>
    <cellStyle name="40% - Accent5 3" xfId="472" xr:uid="{7138F386-8965-4F9B-8DE1-474B5A29EC93}"/>
    <cellStyle name="40% - Accent5 3 2" xfId="473" xr:uid="{1E049ED8-F5AB-432E-A45A-64E15379B678}"/>
    <cellStyle name="40% - Accent5 3 2 2" xfId="474" xr:uid="{C23A79CA-494D-4536-9B52-8E0756DF3D6F}"/>
    <cellStyle name="40% - Accent5 3 3" xfId="475" xr:uid="{94CE81ED-9E4D-4228-8B47-23C3AC0A21E5}"/>
    <cellStyle name="40% - Accent5 3 3 2" xfId="476" xr:uid="{1FE92A5B-73C7-4D6F-A493-9091030580DE}"/>
    <cellStyle name="40% - Accent5 3 4" xfId="477" xr:uid="{BF757C0A-A1DB-46EE-B9A0-2E2CCFC6B11D}"/>
    <cellStyle name="40% - Accent6" xfId="478" xr:uid="{C6586F4B-B749-4B4D-AD36-1BBD9ABA5EE1}"/>
    <cellStyle name="40% - Accent6 2" xfId="479" xr:uid="{0C364919-CD04-4F29-9BFE-A1D7DE3780A2}"/>
    <cellStyle name="40% - Accent6 3" xfId="480" xr:uid="{6E9E3DBA-93E0-42F8-84D4-D0FCB952819D}"/>
    <cellStyle name="40% - Accent6 3 2" xfId="481" xr:uid="{4DEC0D72-21F5-4EE1-BD36-F44F1EFE6F20}"/>
    <cellStyle name="40% - Accent6 3 2 2" xfId="482" xr:uid="{691203CC-F813-4126-8BBE-D007BC58F82B}"/>
    <cellStyle name="40% - Accent6 3 3" xfId="483" xr:uid="{59B22C04-F107-4AEC-B05E-27482D682242}"/>
    <cellStyle name="40% - Accent6 3 3 2" xfId="484" xr:uid="{B92745B5-62CA-473F-95D7-5769EFF2B521}"/>
    <cellStyle name="40% - Accent6 3 4" xfId="485" xr:uid="{A15F8DE9-5507-4078-8748-24E21F30C8E6}"/>
    <cellStyle name="40% - Colore 1" xfId="486" xr:uid="{02C31FCF-C55B-409F-A7D8-57428C35B05B}"/>
    <cellStyle name="40% - Colore 1 2" xfId="487" xr:uid="{C9C2403D-3263-48E0-BC4B-DC12EBF0C77C}"/>
    <cellStyle name="40% - Colore 1 3" xfId="488" xr:uid="{A1EBBC3B-647B-4D52-8CB1-82ABF0EBE913}"/>
    <cellStyle name="40% - Colore 1 3 2" xfId="489" xr:uid="{0CEB0028-310B-4C52-B855-4A91343B0C5D}"/>
    <cellStyle name="40% - Colore 1 3 2 2" xfId="490" xr:uid="{81CDA368-CD61-40C9-BBAB-3FF4C61130D8}"/>
    <cellStyle name="40% - Colore 1 3 3" xfId="491" xr:uid="{C64316CF-8AF9-4E91-BEE4-DA4DE3A55A73}"/>
    <cellStyle name="40% - Colore 1 3 3 2" xfId="492" xr:uid="{85F4A792-B14B-4D26-AB74-F40F9CB7FB57}"/>
    <cellStyle name="40% - Colore 1 3 4" xfId="493" xr:uid="{380534E4-4C28-4976-BFD1-7D74D0805BD3}"/>
    <cellStyle name="40% - Colore 2" xfId="494" xr:uid="{8874959C-6D34-41C7-925C-8ECF8B7B49FE}"/>
    <cellStyle name="40% - Colore 2 2" xfId="495" xr:uid="{0CCB908A-88E6-42C5-9F8B-591DE9C988F7}"/>
    <cellStyle name="40% - Colore 2 3" xfId="496" xr:uid="{498784D3-0249-4E1B-93A5-80FA0002BCFA}"/>
    <cellStyle name="40% - Colore 2 3 2" xfId="497" xr:uid="{97B9996B-BBA2-4DD2-8DA1-BE60D9A00D18}"/>
    <cellStyle name="40% - Colore 2 3 2 2" xfId="498" xr:uid="{520B22AC-3374-46B8-9F7E-03EE0DBFA68F}"/>
    <cellStyle name="40% - Colore 2 3 3" xfId="499" xr:uid="{FADCB3A4-8CFB-4780-8799-383F4C4972C9}"/>
    <cellStyle name="40% - Colore 2 3 3 2" xfId="500" xr:uid="{4BECE070-9C7A-4842-8F5B-745524FA72C2}"/>
    <cellStyle name="40% - Colore 2 3 4" xfId="501" xr:uid="{ADB2F9AD-25CA-424D-B085-F7F4468088F8}"/>
    <cellStyle name="40% - Colore 3" xfId="502" xr:uid="{C74208CF-15A0-4B5B-9146-A175BA2D3B36}"/>
    <cellStyle name="40% - Colore 3 2" xfId="503" xr:uid="{E2C8663B-4FE1-4840-A6A1-39D8362B60A0}"/>
    <cellStyle name="40% - Colore 3 3" xfId="504" xr:uid="{F96FB011-37C6-412D-866C-294EEFA04A23}"/>
    <cellStyle name="40% - Colore 3 3 2" xfId="505" xr:uid="{A7FFB0D3-9D76-45EE-A025-2FA66487745B}"/>
    <cellStyle name="40% - Colore 3 3 2 2" xfId="506" xr:uid="{2947495A-6C6C-4237-AFC9-861343D69C3D}"/>
    <cellStyle name="40% - Colore 3 3 3" xfId="507" xr:uid="{810AE805-1353-4F10-8C4D-DF6EC2A38BF2}"/>
    <cellStyle name="40% - Colore 3 3 3 2" xfId="508" xr:uid="{116F4B5A-ED64-41F0-B598-019DD7BDDBB0}"/>
    <cellStyle name="40% - Colore 3 3 4" xfId="509" xr:uid="{572DABF8-871D-4069-91C4-6BA038346D14}"/>
    <cellStyle name="40% - Colore 4" xfId="510" xr:uid="{D6110DC5-FDB0-4195-B202-0690E5F496AB}"/>
    <cellStyle name="40% - Colore 4 2" xfId="511" xr:uid="{4CCC944A-E047-444C-A199-F9D28ED24319}"/>
    <cellStyle name="40% - Colore 4 3" xfId="512" xr:uid="{1D19FBB8-2102-4E68-AD19-2739C6C71D58}"/>
    <cellStyle name="40% - Colore 4 3 2" xfId="513" xr:uid="{1129C251-5725-4013-BD96-A66706131132}"/>
    <cellStyle name="40% - Colore 4 3 2 2" xfId="514" xr:uid="{8F93F934-CEB8-462D-A458-C0D9D6A3D436}"/>
    <cellStyle name="40% - Colore 4 3 3" xfId="515" xr:uid="{92BC008E-F960-4993-A701-8D9AA17C22B8}"/>
    <cellStyle name="40% - Colore 4 3 3 2" xfId="516" xr:uid="{C533B349-6EE6-4ABC-9FCE-73EFF9B57F52}"/>
    <cellStyle name="40% - Colore 4 3 4" xfId="517" xr:uid="{6FD3A084-044D-4B2E-832C-6BCD66BA7A93}"/>
    <cellStyle name="40% - Colore 5" xfId="518" xr:uid="{C412F8D5-F8CE-4DAE-B58F-D7167ACF9757}"/>
    <cellStyle name="40% - Colore 5 2" xfId="519" xr:uid="{2A4BE989-E0C1-456E-90A0-C5DD4553D300}"/>
    <cellStyle name="40% - Colore 5 3" xfId="520" xr:uid="{EF0F2B24-8B43-41D6-BA3B-FA279C89EB51}"/>
    <cellStyle name="40% - Colore 5 3 2" xfId="521" xr:uid="{1175634D-5CA4-4FDD-BF02-5EC459076404}"/>
    <cellStyle name="40% - Colore 5 3 2 2" xfId="522" xr:uid="{51F78425-6A2A-48E9-96E9-4ADE16BEC6F9}"/>
    <cellStyle name="40% - Colore 5 3 3" xfId="523" xr:uid="{61D0211B-4D0A-4C86-84BC-31C8551101C3}"/>
    <cellStyle name="40% - Colore 5 3 3 2" xfId="524" xr:uid="{3CC65109-1E9E-48C2-BE61-04038CA50FF1}"/>
    <cellStyle name="40% - Colore 5 3 4" xfId="525" xr:uid="{72BCBCAD-2B15-4E50-B36E-E1533187C5E9}"/>
    <cellStyle name="40% - Colore 6" xfId="526" xr:uid="{5CE1D370-9BB5-4AFA-AF0A-4EAE1A0E2FBC}"/>
    <cellStyle name="40% - Colore 6 2" xfId="527" xr:uid="{68CB8B7A-EE65-475A-972A-2D541AF67D15}"/>
    <cellStyle name="40% - Colore 6 3" xfId="528" xr:uid="{8141AFDC-D9D5-460D-923B-4E0861450BC3}"/>
    <cellStyle name="40% - Colore 6 3 2" xfId="529" xr:uid="{D16E17AA-599D-47E2-A01B-86DC5409DBC5}"/>
    <cellStyle name="40% - Colore 6 3 2 2" xfId="530" xr:uid="{AD147558-267E-4A7F-B89D-2820DC70050E}"/>
    <cellStyle name="40% - Colore 6 3 3" xfId="531" xr:uid="{A3513C8F-E702-4A64-BDD3-3E144C95F43B}"/>
    <cellStyle name="40% - Colore 6 3 3 2" xfId="532" xr:uid="{F2D201A7-1FCC-45CF-97CA-78339C3598B4}"/>
    <cellStyle name="40% - Colore 6 3 4" xfId="533" xr:uid="{52ED39AC-1ED3-4020-9030-66855A6ADB0B}"/>
    <cellStyle name="40% - Énfasis1" xfId="534" xr:uid="{C48F7253-B6D8-4465-B89D-97EBD215B019}"/>
    <cellStyle name="40% - Énfasis1 2" xfId="535" xr:uid="{33E8B4A2-100F-416E-BD0B-654FE4BDF778}"/>
    <cellStyle name="40% - Énfasis1 3" xfId="536" xr:uid="{90BE17EE-5443-411E-A584-0281C86FF2AC}"/>
    <cellStyle name="40% - Énfasis1 3 2" xfId="537" xr:uid="{D29F5B6C-5760-489C-A2D1-57301C046E99}"/>
    <cellStyle name="40% - Énfasis1 3 2 2" xfId="538" xr:uid="{A8508503-88CD-4679-94CC-71136A6FDD82}"/>
    <cellStyle name="40% - Énfasis1 3 3" xfId="539" xr:uid="{E05AA011-9E98-4DF6-87A9-6A55F2359427}"/>
    <cellStyle name="40% - Énfasis1 3 3 2" xfId="540" xr:uid="{3187CE7D-CF8E-4222-9135-1C9E1D1D3519}"/>
    <cellStyle name="40% - Énfasis1 3 4" xfId="541" xr:uid="{B975DC99-908D-4B9F-A7D7-320122C0052A}"/>
    <cellStyle name="40% - Énfasis2" xfId="542" xr:uid="{8E2BA8DE-E267-4781-B04C-DD225ADA3EC4}"/>
    <cellStyle name="40% - Énfasis2 2" xfId="543" xr:uid="{DE60A835-3AD2-4B8A-B43E-E7C87768641B}"/>
    <cellStyle name="40% - Énfasis2 3" xfId="544" xr:uid="{1C665573-E599-4115-9BA6-6E5FCB44C498}"/>
    <cellStyle name="40% - Énfasis2 3 2" xfId="545" xr:uid="{F8CE1768-1DA7-4DC5-8AE1-95F1E09D927A}"/>
    <cellStyle name="40% - Énfasis2 3 2 2" xfId="546" xr:uid="{E7B7DA11-B33A-487C-B214-3D35750B61D1}"/>
    <cellStyle name="40% - Énfasis2 3 3" xfId="547" xr:uid="{A5CA1C33-BBC5-41F3-A563-465844792678}"/>
    <cellStyle name="40% - Énfasis2 3 3 2" xfId="548" xr:uid="{F4F7E937-E2A3-460E-9374-CDD94ACFACCB}"/>
    <cellStyle name="40% - Énfasis2 3 4" xfId="549" xr:uid="{E338F52E-2532-454F-92FC-44ED5735631E}"/>
    <cellStyle name="40% - Énfasis3" xfId="550" xr:uid="{0545212C-ABED-4E22-8862-4BC32DEB635F}"/>
    <cellStyle name="40% - Énfasis3 2" xfId="551" xr:uid="{DA5507AC-AC38-4EC1-902C-521C2E11ABCD}"/>
    <cellStyle name="40% - Énfasis3 3" xfId="552" xr:uid="{1EC9396E-0749-4AC4-B562-948F99CB2995}"/>
    <cellStyle name="40% - Énfasis3 3 2" xfId="553" xr:uid="{5F20C180-C170-46FF-B5F3-C9CD599ACF54}"/>
    <cellStyle name="40% - Énfasis3 3 2 2" xfId="554" xr:uid="{00EA42B3-4BF3-4FC7-A9F6-DD22A79E32D2}"/>
    <cellStyle name="40% - Énfasis3 3 3" xfId="555" xr:uid="{6CB976F4-36E1-4848-9C7E-8462E947932A}"/>
    <cellStyle name="40% - Énfasis3 3 3 2" xfId="556" xr:uid="{9F835E0C-4F78-4E48-8DD7-DF35C8B9833A}"/>
    <cellStyle name="40% - Énfasis3 3 4" xfId="557" xr:uid="{D5F89AA5-27A3-4E1B-B902-DCE2FA64E05C}"/>
    <cellStyle name="40% - Énfasis4" xfId="558" xr:uid="{F930926C-3B26-413D-8115-842D4E41E02D}"/>
    <cellStyle name="40% - Énfasis4 2" xfId="559" xr:uid="{637AC95E-5DD4-479F-A190-FD4BD9538F71}"/>
    <cellStyle name="40% - Énfasis4 3" xfId="560" xr:uid="{4116E900-C760-4DF4-B684-D459D8BBB5AA}"/>
    <cellStyle name="40% - Énfasis4 3 2" xfId="561" xr:uid="{31530662-9C46-477D-9925-8874A14F53D1}"/>
    <cellStyle name="40% - Énfasis4 3 2 2" xfId="562" xr:uid="{A952D91D-2F13-499A-80BD-88CABA36DBAC}"/>
    <cellStyle name="40% - Énfasis4 3 3" xfId="563" xr:uid="{CD0399BD-9FBD-4998-B737-570AB3F4D273}"/>
    <cellStyle name="40% - Énfasis4 3 3 2" xfId="564" xr:uid="{0D389B45-C3AA-4BDE-BFFB-3F4116A4BE10}"/>
    <cellStyle name="40% - Énfasis4 3 4" xfId="565" xr:uid="{1E8C405F-300C-407C-BB17-08BC044326A2}"/>
    <cellStyle name="40% - Énfasis5" xfId="566" xr:uid="{6F6ACFC5-D362-46A7-ADAD-2CEB9F0E9EC1}"/>
    <cellStyle name="40% - Énfasis5 2" xfId="567" xr:uid="{6BC92CE0-381C-4FD5-8A90-76BC01ECD9A2}"/>
    <cellStyle name="40% - Énfasis5 3" xfId="568" xr:uid="{9C1B6C1D-321F-411C-9D7E-073F3F1CF93B}"/>
    <cellStyle name="40% - Énfasis5 3 2" xfId="569" xr:uid="{6B356098-B61C-4BE4-9C7D-02EB4913217E}"/>
    <cellStyle name="40% - Énfasis5 3 2 2" xfId="570" xr:uid="{49A6066E-FA28-4708-B0F5-08479D26D622}"/>
    <cellStyle name="40% - Énfasis5 3 3" xfId="571" xr:uid="{7B6D94B3-B088-45BE-9619-F09DB691E9D6}"/>
    <cellStyle name="40% - Énfasis5 3 3 2" xfId="572" xr:uid="{87E32CA9-852D-4DC6-B962-B38CF006F8DD}"/>
    <cellStyle name="40% - Énfasis5 3 4" xfId="573" xr:uid="{EE1895CE-DC0F-410B-9EEB-0DA1A4A5348A}"/>
    <cellStyle name="40% - Énfasis6" xfId="574" xr:uid="{351ED38C-2A5B-43F6-ACD2-620B707EB3B9}"/>
    <cellStyle name="40% - Énfasis6 2" xfId="575" xr:uid="{BBF7238F-FB26-49E9-A380-D4FAAF62CC34}"/>
    <cellStyle name="40% - Énfasis6 3" xfId="576" xr:uid="{7F7BED65-826A-4534-A7A9-E414D2443AB1}"/>
    <cellStyle name="40% - Énfasis6 3 2" xfId="577" xr:uid="{A5AE615B-7383-44D5-8CBF-A1543DD18888}"/>
    <cellStyle name="40% - Énfasis6 3 2 2" xfId="578" xr:uid="{189D04D9-1C38-498C-8617-5AB11C452BB8}"/>
    <cellStyle name="40% - Énfasis6 3 3" xfId="579" xr:uid="{293B304A-9B1E-48AB-BB5C-98A082D46D75}"/>
    <cellStyle name="40% - Énfasis6 3 3 2" xfId="580" xr:uid="{A6E1BE5C-9351-41F3-9E59-A11EA0F7E6B0}"/>
    <cellStyle name="40% - Énfasis6 3 4" xfId="581" xr:uid="{FBC64C6A-ABD8-4108-80E7-42112D322E60}"/>
    <cellStyle name="5x indented GHG Textfiels" xfId="582" xr:uid="{5445C5BB-B1E3-4914-BD20-A53E06942EC8}"/>
    <cellStyle name="5x indented GHG Textfiels 2" xfId="583" xr:uid="{4DE0EE91-8B1D-440A-B876-2D0B78B23C1A}"/>
    <cellStyle name="5x indented GHG Textfiels 3" xfId="584" xr:uid="{5924137F-699B-4445-99B9-11F92CA5C4F9}"/>
    <cellStyle name="5x indented GHG Textfiels 3 2" xfId="585" xr:uid="{F7743126-97E8-412B-8DCC-A544F18DB302}"/>
    <cellStyle name="5x indented GHG Textfiels 3 2 2" xfId="586" xr:uid="{59B8EEE4-6233-417A-891B-47B2F778953B}"/>
    <cellStyle name="5x indented GHG Textfiels 3 3" xfId="587" xr:uid="{1FB88DD5-8AA1-43AF-A76A-36552991A6C9}"/>
    <cellStyle name="5x indented GHG Textfiels 3 3 2" xfId="588" xr:uid="{CD5A3493-168C-4F4E-A604-1472B36AB96F}"/>
    <cellStyle name="5x indented GHG Textfiels 3 4" xfId="589" xr:uid="{DFD913CC-2FCD-4ADE-B265-35BC641F70E6}"/>
    <cellStyle name="5x indented GHG Textfiels 4" xfId="590" xr:uid="{7B85DBCF-53F2-49F4-968B-6016C20EA84A}"/>
    <cellStyle name="60 % - Accent1" xfId="591" xr:uid="{1C7BB2E0-7FA9-4F30-98E0-8A66E8AE4CFC}"/>
    <cellStyle name="60 % - Accent1 2" xfId="592" xr:uid="{97EDBE07-6A7D-4225-88A3-96E7A79DFD4F}"/>
    <cellStyle name="60 % - Accent1 2 2" xfId="593" xr:uid="{21BCF284-26CA-4B53-9C5D-BD544857E374}"/>
    <cellStyle name="60 % - Accent1 3" xfId="594" xr:uid="{35AA0A63-B2EF-46A0-93F2-BF7295D65BE4}"/>
    <cellStyle name="60 % - Accent2" xfId="595" xr:uid="{DA33883B-7E82-43A0-AF0E-13E91EF35027}"/>
    <cellStyle name="60 % - Accent2 2" xfId="596" xr:uid="{B622AC1C-16D3-437E-8418-60BC64A7E676}"/>
    <cellStyle name="60 % - Accent2 2 2" xfId="597" xr:uid="{D8B6E614-50D0-4D3E-8266-34D7C17C596B}"/>
    <cellStyle name="60 % - Accent2 3" xfId="598" xr:uid="{DEE48ACC-713F-462A-9A37-B5D2C20DA5AA}"/>
    <cellStyle name="60 % - Accent3" xfId="599" xr:uid="{943F0E6C-74C7-4777-BD5C-8DE0C0A13FE7}"/>
    <cellStyle name="60 % - Accent3 2" xfId="600" xr:uid="{EBFBD219-A30A-42E1-87F8-D01088544DDB}"/>
    <cellStyle name="60 % - Accent3 2 2" xfId="601" xr:uid="{D3E6E049-503C-4B68-9B8E-4BF6EE2A6DE6}"/>
    <cellStyle name="60 % - Accent3 3" xfId="602" xr:uid="{36D7705B-1F17-4900-A94C-34EB31754924}"/>
    <cellStyle name="60 % - Accent4" xfId="603" xr:uid="{A1D2DB36-3741-47E9-885A-052EE2E151FB}"/>
    <cellStyle name="60 % - Accent4 2" xfId="604" xr:uid="{DA2771E0-E1B6-4A4D-9E3F-8CC9626091E2}"/>
    <cellStyle name="60 % - Accent4 2 2" xfId="605" xr:uid="{BB375DF4-95BC-434C-B5B7-793D228B48CB}"/>
    <cellStyle name="60 % - Accent4 3" xfId="606" xr:uid="{3DB4F30B-9952-4B36-83A9-58F4F7B68649}"/>
    <cellStyle name="60 % - Accent5" xfId="607" xr:uid="{B6432D3B-926D-471A-AE20-715E9F490DE5}"/>
    <cellStyle name="60 % - Accent5 2" xfId="608" xr:uid="{75966C40-4734-4807-BAAD-C28D1F74F6DD}"/>
    <cellStyle name="60 % - Accent5 2 2" xfId="609" xr:uid="{6F4CBA79-7A6F-4886-B163-DE97FD4238AC}"/>
    <cellStyle name="60 % - Accent5 3" xfId="610" xr:uid="{DD77E869-77F0-47CA-BBDF-330A0DFB3660}"/>
    <cellStyle name="60 % - Accent6" xfId="611" xr:uid="{9530915A-D68E-4422-B3DA-3818972124E8}"/>
    <cellStyle name="60 % - Accent6 2" xfId="612" xr:uid="{6A15E78F-559C-4F44-9F28-7A3CD9C8437A}"/>
    <cellStyle name="60 % - Accent6 2 2" xfId="613" xr:uid="{DA9B7EBC-660B-4775-A429-4672992B677D}"/>
    <cellStyle name="60 % - Accent6 3" xfId="614" xr:uid="{A9D2FD13-1EEF-42F0-87B4-4226C35B58EF}"/>
    <cellStyle name="60 % - Accent1" xfId="19" builtinId="32" customBuiltin="1"/>
    <cellStyle name="60 % - Accent1 2" xfId="615" xr:uid="{A6B1DE86-F438-40ED-92D6-01DC204AB074}"/>
    <cellStyle name="60 % - Accent1 2 2" xfId="616" xr:uid="{81784809-36C1-41A4-A038-343454DBA2CA}"/>
    <cellStyle name="60 % - Accent1 2 3" xfId="617" xr:uid="{F80E3A21-57A6-4F07-8CA3-C604ADFDDDF1}"/>
    <cellStyle name="60 % - Accent2" xfId="23" builtinId="36" customBuiltin="1"/>
    <cellStyle name="60 % - Accent2 2" xfId="618" xr:uid="{210E67FC-DA8A-4A2C-B63C-A9F1432C1B97}"/>
    <cellStyle name="60 % - Accent2 2 2" xfId="619" xr:uid="{9CAD59E9-D1E9-4133-A32F-A389F1FD65C4}"/>
    <cellStyle name="60 % - Accent2 2 3" xfId="620" xr:uid="{A4110DFD-516F-4E91-A841-6D4FFC687E6D}"/>
    <cellStyle name="60 % - Accent3" xfId="27" builtinId="40" customBuiltin="1"/>
    <cellStyle name="60 % - Accent3 2" xfId="621" xr:uid="{17582CE7-4146-4B9B-B96A-253CBA7A2FFE}"/>
    <cellStyle name="60 % - Accent3 2 2" xfId="622" xr:uid="{CBF77891-D6CE-48E6-8B24-F88FCB005F24}"/>
    <cellStyle name="60 % - Accent3 2 3" xfId="623" xr:uid="{A36C577D-B8E7-4188-8EC7-9ACA22C25184}"/>
    <cellStyle name="60 % - Accent4" xfId="31" builtinId="44" customBuiltin="1"/>
    <cellStyle name="60 % - Accent4 2" xfId="624" xr:uid="{F08E4E63-02C6-49D6-8A26-709668173490}"/>
    <cellStyle name="60 % - Accent4 2 2" xfId="625" xr:uid="{31102C3E-4A33-4F80-8240-96DC5A86814B}"/>
    <cellStyle name="60 % - Accent4 2 3" xfId="626" xr:uid="{C43E5775-27E8-40BF-AF12-1C5BD72F148D}"/>
    <cellStyle name="60 % - Accent5" xfId="35" builtinId="48" customBuiltin="1"/>
    <cellStyle name="60 % - Accent5 2" xfId="627" xr:uid="{26F1C61E-3D64-4520-BBE6-BCC74C2312EE}"/>
    <cellStyle name="60 % - Accent5 2 2" xfId="628" xr:uid="{FCEE347F-F0EB-4234-BC8C-E03C9C57A0C2}"/>
    <cellStyle name="60 % - Accent5 2 3" xfId="629" xr:uid="{24CA5A8F-2B7D-4B4F-9D0A-321A5DAADC46}"/>
    <cellStyle name="60 % - Accent6" xfId="39" builtinId="52" customBuiltin="1"/>
    <cellStyle name="60 % - Accent6 2" xfId="630" xr:uid="{72440CE7-EB09-44C0-AC30-FCFAA69CB296}"/>
    <cellStyle name="60 % - Accent6 2 2" xfId="631" xr:uid="{9FFE211E-3288-4166-8D2D-5626218FBF08}"/>
    <cellStyle name="60 % - Accent6 2 3" xfId="632" xr:uid="{B381DC40-A728-4ACA-8883-97E3102C144E}"/>
    <cellStyle name="60% - Accent1" xfId="633" xr:uid="{DCB12A45-BA1C-44B7-B7A8-A27B1CEDBEAE}"/>
    <cellStyle name="60% - Accent1 2" xfId="634" xr:uid="{08309824-3D95-42B8-A9A3-B878A879729A}"/>
    <cellStyle name="60% - Accent1 3" xfId="635" xr:uid="{32C5DDFB-C169-4AA0-AD0A-4D7648B2BFE1}"/>
    <cellStyle name="60% - Accent2" xfId="636" xr:uid="{A0BC4272-ED3F-43E3-8D74-CC5856182358}"/>
    <cellStyle name="60% - Accent2 2" xfId="637" xr:uid="{43D02CA4-3452-44A4-ACE3-A16F5707A936}"/>
    <cellStyle name="60% - Accent2 3" xfId="638" xr:uid="{E1C21DD8-67C7-40BE-BCD0-430BFAC9D5F7}"/>
    <cellStyle name="60% - Accent3" xfId="639" xr:uid="{54AA6C6E-E104-4E2A-BE8A-16B46745C731}"/>
    <cellStyle name="60% - Accent3 2" xfId="640" xr:uid="{B86E9F85-3B01-40EB-AF6C-6869E08024F3}"/>
    <cellStyle name="60% - Accent3 3" xfId="641" xr:uid="{45164B59-8B1A-44E2-80A2-D57D14A372A7}"/>
    <cellStyle name="60% - Accent4" xfId="642" xr:uid="{79CD1EEE-33ED-469E-8B1D-DDDA334C6ECE}"/>
    <cellStyle name="60% - Accent4 2" xfId="643" xr:uid="{A4C43E08-4381-49AD-B0D0-F509D6C60AEF}"/>
    <cellStyle name="60% - Accent4 3" xfId="644" xr:uid="{1CE41EF0-1AD9-4034-95CD-62EC7852CF0B}"/>
    <cellStyle name="60% - Accent5" xfId="645" xr:uid="{6B184B82-82B1-4167-9B6A-BB87F256D4E0}"/>
    <cellStyle name="60% - Accent5 2" xfId="646" xr:uid="{5857BF6E-5B57-4537-8B3D-7C21B50E67B7}"/>
    <cellStyle name="60% - Accent5 3" xfId="647" xr:uid="{58FB440B-0309-43E2-AFFA-FC36857AB5B1}"/>
    <cellStyle name="60% - Accent6" xfId="648" xr:uid="{3BF5E983-D686-456A-A8D9-EC326FA06AE7}"/>
    <cellStyle name="60% - Accent6 2" xfId="649" xr:uid="{F1B73158-F146-4005-BFAE-00783BA88E4B}"/>
    <cellStyle name="60% - Accent6 3" xfId="650" xr:uid="{A056941E-FFE1-4689-A297-9516A4CF28FA}"/>
    <cellStyle name="60% - Colore 1" xfId="651" xr:uid="{E66E8266-9FE9-49BF-BB73-8F49C766BBBC}"/>
    <cellStyle name="60% - Colore 1 2" xfId="652" xr:uid="{935E26F8-654A-452C-8F56-E213CE200E19}"/>
    <cellStyle name="60% - Colore 1 3" xfId="653" xr:uid="{53B0DA84-7691-439B-8425-B6B83FFB8CA4}"/>
    <cellStyle name="60% - Colore 2" xfId="654" xr:uid="{F544C148-BF5F-4F35-88D2-3410427D6DCB}"/>
    <cellStyle name="60% - Colore 2 2" xfId="655" xr:uid="{4E59E2BB-704D-4197-9EA3-F092AC4EE305}"/>
    <cellStyle name="60% - Colore 2 3" xfId="656" xr:uid="{05411D62-1ACA-4432-963C-08247534EA43}"/>
    <cellStyle name="60% - Colore 3" xfId="657" xr:uid="{0F74C6F3-9777-44AF-A21E-B77AFDC71275}"/>
    <cellStyle name="60% - Colore 3 2" xfId="658" xr:uid="{ED8F7BAF-B386-4805-8AB8-F79691658C00}"/>
    <cellStyle name="60% - Colore 3 3" xfId="659" xr:uid="{2E591A7D-4EF4-4E51-BE08-B01F829B0C69}"/>
    <cellStyle name="60% - Colore 4" xfId="660" xr:uid="{C534E6E5-25A4-4010-A8EE-534595D085C7}"/>
    <cellStyle name="60% - Colore 4 2" xfId="661" xr:uid="{BA1C569B-4E4C-4E45-88C8-CD203231A58E}"/>
    <cellStyle name="60% - Colore 4 3" xfId="662" xr:uid="{AD1364AF-AEAE-4F07-AEAA-E272C687D44D}"/>
    <cellStyle name="60% - Colore 5" xfId="663" xr:uid="{6F2CAF83-1B81-480F-B984-90DD75118160}"/>
    <cellStyle name="60% - Colore 5 2" xfId="664" xr:uid="{6AF408D6-530C-4685-8FCC-EED6C478320C}"/>
    <cellStyle name="60% - Colore 5 3" xfId="665" xr:uid="{2DBAABF6-66E2-40B4-BC69-961AA6B8C5AB}"/>
    <cellStyle name="60% - Colore 6" xfId="666" xr:uid="{3EEEA446-0980-40C9-A827-B6B9EF11E19F}"/>
    <cellStyle name="60% - Colore 6 2" xfId="667" xr:uid="{D915E7FC-C594-4ED4-AA9E-A9C8203692A1}"/>
    <cellStyle name="60% - Colore 6 3" xfId="668" xr:uid="{880B3852-E9B1-4E86-87C2-67DC0CBA7233}"/>
    <cellStyle name="60% - Énfasis1" xfId="669" xr:uid="{E45DB196-C96F-4C88-ADE5-1ED7F67FEEB7}"/>
    <cellStyle name="60% - Énfasis1 2" xfId="670" xr:uid="{267CC897-6BA9-4C05-8F61-D2F9A8BBF643}"/>
    <cellStyle name="60% - Énfasis1 3" xfId="671" xr:uid="{412F242A-468F-43F5-8A15-AD9E75898FDD}"/>
    <cellStyle name="60% - Énfasis2" xfId="672" xr:uid="{4BA18B26-308D-47E2-9E2D-0BA6113A4F9A}"/>
    <cellStyle name="60% - Énfasis2 2" xfId="673" xr:uid="{33D05F9F-C251-4D17-85CC-5AFE4D8D6246}"/>
    <cellStyle name="60% - Énfasis2 3" xfId="674" xr:uid="{E215E064-EA8E-412B-9250-C8E19C666DA0}"/>
    <cellStyle name="60% - Énfasis3" xfId="675" xr:uid="{0F62C7B5-E7C2-4094-8C45-C177C4EEF49E}"/>
    <cellStyle name="60% - Énfasis3 2" xfId="676" xr:uid="{D8738724-2099-4646-83A2-976D65D5054A}"/>
    <cellStyle name="60% - Énfasis3 3" xfId="677" xr:uid="{0494F802-737A-4873-93EB-0D865FC0B1E7}"/>
    <cellStyle name="60% - Énfasis4" xfId="678" xr:uid="{CF420FA2-9E6F-44A7-BC6A-1D986ACFB3CE}"/>
    <cellStyle name="60% - Énfasis4 2" xfId="679" xr:uid="{B8656118-3987-416B-9EE1-3CA62431DC24}"/>
    <cellStyle name="60% - Énfasis4 3" xfId="680" xr:uid="{2ECB2850-61B3-4CB0-BC2A-BEFCFF3248CA}"/>
    <cellStyle name="60% - Énfasis5" xfId="681" xr:uid="{EF45B6AD-E1C6-4CA0-8830-FADA9FA8B7AF}"/>
    <cellStyle name="60% - Énfasis5 2" xfId="682" xr:uid="{CCF44F7D-69DD-48E1-A3B4-899334AED36E}"/>
    <cellStyle name="60% - Énfasis5 3" xfId="683" xr:uid="{E8AC33DB-EB17-4E96-83E4-B05FA832EFE7}"/>
    <cellStyle name="60% - Énfasis6" xfId="684" xr:uid="{30F52B98-8205-429E-A483-3EB1B8BD2BCA}"/>
    <cellStyle name="60% - Énfasis6 2" xfId="685" xr:uid="{D9797D1A-E208-43BA-B77D-169852DAC248}"/>
    <cellStyle name="60% - Énfasis6 3" xfId="686" xr:uid="{CA956172-98E9-4F97-B0FF-2086B4D0DB01}"/>
    <cellStyle name="Accent1" xfId="16" builtinId="29" customBuiltin="1"/>
    <cellStyle name="Accent1 2" xfId="687" xr:uid="{2DCACCD2-DF6A-4743-9D71-E4D5D7A63CFE}"/>
    <cellStyle name="Accent1 2 2" xfId="688" xr:uid="{25E17F35-BD37-4C48-98EF-84DFE3204D64}"/>
    <cellStyle name="Accent1 2 3" xfId="689" xr:uid="{2F6A7D03-8A6F-486C-82CA-56B98A0FDAB9}"/>
    <cellStyle name="Accent2" xfId="20" builtinId="33" customBuiltin="1"/>
    <cellStyle name="Accent2 2" xfId="690" xr:uid="{1BA64CB8-F9CD-46A2-B3CE-5581FB735EB5}"/>
    <cellStyle name="Accent2 2 2" xfId="691" xr:uid="{486D2A40-A38E-4198-B781-1DE1D6EA7E18}"/>
    <cellStyle name="Accent2 2 3" xfId="692" xr:uid="{DA2BB95A-2304-447F-B57F-60234170D5CA}"/>
    <cellStyle name="Accent3" xfId="24" builtinId="37" customBuiltin="1"/>
    <cellStyle name="Accent3 2" xfId="693" xr:uid="{D070F02D-EE66-43B7-BF1F-FA70B92BC348}"/>
    <cellStyle name="Accent3 2 2" xfId="694" xr:uid="{DF4AE8D1-10F2-4FE4-895A-57F5DBFC2B56}"/>
    <cellStyle name="Accent3 2 3" xfId="695" xr:uid="{8BE158C2-3B96-4628-84D5-F8B87EBA7E30}"/>
    <cellStyle name="Accent4" xfId="28" builtinId="41" customBuiltin="1"/>
    <cellStyle name="Accent4 2" xfId="696" xr:uid="{040DE3C1-2D23-4C42-AC8C-88F49F9C99EC}"/>
    <cellStyle name="Accent4 2 2" xfId="697" xr:uid="{CD4481BD-120E-4243-BCF0-A67A570ABB68}"/>
    <cellStyle name="Accent4 2 3" xfId="698" xr:uid="{0C1FA7D6-8318-4638-A006-5D545FFB829F}"/>
    <cellStyle name="Accent5" xfId="32" builtinId="45" customBuiltin="1"/>
    <cellStyle name="Accent5 2" xfId="699" xr:uid="{234A1185-33A7-4AD2-A6C0-5A40E2E50F8E}"/>
    <cellStyle name="Accent5 2 2" xfId="700" xr:uid="{7CC336D6-7DC2-4A8D-8E30-540C0FB7C3AB}"/>
    <cellStyle name="Accent5 2 3" xfId="701" xr:uid="{BF9F7F84-9701-4BB1-84AC-A2CFA8D40860}"/>
    <cellStyle name="Accent6" xfId="36" builtinId="49" customBuiltin="1"/>
    <cellStyle name="Accent6 2" xfId="702" xr:uid="{19FBBA4C-F1E7-4843-9C93-801B5AB71EC6}"/>
    <cellStyle name="Accent6 2 2" xfId="703" xr:uid="{4FD1B7C6-3F70-4D1F-8874-95B3ABDFE9BC}"/>
    <cellStyle name="Accent6 2 3" xfId="704" xr:uid="{89A0CB96-282E-42AD-99B7-34B86A729CE5}"/>
    <cellStyle name="Avertissement" xfId="13" builtinId="11" customBuiltin="1"/>
    <cellStyle name="Avertissement 2" xfId="705" xr:uid="{AAD768DE-49EB-4C5C-A60D-7495FD51CD31}"/>
    <cellStyle name="Avertissement 2 2" xfId="706" xr:uid="{ECBAC62B-899B-4764-90F6-B0418947466B}"/>
    <cellStyle name="Avertissement 2 3" xfId="707" xr:uid="{8747FA38-A85F-4CE6-86F6-D08155D00256}"/>
    <cellStyle name="Bad" xfId="708" xr:uid="{A94414EA-687E-449A-9714-9D62D2D47BFE}"/>
    <cellStyle name="Bad 2" xfId="709" xr:uid="{EAF942C5-55C5-48D3-84F2-102501C85879}"/>
    <cellStyle name="Bad 3" xfId="710" xr:uid="{4BF3B060-45A4-42BE-BBC7-69C56E6E997F}"/>
    <cellStyle name="Bilan GES" xfId="46" xr:uid="{00000000-0005-0000-0000-00003D000000}"/>
    <cellStyle name="Bilan GES 2" xfId="61" xr:uid="{00000000-0005-0000-0000-00003E000000}"/>
    <cellStyle name="Bilan GES 2 2" xfId="77" xr:uid="{00000000-0005-0000-0000-00003F000000}"/>
    <cellStyle name="Bilan GES 2 2 2" xfId="104" xr:uid="{00000000-0005-0000-0000-000040000000}"/>
    <cellStyle name="Bold GHG Numbers (0.00)" xfId="711" xr:uid="{DD286E82-8D87-4F12-B725-41C10A0F3EF9}"/>
    <cellStyle name="Bold GHG Numbers (0.00) 2" xfId="712" xr:uid="{36C6ECD0-48B2-4968-BA9E-8A3D3B743FED}"/>
    <cellStyle name="Bold GHG Numbers (0.00) 3" xfId="713" xr:uid="{6E5497F6-167F-40DC-873D-7B3978E1DADE}"/>
    <cellStyle name="Bon" xfId="714" xr:uid="{20442F70-D828-4028-8DD4-429002301E12}"/>
    <cellStyle name="Bon 2" xfId="715" xr:uid="{929B8D65-1262-428E-9F2E-CFADD33705F9}"/>
    <cellStyle name="Bon 3" xfId="716" xr:uid="{04336A5E-AF16-4E1D-ACC0-B15A3EEB5C28}"/>
    <cellStyle name="Buena" xfId="717" xr:uid="{63A299B7-DDC8-48C5-A495-5CD5C072CED9}"/>
    <cellStyle name="Buena 2" xfId="718" xr:uid="{5C8F0B00-B9A8-46F2-B030-127C02707E8F}"/>
    <cellStyle name="Buena 3" xfId="719" xr:uid="{1DC122EE-49D3-43DF-B4B4-B4E7E0A898D3}"/>
    <cellStyle name="Calcolo" xfId="720" xr:uid="{F8E3C944-5D34-4AF2-B058-08603460BC30}"/>
    <cellStyle name="Calcolo 2" xfId="721" xr:uid="{9C6AE494-2AB5-42BF-971F-5CEE91D92C03}"/>
    <cellStyle name="Calcolo 3" xfId="722" xr:uid="{3EBAC26C-310C-47C1-BC1C-68FF381911D6}"/>
    <cellStyle name="Calcul" xfId="10" builtinId="22" customBuiltin="1"/>
    <cellStyle name="Calcul 2" xfId="723" xr:uid="{E59E537A-EE80-43E6-A125-B9AB773BBA31}"/>
    <cellStyle name="Calcul 2 2" xfId="724" xr:uid="{F6AA6D39-F10E-434D-81B8-55ECC0D6FAAE}"/>
    <cellStyle name="Calcul 2 3" xfId="725" xr:uid="{A2E14754-65ED-458A-A234-E4947C51E016}"/>
    <cellStyle name="Calculation" xfId="726" xr:uid="{04C2D05A-1BAD-444B-8896-5BD252A503A4}"/>
    <cellStyle name="Calculation 2" xfId="727" xr:uid="{F2724179-9C10-4B12-8B88-4EE727D8047D}"/>
    <cellStyle name="Calculation 3" xfId="728" xr:uid="{61D89ABC-2D38-437C-A031-7401310D0440}"/>
    <cellStyle name="Cálculo" xfId="729" xr:uid="{E8F67CE8-DC0C-48BE-9034-17BAF59E210C}"/>
    <cellStyle name="Cálculo 2" xfId="730" xr:uid="{582E102E-D4EF-4A3D-989F-16E25F08699F}"/>
    <cellStyle name="Cálculo 3" xfId="731" xr:uid="{EA2BBCD6-3BCF-4869-A5C3-2B3476F406AF}"/>
    <cellStyle name="Celda de comprobación" xfId="732" xr:uid="{8C6C6A6F-837C-4FE1-B031-591DFBC5898E}"/>
    <cellStyle name="Celda de comprobación 2" xfId="733" xr:uid="{971658C3-7A5D-43ED-AFC8-2D1DB2F1744E}"/>
    <cellStyle name="Celda de comprobación 3" xfId="734" xr:uid="{27A709EB-98FB-4AC5-B885-7D3F7666D84E}"/>
    <cellStyle name="Celda vinculada" xfId="735" xr:uid="{3D875DE5-B2B6-4D81-B2D8-95830EF0D61A}"/>
    <cellStyle name="Celda vinculada 2" xfId="736" xr:uid="{B61A7B3D-C28F-4100-9EFE-5973E244E885}"/>
    <cellStyle name="Celda vinculada 3" xfId="737" xr:uid="{FB701C28-62A9-4DE9-A9FB-F01F02879683}"/>
    <cellStyle name="Cella collegata" xfId="738" xr:uid="{36285F05-67CF-4AC2-BCD9-C9FF158F6E5F}"/>
    <cellStyle name="Cella collegata 2" xfId="739" xr:uid="{EA931B8E-2940-4167-AAE2-C753459137A0}"/>
    <cellStyle name="Cella collegata 3" xfId="740" xr:uid="{C5467FC6-74BD-43D5-9F22-81EB1B5E0024}"/>
    <cellStyle name="Cella da controllare" xfId="741" xr:uid="{F109DA8B-B74F-4F8E-998A-D04F643B6866}"/>
    <cellStyle name="Cella da controllare 2" xfId="742" xr:uid="{4037E342-CB09-4338-BFFA-8DC2D85FDD18}"/>
    <cellStyle name="Cella da controllare 3" xfId="743" xr:uid="{3AD51ECE-9A5C-4331-8C56-3217C221A081}"/>
    <cellStyle name="Cellule liée" xfId="11" builtinId="24" customBuiltin="1"/>
    <cellStyle name="Cellule liée 2" xfId="744" xr:uid="{773E3D3A-F60D-452E-A49B-C7B942C92698}"/>
    <cellStyle name="Cellule liée 2 2" xfId="745" xr:uid="{B4525FEF-8EDD-4771-B0E9-18CEC62EED79}"/>
    <cellStyle name="Cellule liée 2 3" xfId="746" xr:uid="{DEF35EBF-B824-43C9-8DCA-FEBDB0130A21}"/>
    <cellStyle name="Check Cell" xfId="747" xr:uid="{2F6CF429-69D5-490B-A5F4-8479E1AC5D44}"/>
    <cellStyle name="Check Cell 2" xfId="748" xr:uid="{E0D82B63-0882-4196-AF14-42E01A32858D}"/>
    <cellStyle name="Check Cell 3" xfId="749" xr:uid="{5854C51C-F303-4D6F-80B3-6346C3EC6122}"/>
    <cellStyle name="classeur | commentaire" xfId="750" xr:uid="{786C37A2-3DA4-4CD0-BFD0-7D378C67AC4C}"/>
    <cellStyle name="classeur | commentaire 2" xfId="751" xr:uid="{9D618D94-0261-4FD7-9867-2B23E56CE101}"/>
    <cellStyle name="classeur | commentaire 2 2" xfId="752" xr:uid="{879A1D93-7529-4F04-A930-DCCF02FAEA56}"/>
    <cellStyle name="classeur | commentaire 2 3" xfId="753" xr:uid="{CEF63A7B-9E38-48CA-972D-5DFCCC92FA50}"/>
    <cellStyle name="classeur | commentaire 3" xfId="754" xr:uid="{4A1A5274-7040-48B9-9415-CB1D2D568988}"/>
    <cellStyle name="classeur | commentaire 3 2" xfId="755" xr:uid="{704B687E-D8E0-49FE-9AAA-4156E91138D5}"/>
    <cellStyle name="classeur | commentaire 3 3" xfId="756" xr:uid="{E4E0F0B7-E4E3-460B-A10C-9A2D9045F8C5}"/>
    <cellStyle name="classeur | commentaire 4" xfId="757" xr:uid="{881BCE86-0583-4544-AB81-83066540B6E8}"/>
    <cellStyle name="classeur | commentaire 4 2" xfId="758" xr:uid="{DA2BB86C-2CDE-4B48-99DB-26F9F676F45E}"/>
    <cellStyle name="classeur | commentaire 4 3" xfId="759" xr:uid="{CFB4B637-E63F-4B4B-987C-9F07E2E6AC0F}"/>
    <cellStyle name="classeur | commentaire 5" xfId="760" xr:uid="{543DC234-3F45-4B38-911D-E42B9AF4F6AD}"/>
    <cellStyle name="classeur | commentaire 5 2" xfId="761" xr:uid="{73FCF9CC-647D-4447-86C4-6E6F28F610DD}"/>
    <cellStyle name="classeur | commentaire 5 3" xfId="762" xr:uid="{8F04FD4C-C55F-437F-89AF-4B10CCCB01AB}"/>
    <cellStyle name="classeur | commentaire 6" xfId="763" xr:uid="{E813D7D9-4EF7-4278-A1F2-BB04A81EA3A6}"/>
    <cellStyle name="classeur | commentaire 7" xfId="764" xr:uid="{B1E5B6EE-AE84-4123-9A46-C86D543846BB}"/>
    <cellStyle name="classeur | extraction | series | particulier" xfId="765" xr:uid="{4B2EE5AA-88A4-4936-A3AF-10926673CCC2}"/>
    <cellStyle name="classeur | extraction | series | particulier 2" xfId="766" xr:uid="{898939A2-4D99-4959-88AB-75D460B4769D}"/>
    <cellStyle name="classeur | extraction | series | particulier 2 2" xfId="767" xr:uid="{205D57A0-4597-46E8-8E00-E0007F52BB88}"/>
    <cellStyle name="classeur | extraction | series | particulier 2 2 2" xfId="768" xr:uid="{9480B4E9-4859-4861-BAAC-4975CB3BB4B5}"/>
    <cellStyle name="classeur | extraction | series | particulier 2 2 3" xfId="769" xr:uid="{1D71E29C-96D7-4A80-AA5E-3DDE381E357D}"/>
    <cellStyle name="classeur | extraction | series | particulier 2 3" xfId="770" xr:uid="{0D418812-5794-4EC6-9E82-2F52D42A2A36}"/>
    <cellStyle name="classeur | extraction | series | particulier 2 4" xfId="771" xr:uid="{03B22788-9BBF-4A4B-ABC9-8007D67B5724}"/>
    <cellStyle name="classeur | extraction | series | particulier 3" xfId="772" xr:uid="{F04EAA5A-3AF2-42C7-BEE8-C044E4AECF7E}"/>
    <cellStyle name="classeur | extraction | series | particulier 3 2" xfId="773" xr:uid="{56EC98CC-1314-4AAA-9BD5-51E9418CA5BC}"/>
    <cellStyle name="classeur | extraction | series | particulier 3 3" xfId="774" xr:uid="{A9058896-47E4-4220-BEC7-64819E3474A7}"/>
    <cellStyle name="classeur | extraction | series | particulier 4" xfId="775" xr:uid="{C887271C-DD6F-46BF-847E-2963127993A2}"/>
    <cellStyle name="classeur | extraction | series | particulier 4 2" xfId="776" xr:uid="{C37F96C7-E999-4E0E-9E53-1411661EE477}"/>
    <cellStyle name="classeur | extraction | series | particulier 4 3" xfId="777" xr:uid="{F938413B-CA01-4C48-8B59-18E819659075}"/>
    <cellStyle name="classeur | extraction | series | particulier 5" xfId="778" xr:uid="{40E2EED1-5F09-4B5B-9A4D-523918196327}"/>
    <cellStyle name="classeur | extraction | series | particulier 6" xfId="779" xr:uid="{D90FD872-13E6-422A-AA59-66513BF9FD28}"/>
    <cellStyle name="classeur | extraction | series | quinquenal" xfId="780" xr:uid="{CA43CAF5-BA36-43AD-820B-9F8AB64C04C6}"/>
    <cellStyle name="classeur | extraction | series | quinquenal 2" xfId="781" xr:uid="{0D9BDC21-3224-4BB2-8D06-389ADF0F857D}"/>
    <cellStyle name="classeur | extraction | series | quinquenal 2 2" xfId="782" xr:uid="{57AA369D-94EA-4B4B-9C6E-18F9836FDD16}"/>
    <cellStyle name="classeur | extraction | series | quinquenal 2 3" xfId="783" xr:uid="{4F9CDDB0-7C90-4456-AED8-BDBC0150B23C}"/>
    <cellStyle name="classeur | extraction | series | quinquenal 3" xfId="784" xr:uid="{BF122328-2377-4632-B387-A2E286605580}"/>
    <cellStyle name="classeur | extraction | series | quinquenal 3 2" xfId="785" xr:uid="{402EBB18-C0FE-4E9F-93DE-F11C60671AD2}"/>
    <cellStyle name="classeur | extraction | series | quinquenal 3 3" xfId="786" xr:uid="{04BCFEA9-FF90-4012-B043-52A47F8A9BE2}"/>
    <cellStyle name="classeur | extraction | series | quinquenal 4" xfId="787" xr:uid="{B074B10F-7CD9-4E5A-B8CB-B179D9A0BB4F}"/>
    <cellStyle name="classeur | extraction | series | quinquenal 4 2" xfId="788" xr:uid="{5508B855-7D40-430A-BE31-070C6832E44A}"/>
    <cellStyle name="classeur | extraction | series | quinquenal 4 3" xfId="789" xr:uid="{BAF317D3-E76C-465C-9F5F-6689013422AC}"/>
    <cellStyle name="classeur | extraction | series | quinquenal 5" xfId="790" xr:uid="{87FA7E2A-9B07-4ECE-B5E9-A7F343AD759A}"/>
    <cellStyle name="classeur | extraction | series | quinquenal 5 2" xfId="791" xr:uid="{C8C054EB-56F5-49D8-8930-6A838DB16CFB}"/>
    <cellStyle name="classeur | extraction | series | quinquenal 5 3" xfId="792" xr:uid="{70632CA4-C985-49F7-853C-8648DAACDDA1}"/>
    <cellStyle name="classeur | extraction | series | quinquenal 6" xfId="793" xr:uid="{F9F7C4FF-3407-43DA-8D3F-CAA56AD201D1}"/>
    <cellStyle name="classeur | extraction | series | quinquenal 7" xfId="794" xr:uid="{34AD5921-80EB-4C82-878B-1868C68006AB}"/>
    <cellStyle name="classeur | extraction | series | sept dernieres" xfId="795" xr:uid="{B0D96A7B-F3C2-4D86-9995-E9F46AB9C1BB}"/>
    <cellStyle name="classeur | extraction | series | sept dernieres 2" xfId="796" xr:uid="{EDDE5526-EA92-4B43-994C-231182A2C5D3}"/>
    <cellStyle name="classeur | extraction | series | sept dernieres 2 2" xfId="797" xr:uid="{C433E306-3E46-4D2C-AAAD-64F0301913E3}"/>
    <cellStyle name="classeur | extraction | series | sept dernieres 2 2 2" xfId="798" xr:uid="{12C418CE-EEA6-4E17-A5BA-23C3789080D9}"/>
    <cellStyle name="classeur | extraction | series | sept dernieres 2 2 3" xfId="799" xr:uid="{91676361-57F4-44D4-AA2A-446AF3E0A3DF}"/>
    <cellStyle name="classeur | extraction | series | sept dernieres 2 3" xfId="800" xr:uid="{BE157ED1-5BD4-47A4-96FC-AB405072985C}"/>
    <cellStyle name="classeur | extraction | series | sept dernieres 2 4" xfId="801" xr:uid="{AEB7DC78-7FDC-4E0F-ABCD-8A6DDB35884F}"/>
    <cellStyle name="classeur | extraction | series | sept dernieres 3" xfId="802" xr:uid="{6B070C75-F0C1-4D7C-815E-0E79709C7EF3}"/>
    <cellStyle name="classeur | extraction | series | sept dernieres 3 2" xfId="803" xr:uid="{13A2FCC1-8A74-4AF0-97E5-73BA8127B214}"/>
    <cellStyle name="classeur | extraction | series | sept dernieres 3 3" xfId="804" xr:uid="{B3FF383B-B69D-432F-A516-D1AFF2D3F77C}"/>
    <cellStyle name="classeur | extraction | series | sept dernieres 4" xfId="805" xr:uid="{7A8B0FBE-6341-40A1-998D-D6E25E0F3220}"/>
    <cellStyle name="classeur | extraction | series | sept dernieres 4 2" xfId="806" xr:uid="{712B7309-3586-4BC8-A137-9812A73FBE67}"/>
    <cellStyle name="classeur | extraction | series | sept dernieres 4 3" xfId="807" xr:uid="{9FD91338-0D03-4BCC-83D3-5DA4677FD50D}"/>
    <cellStyle name="classeur | extraction | series | sept dernieres 5" xfId="808" xr:uid="{5F5A48E7-12F4-441F-8B7B-AD1D1CE10CA1}"/>
    <cellStyle name="classeur | extraction | series | sept dernieres 5 2" xfId="809" xr:uid="{7A82CB7F-BB8D-4DBA-853D-A65FFA00FA19}"/>
    <cellStyle name="classeur | extraction | series | sept dernieres 5 3" xfId="810" xr:uid="{26A922C9-666A-48DA-BBD5-96F2FB49D62A}"/>
    <cellStyle name="classeur | extraction | series | sept dernieres 6" xfId="811" xr:uid="{4A3E6B73-0965-47C9-B7D0-0B6EDDFAEDFB}"/>
    <cellStyle name="classeur | extraction | series | sept dernieres 7" xfId="812" xr:uid="{F8B64792-4CAE-4919-97A6-81C22E09D686}"/>
    <cellStyle name="classeur | extraction | structure | dernier" xfId="813" xr:uid="{85428B3D-4720-4364-BB2E-D24328E47DB5}"/>
    <cellStyle name="classeur | extraction | structure | dernier 2" xfId="814" xr:uid="{609D9BAC-85F2-46A9-BE14-83B14A423A3C}"/>
    <cellStyle name="classeur | extraction | structure | dernier 2 2" xfId="815" xr:uid="{CACB13CE-BEE1-4C9D-B475-86D916E99EA0}"/>
    <cellStyle name="classeur | extraction | structure | dernier 2 2 2" xfId="816" xr:uid="{D23F6DC2-EBD7-4FB4-8872-18B0EE99A37C}"/>
    <cellStyle name="classeur | extraction | structure | dernier 2 2 3" xfId="817" xr:uid="{036BD93D-C714-445A-A425-C2FE7F1A4746}"/>
    <cellStyle name="classeur | extraction | structure | dernier 2 3" xfId="818" xr:uid="{FB4B033D-8D33-420C-9B8F-63905B051F29}"/>
    <cellStyle name="classeur | extraction | structure | dernier 2 4" xfId="819" xr:uid="{0768D2E0-EDF0-4A24-A25A-7A0DA4EAE5B4}"/>
    <cellStyle name="classeur | extraction | structure | dernier 3" xfId="820" xr:uid="{77044909-34D7-4E19-A3D3-9333B86AA89B}"/>
    <cellStyle name="classeur | extraction | structure | dernier 3 2" xfId="821" xr:uid="{3BC185E5-56BE-4E5F-ABC1-2DAF90507F84}"/>
    <cellStyle name="classeur | extraction | structure | dernier 3 3" xfId="822" xr:uid="{A484612D-09BD-4F40-AE89-90B7FF21E1E8}"/>
    <cellStyle name="classeur | extraction | structure | dernier 4" xfId="823" xr:uid="{9AEF3DFD-CEE9-4433-A2AC-B7AC5D479B66}"/>
    <cellStyle name="classeur | extraction | structure | dernier 4 2" xfId="824" xr:uid="{30E3C53D-BC71-462F-8DC3-64515834DFD3}"/>
    <cellStyle name="classeur | extraction | structure | dernier 4 3" xfId="825" xr:uid="{291B2A4C-4310-4BF5-B60A-2E7DC0CF13F2}"/>
    <cellStyle name="classeur | extraction | structure | dernier 5" xfId="826" xr:uid="{6F69B4E9-6F19-4AC9-8E9F-6133A1520DCA}"/>
    <cellStyle name="classeur | extraction | structure | dernier 5 2" xfId="827" xr:uid="{572BDECD-0D51-4F18-B523-E0A0BB2A273D}"/>
    <cellStyle name="classeur | extraction | structure | dernier 5 3" xfId="828" xr:uid="{C32B906F-CE70-4026-B40E-EB4CCD3B3AC7}"/>
    <cellStyle name="classeur | extraction | structure | dernier 6" xfId="829" xr:uid="{E0206E48-0BDD-4C76-A8C9-E13B8130DCDB}"/>
    <cellStyle name="classeur | extraction | structure | dernier 7" xfId="830" xr:uid="{DE3F832D-8BD3-4712-946C-4EDAD6CD7DAB}"/>
    <cellStyle name="classeur | extraction | structure | deux derniers" xfId="831" xr:uid="{1ED0AA17-EAA2-47C8-81EC-37AD7DEB7E44}"/>
    <cellStyle name="classeur | extraction | structure | deux derniers 2" xfId="832" xr:uid="{545B37CF-8E42-4A80-827F-87056972E962}"/>
    <cellStyle name="classeur | extraction | structure | deux derniers 2 2" xfId="833" xr:uid="{6C953744-E8EB-4877-AAF5-7862E1F0E8B8}"/>
    <cellStyle name="classeur | extraction | structure | deux derniers 2 3" xfId="834" xr:uid="{7ED9DBB0-00AA-455B-8486-2A0465143275}"/>
    <cellStyle name="classeur | extraction | structure | deux derniers 3" xfId="835" xr:uid="{0D881680-F501-4811-B1D3-A7D13A6DC3E3}"/>
    <cellStyle name="classeur | extraction | structure | deux derniers 3 2" xfId="836" xr:uid="{925C1DA5-0AC2-4E3F-8B20-6FAF73E22380}"/>
    <cellStyle name="classeur | extraction | structure | deux derniers 3 3" xfId="837" xr:uid="{4CA20F9A-9E46-4CAC-85E8-9F2E0617BA84}"/>
    <cellStyle name="classeur | extraction | structure | deux derniers 4" xfId="838" xr:uid="{0DA7E982-6B15-4F8F-8A8B-D9CB8C79902D}"/>
    <cellStyle name="classeur | extraction | structure | deux derniers 4 2" xfId="839" xr:uid="{74CDF246-1441-4AD1-9D8D-1D86F0C5A51B}"/>
    <cellStyle name="classeur | extraction | structure | deux derniers 4 3" xfId="840" xr:uid="{9B1F214C-1216-47BA-95F3-1D8AB152EB6D}"/>
    <cellStyle name="classeur | extraction | structure | deux derniers 5" xfId="841" xr:uid="{FD113B2A-33CC-4FCB-90DC-4C75C5B03A0E}"/>
    <cellStyle name="classeur | extraction | structure | deux derniers 5 2" xfId="842" xr:uid="{F5DA8DAA-3CA1-4534-8960-A537942408C0}"/>
    <cellStyle name="classeur | extraction | structure | deux derniers 5 3" xfId="843" xr:uid="{D657338C-D6D7-41F8-B462-B0F64E469F7C}"/>
    <cellStyle name="classeur | extraction | structure | deux derniers 6" xfId="844" xr:uid="{D13898F5-AFA3-4494-B202-5A723CD2D8B3}"/>
    <cellStyle name="classeur | extraction | structure | deux derniers 7" xfId="845" xr:uid="{27ABEA35-FA4A-4450-A234-254DB1047A78}"/>
    <cellStyle name="classeur | extraction | structure | particulier" xfId="846" xr:uid="{4EC0A878-8104-4CED-AB96-725F6649498A}"/>
    <cellStyle name="classeur | extraction | structure | particulier 2" xfId="847" xr:uid="{C12E2056-8F38-4A84-A40F-1F7E8B8C7173}"/>
    <cellStyle name="classeur | extraction | structure | particulier 2 2" xfId="848" xr:uid="{E50AC8C7-87E4-4F18-A827-90AD84A53483}"/>
    <cellStyle name="classeur | extraction | structure | particulier 2 2 2" xfId="849" xr:uid="{3EE21265-CE0E-4578-8BF6-E04698EFA844}"/>
    <cellStyle name="classeur | extraction | structure | particulier 2 2 3" xfId="850" xr:uid="{9D5BCFB6-E305-4D23-AE5E-4C204186A196}"/>
    <cellStyle name="classeur | extraction | structure | particulier 2 3" xfId="851" xr:uid="{02EB69BF-8494-45CD-A304-33D18E461132}"/>
    <cellStyle name="classeur | extraction | structure | particulier 2 4" xfId="852" xr:uid="{3F66E6CC-DB19-49AB-9587-11E0CA236885}"/>
    <cellStyle name="classeur | extraction | structure | particulier 3" xfId="853" xr:uid="{1898F9CB-DB98-488E-96B5-5AB019DC9657}"/>
    <cellStyle name="classeur | extraction | structure | particulier 3 2" xfId="854" xr:uid="{187B4B74-3FBA-4303-B68C-98752DD445F6}"/>
    <cellStyle name="classeur | extraction | structure | particulier 3 3" xfId="855" xr:uid="{811C895B-ADA4-4E5B-B5B4-B066D91C9F0D}"/>
    <cellStyle name="classeur | extraction | structure | particulier 4" xfId="856" xr:uid="{E9F77337-674C-422E-AEA5-C6685ACCB899}"/>
    <cellStyle name="classeur | extraction | structure | particulier 4 2" xfId="857" xr:uid="{C7E3354C-7367-4B92-84EE-3C6387FB24E7}"/>
    <cellStyle name="classeur | extraction | structure | particulier 4 3" xfId="858" xr:uid="{803C6ADC-8B82-406B-8C42-379346103759}"/>
    <cellStyle name="classeur | extraction | structure | particulier 5" xfId="859" xr:uid="{CB1BDE7E-C723-494E-9682-8678D308BF31}"/>
    <cellStyle name="classeur | extraction | structure | particulier 5 2" xfId="860" xr:uid="{C492F61B-A882-4C4E-A42A-D3809A8F6684}"/>
    <cellStyle name="classeur | extraction | structure | particulier 5 3" xfId="861" xr:uid="{28163A39-0EC6-45CF-B72B-7FE2763B2404}"/>
    <cellStyle name="classeur | extraction | structure | particulier 6" xfId="862" xr:uid="{E4977C26-BC27-41F2-8943-D1852A096F17}"/>
    <cellStyle name="classeur | extraction | structure | particulier 7" xfId="863" xr:uid="{8219F927-3F56-4DE1-A103-3F631549C318}"/>
    <cellStyle name="classeur | historique" xfId="864" xr:uid="{677F20B5-F76A-4F53-94A7-89A71F57C74F}"/>
    <cellStyle name="classeur | historique 2" xfId="865" xr:uid="{7F48FABA-74AC-4F45-8901-432995E6EDAC}"/>
    <cellStyle name="classeur | historique 2 2" xfId="866" xr:uid="{E90C122B-5144-4338-9D80-C51A55B6A6BC}"/>
    <cellStyle name="classeur | historique 2 3" xfId="867" xr:uid="{5660B318-1A85-48DD-A11E-50B22E47EA13}"/>
    <cellStyle name="classeur | historique 3" xfId="868" xr:uid="{3C97A2F0-A8F5-4C38-8469-FDEA147E3DF9}"/>
    <cellStyle name="classeur | historique 3 2" xfId="869" xr:uid="{D447A490-548D-4251-A7C5-EDF2D7DF53DB}"/>
    <cellStyle name="classeur | historique 3 3" xfId="870" xr:uid="{3507053B-DE8F-4884-8C07-4EA97F2B9B83}"/>
    <cellStyle name="classeur | historique 4" xfId="871" xr:uid="{D7500A8D-FB24-40BD-8EB6-019DFE46066D}"/>
    <cellStyle name="classeur | historique 4 2" xfId="872" xr:uid="{A6FD9F05-4CC7-436C-A38D-1D1E49A00AA4}"/>
    <cellStyle name="classeur | historique 4 3" xfId="873" xr:uid="{7859C720-DB5E-4914-ADCB-CB54D2BA259D}"/>
    <cellStyle name="classeur | historique 5" xfId="874" xr:uid="{C7212DE1-5F48-46DC-B02E-A2A3F76F29B8}"/>
    <cellStyle name="classeur | historique 5 2" xfId="875" xr:uid="{BFE12FA2-53D0-41BB-98D1-62F49A1A7AF4}"/>
    <cellStyle name="classeur | historique 5 3" xfId="876" xr:uid="{B15C9038-7BAD-48D9-B862-B677A8424406}"/>
    <cellStyle name="classeur | historique 6" xfId="877" xr:uid="{C8F2AA2E-8ADF-41A9-BDFB-072E6CDDB485}"/>
    <cellStyle name="classeur | historique 7" xfId="878" xr:uid="{0E46847F-7A48-42A1-92C6-F57484FB01A5}"/>
    <cellStyle name="classeur | note | numero" xfId="879" xr:uid="{EB9027B7-0137-44A6-814E-F10D9582883E}"/>
    <cellStyle name="classeur | note | numero 2" xfId="880" xr:uid="{F58EA693-2C5C-4400-8397-FAF059B3D289}"/>
    <cellStyle name="classeur | note | numero 2 2" xfId="881" xr:uid="{136516F2-9944-4160-9B33-4068CC301B24}"/>
    <cellStyle name="classeur | note | numero 2 2 2" xfId="882" xr:uid="{9238677D-C205-4433-B1A2-5C53A78D75D6}"/>
    <cellStyle name="classeur | note | numero 2 2 3" xfId="883" xr:uid="{6428800C-7F87-417D-B51E-1B7172DC8A0D}"/>
    <cellStyle name="classeur | note | numero 2 3" xfId="884" xr:uid="{077DB8EE-E592-4ADA-BDB8-0D7BEE4A4E70}"/>
    <cellStyle name="classeur | note | numero 2 4" xfId="885" xr:uid="{A1E15E79-1281-47AE-982A-5BDE893115AB}"/>
    <cellStyle name="classeur | note | numero 3" xfId="886" xr:uid="{2B76F4E0-D406-43D7-97A3-2AC26DCEEA23}"/>
    <cellStyle name="classeur | note | numero 3 2" xfId="887" xr:uid="{84ACDCA8-C332-48E9-86D2-DCDD6DFD98EE}"/>
    <cellStyle name="classeur | note | numero 3 3" xfId="888" xr:uid="{B9A38D55-4D75-497C-AB67-17A9C08629BF}"/>
    <cellStyle name="classeur | note | numero 4" xfId="889" xr:uid="{846063B4-E16D-4D65-99D5-C2730B2CAD4D}"/>
    <cellStyle name="classeur | note | numero 4 2" xfId="890" xr:uid="{9FE3A17B-7E91-4E54-B11D-1539BD5088EE}"/>
    <cellStyle name="classeur | note | numero 4 3" xfId="891" xr:uid="{7887191E-B526-41BA-8A63-3F3F091FE7F7}"/>
    <cellStyle name="classeur | note | numero 5" xfId="892" xr:uid="{16F2924C-6012-408A-A9D7-BBAFBB240FB1}"/>
    <cellStyle name="classeur | note | numero 6" xfId="893" xr:uid="{518FFC54-507A-4290-9333-1C8E77B5F92E}"/>
    <cellStyle name="classeur | note | texte" xfId="894" xr:uid="{7AA1A58F-6C5C-4040-88C0-8FC7105F3BE4}"/>
    <cellStyle name="classeur | note | texte 2" xfId="895" xr:uid="{5C1B40CC-6737-44A3-A4F6-62548E67972A}"/>
    <cellStyle name="classeur | note | texte 2 2" xfId="896" xr:uid="{59D87CEE-EF6A-47FF-966E-6171B7683D76}"/>
    <cellStyle name="classeur | note | texte 2 3" xfId="897" xr:uid="{B434DD4D-E7CB-4F45-9548-BB46D8F49D7F}"/>
    <cellStyle name="classeur | note | texte 3" xfId="898" xr:uid="{C3B9CECF-78B7-45E3-9E13-608B764C81B4}"/>
    <cellStyle name="classeur | note | texte 3 2" xfId="899" xr:uid="{075BC2B3-FD63-4D7C-A00A-9796CAA05B1B}"/>
    <cellStyle name="classeur | note | texte 3 3" xfId="900" xr:uid="{E749A165-1385-4D82-B9EB-8120D2832246}"/>
    <cellStyle name="classeur | note | texte 4" xfId="901" xr:uid="{D9744A6A-FCAA-430C-BFFE-BE7E2804C556}"/>
    <cellStyle name="classeur | note | texte 5" xfId="902" xr:uid="{FDC77DB3-D571-4247-A4F4-9E9794A66CED}"/>
    <cellStyle name="classeur | periodicite | annee scolaire" xfId="903" xr:uid="{9BCAFBB7-B0A6-4A4B-BB2F-741ED2FB0872}"/>
    <cellStyle name="classeur | periodicite | annee scolaire 2" xfId="904" xr:uid="{40C10DFD-EE28-4074-99CA-49CB68A55A21}"/>
    <cellStyle name="classeur | periodicite | annee scolaire 2 2" xfId="905" xr:uid="{7059A79F-1B98-47AF-A843-0FFB5D17B4DC}"/>
    <cellStyle name="classeur | periodicite | annee scolaire 2 3" xfId="906" xr:uid="{2C9AB2A2-247D-40A4-BF5F-EDD4DAE9A266}"/>
    <cellStyle name="classeur | periodicite | annee scolaire 3" xfId="907" xr:uid="{E09761E6-FCA9-4AE7-9C61-A44D4B505ABB}"/>
    <cellStyle name="classeur | periodicite | annee scolaire 3 2" xfId="908" xr:uid="{4562CF10-FD69-43FB-A436-B8B7CCDBA341}"/>
    <cellStyle name="classeur | periodicite | annee scolaire 3 3" xfId="909" xr:uid="{48E349A6-C151-4DCE-A755-85918A2D104A}"/>
    <cellStyle name="classeur | periodicite | annee scolaire 4" xfId="910" xr:uid="{2B05B148-5C41-4444-B319-77289AE6F25A}"/>
    <cellStyle name="classeur | periodicite | annee scolaire 4 2" xfId="911" xr:uid="{9A955359-CC3A-4541-AE54-422549D2C58E}"/>
    <cellStyle name="classeur | periodicite | annee scolaire 4 3" xfId="912" xr:uid="{F75985AF-0AC7-4840-8901-80199E82483A}"/>
    <cellStyle name="classeur | periodicite | annee scolaire 5" xfId="913" xr:uid="{1DD36950-88DB-4C6F-A643-2E7DD33BAC5A}"/>
    <cellStyle name="classeur | periodicite | annee scolaire 5 2" xfId="914" xr:uid="{D5180957-B5D8-4CD5-B444-743EBD59E08F}"/>
    <cellStyle name="classeur | periodicite | annee scolaire 5 3" xfId="915" xr:uid="{CAFA5400-F18D-486C-BFA7-59D8997EE8C9}"/>
    <cellStyle name="classeur | periodicite | annee scolaire 6" xfId="916" xr:uid="{5D81D34B-5C8C-4287-B1C9-480885B9192B}"/>
    <cellStyle name="classeur | periodicite | annee scolaire 7" xfId="917" xr:uid="{86A852B7-CD81-4145-86D3-26EA68E5ED05}"/>
    <cellStyle name="classeur | periodicite | annuelle" xfId="918" xr:uid="{6B8F9ADD-0C42-40EF-8247-27249B3444D3}"/>
    <cellStyle name="classeur | periodicite | annuelle 2" xfId="919" xr:uid="{84F7E48C-D487-4CF9-9509-A1F2056B0D52}"/>
    <cellStyle name="classeur | periodicite | annuelle 2 2" xfId="920" xr:uid="{EE594CD5-7E28-412F-8A0D-9F7F425378DC}"/>
    <cellStyle name="classeur | periodicite | annuelle 2 3" xfId="921" xr:uid="{C0CD49AB-60DE-455C-A555-D3686A7FB6C3}"/>
    <cellStyle name="classeur | periodicite | annuelle 3" xfId="922" xr:uid="{BFE3D5E6-038F-4105-B407-8488CCAD8362}"/>
    <cellStyle name="classeur | periodicite | annuelle 3 2" xfId="923" xr:uid="{8B83C77B-A477-445E-BBBF-F9D64D32CA02}"/>
    <cellStyle name="classeur | periodicite | annuelle 3 3" xfId="924" xr:uid="{30797AD7-B3D0-4589-B8A6-32C8B94C415E}"/>
    <cellStyle name="classeur | periodicite | annuelle 4" xfId="925" xr:uid="{C485044B-DAA0-4A4C-8060-CAC3DB8228E1}"/>
    <cellStyle name="classeur | periodicite | annuelle 5" xfId="926" xr:uid="{75169011-B492-4D28-B422-B75A77B1A974}"/>
    <cellStyle name="classeur | periodicite | autre" xfId="927" xr:uid="{32C89DB2-C0F3-4B87-A7D7-CCA0E062FA9E}"/>
    <cellStyle name="classeur | periodicite | autre 2" xfId="928" xr:uid="{EC479983-4384-4A55-89C6-5A660B334B26}"/>
    <cellStyle name="classeur | periodicite | autre 2 2" xfId="929" xr:uid="{400E74A2-2EAC-4083-A9ED-59C402E8029B}"/>
    <cellStyle name="classeur | periodicite | autre 2 2 2" xfId="930" xr:uid="{2AF6EFFF-78E8-4AEB-AC58-C9CA3200F587}"/>
    <cellStyle name="classeur | periodicite | autre 2 2 3" xfId="931" xr:uid="{A789DE32-BB12-4299-B464-D02D77FA10E0}"/>
    <cellStyle name="classeur | periodicite | autre 2 3" xfId="932" xr:uid="{2572D11D-391B-49DB-BD76-CE9889D03A0E}"/>
    <cellStyle name="classeur | periodicite | autre 2 4" xfId="933" xr:uid="{07B04A8D-D9C1-48BE-A63E-01AE080CDBB6}"/>
    <cellStyle name="classeur | periodicite | autre 3" xfId="934" xr:uid="{33082FD6-CBBC-46E3-90D0-0279E98514CE}"/>
    <cellStyle name="classeur | periodicite | autre 3 2" xfId="935" xr:uid="{14B40D54-5D16-44F3-B1C7-3EF0F8EEC477}"/>
    <cellStyle name="classeur | periodicite | autre 3 3" xfId="936" xr:uid="{23FF9086-E209-4653-B851-84CA1CC14B3D}"/>
    <cellStyle name="classeur | periodicite | autre 4" xfId="937" xr:uid="{7940C1B8-F7C6-410D-8273-808D9A06EEBA}"/>
    <cellStyle name="classeur | periodicite | autre 5" xfId="938" xr:uid="{481274A4-F55A-4A09-B49A-C2AABDE443D7}"/>
    <cellStyle name="classeur | periodicite | bimestrielle" xfId="939" xr:uid="{579E5F78-0103-47C2-9E17-3F4D6CAF01E2}"/>
    <cellStyle name="classeur | periodicite | bimestrielle 2" xfId="940" xr:uid="{EDF4901C-E0B5-4FDA-9853-938829754E26}"/>
    <cellStyle name="classeur | periodicite | bimestrielle 2 2" xfId="941" xr:uid="{C255D546-EB19-4B5C-9657-64D95A3EB1F6}"/>
    <cellStyle name="classeur | periodicite | bimestrielle 2 2 2" xfId="942" xr:uid="{C76C5075-F64C-4C4A-BDAC-4B7B0218544F}"/>
    <cellStyle name="classeur | periodicite | bimestrielle 2 2 3" xfId="943" xr:uid="{6C063AC8-F752-4567-8143-6503AF717A80}"/>
    <cellStyle name="classeur | periodicite | bimestrielle 2 3" xfId="944" xr:uid="{7125634C-2204-40BB-BFEC-FF10A1FC4A99}"/>
    <cellStyle name="classeur | periodicite | bimestrielle 2 4" xfId="945" xr:uid="{2F73440A-EACC-4205-9765-28EA07EC5894}"/>
    <cellStyle name="classeur | periodicite | bimestrielle 3" xfId="946" xr:uid="{C01DB69F-4951-4F24-87E2-5C181681A852}"/>
    <cellStyle name="classeur | periodicite | bimestrielle 3 2" xfId="947" xr:uid="{B2ADFA73-E613-40FE-B5B1-950CE2DA8000}"/>
    <cellStyle name="classeur | periodicite | bimestrielle 3 3" xfId="948" xr:uid="{380256BF-B879-4EE9-B353-B887FA34BAB6}"/>
    <cellStyle name="classeur | periodicite | bimestrielle 4" xfId="949" xr:uid="{F2BABF84-FADC-40EE-B514-AA16298D4A3D}"/>
    <cellStyle name="classeur | periodicite | bimestrielle 4 2" xfId="950" xr:uid="{F6C47F90-56BE-4286-8BA9-EE0182EBE7E2}"/>
    <cellStyle name="classeur | periodicite | bimestrielle 4 3" xfId="951" xr:uid="{77298316-AF3A-40DB-9667-59291EEACBA9}"/>
    <cellStyle name="classeur | periodicite | bimestrielle 5" xfId="952" xr:uid="{20D10C1D-24F0-4922-B002-36D7BD9CD7C3}"/>
    <cellStyle name="classeur | periodicite | bimestrielle 5 2" xfId="953" xr:uid="{DB6AD4A4-1A5E-4D33-A8E4-2ACCDFFA98A2}"/>
    <cellStyle name="classeur | periodicite | bimestrielle 5 3" xfId="954" xr:uid="{6E5AB1FE-8AD3-4071-B758-295AA86A62F8}"/>
    <cellStyle name="classeur | periodicite | bimestrielle 6" xfId="955" xr:uid="{874083DC-3ACF-4208-8AB5-4B0F01BF7CAD}"/>
    <cellStyle name="classeur | periodicite | bimestrielle 7" xfId="956" xr:uid="{9823E4CB-E1C5-412C-9F99-A2716EF16920}"/>
    <cellStyle name="classeur | periodicite | mensuelle" xfId="957" xr:uid="{A6233702-86E7-469D-9FAD-9C12B7E1FC75}"/>
    <cellStyle name="classeur | periodicite | mensuelle 2" xfId="958" xr:uid="{B87C9B00-F9D7-413A-AA00-463BA0FF8A68}"/>
    <cellStyle name="classeur | periodicite | mensuelle 2 2" xfId="959" xr:uid="{876E0388-37F2-453E-912D-595710E114BD}"/>
    <cellStyle name="classeur | periodicite | mensuelle 2 3" xfId="960" xr:uid="{3A9B2056-A0DC-438F-8FE2-F93272BB6B4B}"/>
    <cellStyle name="classeur | periodicite | mensuelle 3" xfId="961" xr:uid="{80CD292E-0FBF-4A1C-8EB5-14A45D27AB8B}"/>
    <cellStyle name="classeur | periodicite | mensuelle 3 2" xfId="962" xr:uid="{1B1FE9F8-FBCB-4F7B-89A8-257593A4424F}"/>
    <cellStyle name="classeur | periodicite | mensuelle 3 3" xfId="963" xr:uid="{A20D1196-8AF7-460D-91AE-F927357CB88D}"/>
    <cellStyle name="classeur | periodicite | mensuelle 4" xfId="964" xr:uid="{7B4700EC-0A45-4DCA-ADC1-E91AD1817F00}"/>
    <cellStyle name="classeur | periodicite | mensuelle 4 2" xfId="965" xr:uid="{FE0BD3FE-0064-434F-AAD9-6D195A4A11A1}"/>
    <cellStyle name="classeur | periodicite | mensuelle 4 3" xfId="966" xr:uid="{9D281AAB-0901-48EC-BC86-039E89AAACB8}"/>
    <cellStyle name="classeur | periodicite | mensuelle 5" xfId="967" xr:uid="{8B611702-BF57-43A1-86C2-AC32669CAA19}"/>
    <cellStyle name="classeur | periodicite | mensuelle 5 2" xfId="968" xr:uid="{D3183CC6-7D1D-4B9D-BB94-D24E249995FD}"/>
    <cellStyle name="classeur | periodicite | mensuelle 5 3" xfId="969" xr:uid="{97808DB8-B4E8-4A73-B9AE-D60EAB754B42}"/>
    <cellStyle name="classeur | periodicite | mensuelle 6" xfId="970" xr:uid="{98BA26BC-1080-49AD-AC59-207B3E65B3F6}"/>
    <cellStyle name="classeur | periodicite | mensuelle 7" xfId="971" xr:uid="{75C6C0F0-337D-4997-8B1B-32E0AD74765A}"/>
    <cellStyle name="classeur | periodicite | semestrielle" xfId="972" xr:uid="{B5514005-36BB-4C29-B205-7DE6BA10DB61}"/>
    <cellStyle name="classeur | periodicite | semestrielle 2" xfId="973" xr:uid="{AB1A630A-630D-420D-921A-542173E771FB}"/>
    <cellStyle name="classeur | periodicite | semestrielle 2 2" xfId="974" xr:uid="{A695D480-D5A0-4CBE-AA34-59DF06AA4FC0}"/>
    <cellStyle name="classeur | periodicite | semestrielle 2 3" xfId="975" xr:uid="{A9FF8DBF-03AB-4C1E-9AF7-115C44009A91}"/>
    <cellStyle name="classeur | periodicite | semestrielle 3" xfId="976" xr:uid="{59CCA6D6-E530-45F6-BF70-E82268516283}"/>
    <cellStyle name="classeur | periodicite | semestrielle 3 2" xfId="977" xr:uid="{4F160C73-40EF-40A3-AF82-366B6EB35F66}"/>
    <cellStyle name="classeur | periodicite | semestrielle 3 3" xfId="978" xr:uid="{AD130F03-8C0E-4C7B-AFE8-AE31C8826A2F}"/>
    <cellStyle name="classeur | periodicite | semestrielle 4" xfId="979" xr:uid="{EE92174F-1AD6-434E-841B-1F6CC99BC57E}"/>
    <cellStyle name="classeur | periodicite | semestrielle 4 2" xfId="980" xr:uid="{FB4B265F-1C2E-452D-A6AD-25943728B0B6}"/>
    <cellStyle name="classeur | periodicite | semestrielle 4 3" xfId="981" xr:uid="{3EF9D1BB-A760-460B-9AC4-0592E4B1381D}"/>
    <cellStyle name="classeur | periodicite | semestrielle 5" xfId="982" xr:uid="{59AAD33B-0515-4F3C-8B08-F76827C50A88}"/>
    <cellStyle name="classeur | periodicite | semestrielle 6" xfId="983" xr:uid="{9CD4D332-A95C-48EF-93A0-5992D0D7875E}"/>
    <cellStyle name="classeur | periodicite | trimestrielle" xfId="984" xr:uid="{84FB8A93-1DEE-4744-BFB5-6959C92B2D57}"/>
    <cellStyle name="classeur | periodicite | trimestrielle 2" xfId="985" xr:uid="{BE449804-6F01-4E43-903E-FBF5FD26628B}"/>
    <cellStyle name="classeur | periodicite | trimestrielle 2 2" xfId="986" xr:uid="{5CC3B111-7699-4B9F-A82A-9C186EB5926F}"/>
    <cellStyle name="classeur | periodicite | trimestrielle 2 2 2" xfId="987" xr:uid="{4BE526B9-363C-48E3-9B6F-729781BA8189}"/>
    <cellStyle name="classeur | periodicite | trimestrielle 2 2 3" xfId="988" xr:uid="{7DE88001-391E-4F3E-9720-428CA235034B}"/>
    <cellStyle name="classeur | periodicite | trimestrielle 2 3" xfId="989" xr:uid="{21DBC7A5-F80E-4BA4-B39D-B6A87FB535FC}"/>
    <cellStyle name="classeur | periodicite | trimestrielle 2 4" xfId="990" xr:uid="{C78FFF67-B400-46DA-AA5D-E693E4355684}"/>
    <cellStyle name="classeur | periodicite | trimestrielle 3" xfId="991" xr:uid="{49C7C2BB-639F-4627-BDE3-9FAE729AB2D2}"/>
    <cellStyle name="classeur | periodicite | trimestrielle 3 2" xfId="992" xr:uid="{6127C2F2-5B1F-4056-B60F-E8CFD4AFF2F0}"/>
    <cellStyle name="classeur | periodicite | trimestrielle 3 3" xfId="993" xr:uid="{1D944220-DA7D-44B8-BD0B-AB61E73BF14E}"/>
    <cellStyle name="classeur | periodicite | trimestrielle 4" xfId="994" xr:uid="{6DE44612-5EF0-4226-8316-718C1679AB89}"/>
    <cellStyle name="classeur | periodicite | trimestrielle 4 2" xfId="995" xr:uid="{F2ABABB2-6097-4EAC-9A78-CB40F60109AB}"/>
    <cellStyle name="classeur | periodicite | trimestrielle 4 3" xfId="996" xr:uid="{FE1AAA0E-F306-49F6-A487-AFA5B637C1E2}"/>
    <cellStyle name="classeur | periodicite | trimestrielle 5" xfId="997" xr:uid="{9CC38633-2600-461E-B06A-408F9F5BAEA8}"/>
    <cellStyle name="classeur | periodicite | trimestrielle 5 2" xfId="998" xr:uid="{D043F897-B71E-4C95-882F-A0BF7182279F}"/>
    <cellStyle name="classeur | periodicite | trimestrielle 5 3" xfId="999" xr:uid="{422CBB86-C6EB-4421-BFBD-C037DA0F4BC3}"/>
    <cellStyle name="classeur | periodicite | trimestrielle 6" xfId="1000" xr:uid="{5EEDA546-2802-4707-8E8B-799F11B5ED5E}"/>
    <cellStyle name="classeur | periodicite | trimestrielle 7" xfId="1001" xr:uid="{CE1C22BB-A073-4F26-9442-9A54FE7AD1C4}"/>
    <cellStyle name="classeur | reference | aucune" xfId="1002" xr:uid="{37FDDEA6-CE6F-4F9B-A581-456E4A23DEF3}"/>
    <cellStyle name="classeur | reference | aucune 2" xfId="1003" xr:uid="{098CBD82-8971-47D5-BAB0-EEE6F91B6F61}"/>
    <cellStyle name="classeur | reference | aucune 2 2" xfId="1004" xr:uid="{F594CEBB-B891-49BD-9B37-DF2E14FACA0E}"/>
    <cellStyle name="classeur | reference | aucune 2 2 2" xfId="1005" xr:uid="{2069E0EF-8ACB-4ECA-81F4-B865085A7A59}"/>
    <cellStyle name="classeur | reference | aucune 2 2 3" xfId="1006" xr:uid="{975B5DD6-6EB3-46BA-9C34-E665138777CA}"/>
    <cellStyle name="classeur | reference | aucune 2 3" xfId="1007" xr:uid="{88B5F2CD-28C1-48F4-A746-06A064E9249D}"/>
    <cellStyle name="classeur | reference | aucune 2 4" xfId="1008" xr:uid="{ACAD6E97-4C59-424B-9B23-0CF89E28CF0E}"/>
    <cellStyle name="classeur | reference | aucune 3" xfId="1009" xr:uid="{5C2FD703-FCC4-48EE-AB92-A5CC2967BE7B}"/>
    <cellStyle name="classeur | reference | aucune 3 2" xfId="1010" xr:uid="{F382E469-9FC2-45CE-B18D-F0FF6E747531}"/>
    <cellStyle name="classeur | reference | aucune 3 3" xfId="1011" xr:uid="{44911ADE-75B2-47C6-98EE-9B3F2CDED41C}"/>
    <cellStyle name="classeur | reference | aucune 4" xfId="1012" xr:uid="{538E8AA4-6EE5-47F1-8B91-7392CA3ABA6F}"/>
    <cellStyle name="classeur | reference | aucune 4 2" xfId="1013" xr:uid="{8DF55178-A32E-4BCE-B99F-D7427902FD32}"/>
    <cellStyle name="classeur | reference | aucune 4 3" xfId="1014" xr:uid="{53BDA8DE-FA55-48EB-ADE5-8E7FB04ABF80}"/>
    <cellStyle name="classeur | reference | aucune 5" xfId="1015" xr:uid="{E8CF14C3-6AF4-4BF3-A7AA-2EAFC38405D7}"/>
    <cellStyle name="classeur | reference | aucune 5 2" xfId="1016" xr:uid="{8360D2B6-AB40-49FF-8B0C-4DA01E4D54B9}"/>
    <cellStyle name="classeur | reference | aucune 5 3" xfId="1017" xr:uid="{D43F8FFF-624D-4A61-A2EF-E822AF461A02}"/>
    <cellStyle name="classeur | reference | aucune 6" xfId="1018" xr:uid="{787D4FBD-844B-47B4-9B23-6FFD4A897B23}"/>
    <cellStyle name="classeur | reference | aucune 7" xfId="1019" xr:uid="{047F07D3-CA05-4F28-8228-57858ABBADAF}"/>
    <cellStyle name="classeur | reference | tabl-series compose" xfId="1020" xr:uid="{FF0CE318-B130-4DA8-91B5-8D5322742032}"/>
    <cellStyle name="classeur | reference | tabl-series compose 2" xfId="1021" xr:uid="{F1E2A7BD-7149-4906-803D-7AE41CAFC017}"/>
    <cellStyle name="classeur | reference | tabl-series compose 2 2" xfId="1022" xr:uid="{1FA2DBAD-CC3A-48B1-B28D-9AA46DE7409F}"/>
    <cellStyle name="classeur | reference | tabl-series compose 2 2 2" xfId="1023" xr:uid="{1C3E31E6-F34A-4F05-836B-58F4BB319309}"/>
    <cellStyle name="classeur | reference | tabl-series compose 2 2 3" xfId="1024" xr:uid="{A0837B93-5982-4364-B934-0119BEE43F5E}"/>
    <cellStyle name="classeur | reference | tabl-series compose 2 3" xfId="1025" xr:uid="{9976C1DA-38B9-449B-8604-70759C0DCD34}"/>
    <cellStyle name="classeur | reference | tabl-series compose 2 4" xfId="1026" xr:uid="{DCEFEC1C-5E9B-4E0F-9A9C-84349AA8BEE9}"/>
    <cellStyle name="classeur | reference | tabl-series compose 3" xfId="1027" xr:uid="{803CA4AC-5005-4247-8BC9-21EC0265FD5F}"/>
    <cellStyle name="classeur | reference | tabl-series compose 3 2" xfId="1028" xr:uid="{1168091B-BDEC-4046-B603-42BE113C2B3B}"/>
    <cellStyle name="classeur | reference | tabl-series compose 3 3" xfId="1029" xr:uid="{C443899A-378E-4A99-A1BF-3D38A7CAC603}"/>
    <cellStyle name="classeur | reference | tabl-series compose 4" xfId="1030" xr:uid="{CB6A88A7-2120-4A5C-BE79-D561CE62E474}"/>
    <cellStyle name="classeur | reference | tabl-series compose 4 2" xfId="1031" xr:uid="{DE8A2F40-87D8-459D-9746-459D9C0FF01B}"/>
    <cellStyle name="classeur | reference | tabl-series compose 4 3" xfId="1032" xr:uid="{BAAAD4F9-DCA4-4C18-A15D-3423E8AA3224}"/>
    <cellStyle name="classeur | reference | tabl-series compose 5" xfId="1033" xr:uid="{9F2C0E3F-BFE4-4B07-84F5-DE7FABDFA9FC}"/>
    <cellStyle name="classeur | reference | tabl-series compose 5 2" xfId="1034" xr:uid="{DF7ED48E-A095-41A9-825F-E322EFCE5EDE}"/>
    <cellStyle name="classeur | reference | tabl-series compose 5 3" xfId="1035" xr:uid="{ACBA4CF7-2595-4A4D-A90B-3EA6200BAAC8}"/>
    <cellStyle name="classeur | reference | tabl-series compose 6" xfId="1036" xr:uid="{86554258-618C-4CA6-B42C-9086418B65B8}"/>
    <cellStyle name="classeur | reference | tabl-series compose 7" xfId="1037" xr:uid="{8E8689CC-5075-4D89-8E9C-1AE67834053A}"/>
    <cellStyle name="classeur | reference | tabl-series simple (particulier)" xfId="1038" xr:uid="{B54F0B06-C632-44AF-9617-87584304AEBA}"/>
    <cellStyle name="classeur | reference | tabl-series simple (particulier) 2" xfId="1039" xr:uid="{D0111296-FB46-4B08-AEDE-C729E5942B0E}"/>
    <cellStyle name="classeur | reference | tabl-series simple (particulier) 2 2" xfId="1040" xr:uid="{88E606CA-EC58-4BFC-B766-829198C0EC92}"/>
    <cellStyle name="classeur | reference | tabl-series simple (particulier) 2 2 2" xfId="1041" xr:uid="{059B5A4C-2E3F-437A-8C58-1C4E235F65AB}"/>
    <cellStyle name="classeur | reference | tabl-series simple (particulier) 2 2 3" xfId="1042" xr:uid="{8D696B86-C8DC-4B70-B5B0-D1FE94FAF87C}"/>
    <cellStyle name="classeur | reference | tabl-series simple (particulier) 2 3" xfId="1043" xr:uid="{5A6BD408-5A6B-43EA-A398-1061DC4A1A7D}"/>
    <cellStyle name="classeur | reference | tabl-series simple (particulier) 2 4" xfId="1044" xr:uid="{4603EB45-812A-4579-911E-05ADCE5509AD}"/>
    <cellStyle name="classeur | reference | tabl-series simple (particulier) 3" xfId="1045" xr:uid="{52C73A7D-9ED6-455F-9557-1048F1F0DE35}"/>
    <cellStyle name="classeur | reference | tabl-series simple (particulier) 3 2" xfId="1046" xr:uid="{1CBC679E-6B1A-4D48-A8D0-82ECD399E166}"/>
    <cellStyle name="classeur | reference | tabl-series simple (particulier) 3 3" xfId="1047" xr:uid="{42355026-7480-4100-A850-32624531243D}"/>
    <cellStyle name="classeur | reference | tabl-series simple (particulier) 4" xfId="1048" xr:uid="{DB673531-EBF2-4611-9321-09C466CCD3A7}"/>
    <cellStyle name="classeur | reference | tabl-series simple (particulier) 5" xfId="1049" xr:uid="{2362E696-D2C6-4505-8811-72286DA00889}"/>
    <cellStyle name="classeur | reference | tabl-series simple (standard)" xfId="1050" xr:uid="{9A131E8D-16B2-4967-8EA1-DFC58F212A1F}"/>
    <cellStyle name="classeur | reference | tabl-series simple (standard) 2" xfId="1051" xr:uid="{D8DE27A5-C08A-418E-B7B0-A453DEDC5AA2}"/>
    <cellStyle name="classeur | reference | tabl-series simple (standard) 2 2" xfId="1052" xr:uid="{8AAE97D6-39E6-48D0-B607-71F9D17D1B20}"/>
    <cellStyle name="classeur | reference | tabl-series simple (standard) 2 2 2" xfId="1053" xr:uid="{798B93AB-BD8E-472E-8C4E-8C1323DAE202}"/>
    <cellStyle name="classeur | reference | tabl-series simple (standard) 2 2 3" xfId="1054" xr:uid="{DB647849-D444-4809-B2D6-6E359DAEE69D}"/>
    <cellStyle name="classeur | reference | tabl-series simple (standard) 2 3" xfId="1055" xr:uid="{EAF54E62-E0A9-4DAB-B363-8633B273F006}"/>
    <cellStyle name="classeur | reference | tabl-series simple (standard) 2 4" xfId="1056" xr:uid="{F581032A-9534-4B8A-82F2-65D5BD47B67C}"/>
    <cellStyle name="classeur | reference | tabl-series simple (standard) 3" xfId="1057" xr:uid="{8954D2D2-9470-43AB-8148-4C39755AD4D9}"/>
    <cellStyle name="classeur | reference | tabl-series simple (standard) 3 2" xfId="1058" xr:uid="{DF1AFEB2-CDFD-4277-AE92-B733349CC740}"/>
    <cellStyle name="classeur | reference | tabl-series simple (standard) 3 3" xfId="1059" xr:uid="{023DFF27-3D28-4078-961E-45B7F8A54485}"/>
    <cellStyle name="classeur | reference | tabl-series simple (standard) 4" xfId="1060" xr:uid="{70A1EF64-542D-4116-8D7F-FDC5BDCC820E}"/>
    <cellStyle name="classeur | reference | tabl-series simple (standard) 4 2" xfId="1061" xr:uid="{D9EE485C-8CF0-4060-B8CE-985A6D8C7C59}"/>
    <cellStyle name="classeur | reference | tabl-series simple (standard) 4 3" xfId="1062" xr:uid="{46BF51D2-DB6B-42EF-933B-274E6006309A}"/>
    <cellStyle name="classeur | reference | tabl-series simple (standard) 5" xfId="1063" xr:uid="{29E01E5B-0ADA-43E7-8698-FD4745C7C0C6}"/>
    <cellStyle name="classeur | reference | tabl-series simple (standard) 5 2" xfId="1064" xr:uid="{BB1DD05D-670C-423E-8D56-E6D3434BEA57}"/>
    <cellStyle name="classeur | reference | tabl-series simple (standard) 5 3" xfId="1065" xr:uid="{290CFD69-1FFE-435C-A58F-858CA335998F}"/>
    <cellStyle name="classeur | reference | tabl-series simple (standard) 6" xfId="1066" xr:uid="{0A25FDE8-0B3D-4743-BBED-4114ED05C789}"/>
    <cellStyle name="classeur | reference | tabl-series simple (standard) 7" xfId="1067" xr:uid="{EDA6E296-6E0C-401E-9E5D-07FA34073F5A}"/>
    <cellStyle name="classeur | reference | tabl-structure (particulier)" xfId="1068" xr:uid="{99859B66-06F7-4361-A023-6EBF3ABC3F2E}"/>
    <cellStyle name="classeur | reference | tabl-structure (particulier) 2" xfId="1069" xr:uid="{A0976EBE-4D48-44D1-8B0A-99D0E6CE2696}"/>
    <cellStyle name="classeur | reference | tabl-structure (particulier) 2 2" xfId="1070" xr:uid="{E48B5E8B-C50D-41A7-9EE4-0962A3843633}"/>
    <cellStyle name="classeur | reference | tabl-structure (particulier) 2 3" xfId="1071" xr:uid="{24B17809-8FA7-46E2-AEA6-211280291A16}"/>
    <cellStyle name="classeur | reference | tabl-structure (particulier) 3" xfId="1072" xr:uid="{5633688F-925A-496B-A410-8F9D8E010385}"/>
    <cellStyle name="classeur | reference | tabl-structure (particulier) 3 2" xfId="1073" xr:uid="{D33678E8-AFF0-40BE-8F1E-DA1B1433AFE0}"/>
    <cellStyle name="classeur | reference | tabl-structure (particulier) 3 3" xfId="1074" xr:uid="{7AA30DEA-C753-4C5B-ACC5-3628CE562D70}"/>
    <cellStyle name="classeur | reference | tabl-structure (particulier) 4" xfId="1075" xr:uid="{8EB0E2B3-B352-4CCC-9A38-FFF11A39A887}"/>
    <cellStyle name="classeur | reference | tabl-structure (particulier) 4 2" xfId="1076" xr:uid="{260C0E5F-3FA1-4DAD-855A-FAC7351225E1}"/>
    <cellStyle name="classeur | reference | tabl-structure (particulier) 4 3" xfId="1077" xr:uid="{00D4BF9C-79D5-4228-BD0D-95E2F442F547}"/>
    <cellStyle name="classeur | reference | tabl-structure (particulier) 5" xfId="1078" xr:uid="{EBFF1FE1-0FEC-4EDA-ADA0-37AEB4A0C787}"/>
    <cellStyle name="classeur | reference | tabl-structure (particulier) 6" xfId="1079" xr:uid="{7500056B-F20C-4D12-9E2E-3D0E3D6C7667}"/>
    <cellStyle name="classeur | reference | tabl-structure (standard)" xfId="1080" xr:uid="{0E7706FF-8E50-4BF6-9C60-6AB83145FCCB}"/>
    <cellStyle name="classeur | reference | tabl-structure (standard) 2" xfId="1081" xr:uid="{34682EE4-3477-402E-8696-9D3AF4627E1A}"/>
    <cellStyle name="classeur | reference | tabl-structure (standard) 2 2" xfId="1082" xr:uid="{C300AA96-D766-4DCF-B775-90E348E1A5CE}"/>
    <cellStyle name="classeur | reference | tabl-structure (standard) 2 3" xfId="1083" xr:uid="{93A97481-4E78-4C85-A358-D73A57A7B8A4}"/>
    <cellStyle name="classeur | reference | tabl-structure (standard) 3" xfId="1084" xr:uid="{9F20A886-B9F3-48B1-989F-252C5313C955}"/>
    <cellStyle name="classeur | reference | tabl-structure (standard) 3 2" xfId="1085" xr:uid="{AE2B4695-2483-4FEA-A376-0D85EA772CB4}"/>
    <cellStyle name="classeur | reference | tabl-structure (standard) 3 3" xfId="1086" xr:uid="{9F27AF56-B849-4C95-A59C-64FB2C5A6491}"/>
    <cellStyle name="classeur | reference | tabl-structure (standard) 4" xfId="1087" xr:uid="{093B83A8-D6CF-4579-A2BB-880D1A923DA3}"/>
    <cellStyle name="classeur | reference | tabl-structure (standard) 4 2" xfId="1088" xr:uid="{F0801154-1ACB-4642-BDD4-014F537F5345}"/>
    <cellStyle name="classeur | reference | tabl-structure (standard) 4 3" xfId="1089" xr:uid="{094341B1-8245-4FE9-B5DF-F37AB1CF9B4C}"/>
    <cellStyle name="classeur | reference | tabl-structure (standard) 5" xfId="1090" xr:uid="{514FBA5E-68A9-408A-AC16-802FEEB41E40}"/>
    <cellStyle name="classeur | reference | tabl-structure (standard) 5 2" xfId="1091" xr:uid="{955BE5DC-B1C4-4667-98E3-AB37A0B35963}"/>
    <cellStyle name="classeur | reference | tabl-structure (standard) 5 3" xfId="1092" xr:uid="{23F26015-6FA0-4A94-B3B6-1BBEAD495F60}"/>
    <cellStyle name="classeur | reference | tabl-structure (standard) 6" xfId="1093" xr:uid="{83D76B80-E906-4EF0-AFE9-3B53454908F2}"/>
    <cellStyle name="classeur | reference | tabl-structure (standard) 7" xfId="1094" xr:uid="{71E88952-6114-4604-BAD9-4DF7106E492B}"/>
    <cellStyle name="classeur | theme | intitule" xfId="1095" xr:uid="{10A1BD2D-3A3E-43B0-9269-C5612F8CE5C6}"/>
    <cellStyle name="classeur | theme | intitule 2" xfId="1096" xr:uid="{BEF14553-82E7-4E06-9320-20333A079478}"/>
    <cellStyle name="classeur | theme | intitule 2 2" xfId="1097" xr:uid="{CBB490FB-0DA3-4BA4-944C-DB6B4026AF6E}"/>
    <cellStyle name="classeur | theme | intitule 2 3" xfId="1098" xr:uid="{3CE80BB5-E213-4089-A8B0-BA7E15FA7D19}"/>
    <cellStyle name="classeur | theme | intitule 3" xfId="1099" xr:uid="{E2385B56-3614-439C-9BF0-120E3C8ACDC8}"/>
    <cellStyle name="classeur | theme | intitule 3 2" xfId="1100" xr:uid="{A142E5C7-0C7F-40C8-B59E-FA7828456079}"/>
    <cellStyle name="classeur | theme | intitule 3 3" xfId="1101" xr:uid="{EBAC57F4-17AA-4115-995D-2F292094EAD3}"/>
    <cellStyle name="classeur | theme | intitule 4" xfId="1102" xr:uid="{10AD7C2D-437A-4C4B-BB40-44A52940E90C}"/>
    <cellStyle name="classeur | theme | intitule 4 2" xfId="1103" xr:uid="{618A7601-6F0D-4ADE-BB7F-4CA881AB77B1}"/>
    <cellStyle name="classeur | theme | intitule 4 3" xfId="1104" xr:uid="{B204E2A0-4628-411A-94A0-96131230BAC9}"/>
    <cellStyle name="classeur | theme | intitule 5" xfId="1105" xr:uid="{EE78E1EB-74FA-4247-9B4E-1C214AFD62DA}"/>
    <cellStyle name="classeur | theme | intitule 5 2" xfId="1106" xr:uid="{571E00A2-DF52-461F-995F-A8422C468563}"/>
    <cellStyle name="classeur | theme | intitule 5 3" xfId="1107" xr:uid="{0A190BA2-A1E7-40C1-8344-CA77E936BC7E}"/>
    <cellStyle name="classeur | theme | intitule 6" xfId="1108" xr:uid="{5FD45D1D-41B8-49ED-BB5D-2BB247AC875C}"/>
    <cellStyle name="classeur | theme | intitule 7" xfId="1109" xr:uid="{B4E33386-B5B3-440E-8D2D-C58B4A982FAB}"/>
    <cellStyle name="classeur | theme | notice explicative" xfId="1110" xr:uid="{C2ED725E-37AD-453B-839C-C54DB50BCAC2}"/>
    <cellStyle name="classeur | theme | notice explicative 2" xfId="1111" xr:uid="{BAAC730E-C571-4ABA-8FE3-65CAECA3A909}"/>
    <cellStyle name="classeur | theme | notice explicative 2 2" xfId="1112" xr:uid="{A8A18CB3-559A-4FD0-BB11-CB4D9BF595E6}"/>
    <cellStyle name="classeur | theme | notice explicative 2 2 2" xfId="1113" xr:uid="{889F86A0-B814-453F-9516-396A32E432BE}"/>
    <cellStyle name="classeur | theme | notice explicative 2 2 3" xfId="1114" xr:uid="{C6FE4EBD-D1D9-4166-B9C1-4A75D044A255}"/>
    <cellStyle name="classeur | theme | notice explicative 2 3" xfId="1115" xr:uid="{F87E4BB3-65B1-412B-A39A-0A41503F8B88}"/>
    <cellStyle name="classeur | theme | notice explicative 2 4" xfId="1116" xr:uid="{F30D2F17-B12C-40FE-A9CA-979B0D2CD430}"/>
    <cellStyle name="classeur | theme | notice explicative 3" xfId="1117" xr:uid="{272BF3A1-FD99-44A5-845B-D51F06543279}"/>
    <cellStyle name="classeur | theme | notice explicative 3 2" xfId="1118" xr:uid="{DC6CB94A-9AD1-4093-AC92-5C189DC097A2}"/>
    <cellStyle name="classeur | theme | notice explicative 3 3" xfId="1119" xr:uid="{0326679C-8FFE-4FCA-B31D-F2AE73036170}"/>
    <cellStyle name="classeur | theme | notice explicative 4" xfId="1120" xr:uid="{9567B246-6F9E-4FB7-A6A7-E5E22F5E6841}"/>
    <cellStyle name="classeur | theme | notice explicative 4 2" xfId="1121" xr:uid="{E53BEBAA-E306-4FD9-AA7F-404D66BA1440}"/>
    <cellStyle name="classeur | theme | notice explicative 4 3" xfId="1122" xr:uid="{24436416-2159-4816-B1FC-1E33AB44B528}"/>
    <cellStyle name="classeur | theme | notice explicative 5" xfId="1123" xr:uid="{828B1781-BBD1-488B-A7A6-EEEF57DC6F5D}"/>
    <cellStyle name="classeur | theme | notice explicative 6" xfId="1124" xr:uid="{2923B1BF-3E07-4858-A65A-D4EE2D0D9911}"/>
    <cellStyle name="classeur | titre | niveau 1" xfId="1125" xr:uid="{918B2F5A-C83F-484C-B8AF-127DC9ACB636}"/>
    <cellStyle name="classeur | titre | niveau 1 2" xfId="1126" xr:uid="{0A267B1E-9803-42F0-994D-9B71BC4E8498}"/>
    <cellStyle name="classeur | titre | niveau 1 2 2" xfId="1127" xr:uid="{A515B0EA-4BB1-4DF4-BD0C-9152ABD22903}"/>
    <cellStyle name="classeur | titre | niveau 1 2 3" xfId="1128" xr:uid="{CA3E9CEF-4624-46F3-B34B-8CE3F529CBA9}"/>
    <cellStyle name="classeur | titre | niveau 1 3" xfId="1129" xr:uid="{7BCA8C4D-EE63-417F-9D12-3B4B69ADF4B0}"/>
    <cellStyle name="classeur | titre | niveau 1 3 2" xfId="1130" xr:uid="{765B7B16-2A57-4440-90B5-17ED132F2B78}"/>
    <cellStyle name="classeur | titre | niveau 1 3 3" xfId="1131" xr:uid="{252F2B2A-8308-4436-B3F4-5B98A0FBCF41}"/>
    <cellStyle name="classeur | titre | niveau 1 4" xfId="1132" xr:uid="{55E0A9F3-2679-41E8-A9B8-89AAFC7A0688}"/>
    <cellStyle name="classeur | titre | niveau 1 4 2" xfId="1133" xr:uid="{D1E234FB-DC5B-4462-8ACC-2EE83DF06C51}"/>
    <cellStyle name="classeur | titre | niveau 1 4 3" xfId="1134" xr:uid="{711531F1-80B1-4376-9CAB-D248B5F923D1}"/>
    <cellStyle name="classeur | titre | niveau 1 5" xfId="1135" xr:uid="{172A1A2A-EBB5-4A30-A3D9-40ADD9832137}"/>
    <cellStyle name="classeur | titre | niveau 1 5 2" xfId="1136" xr:uid="{DBC081E0-FEC1-42E4-9865-D7B22779453A}"/>
    <cellStyle name="classeur | titre | niveau 1 5 3" xfId="1137" xr:uid="{5F3D9699-9F4A-4656-B940-6D9D7883C134}"/>
    <cellStyle name="classeur | titre | niveau 1 6" xfId="1138" xr:uid="{303C375A-5B23-46BA-9CC7-CC2882A31EB3}"/>
    <cellStyle name="classeur | titre | niveau 1 7" xfId="1139" xr:uid="{1F90EA76-984C-4B21-B88A-C36D1FC53E84}"/>
    <cellStyle name="classeur | titre | niveau 2" xfId="1140" xr:uid="{C5D4DD5E-AE59-42A4-A22F-F40371399745}"/>
    <cellStyle name="classeur | titre | niveau 2 2" xfId="1141" xr:uid="{565146B0-28F7-4356-A542-7123A1C160F5}"/>
    <cellStyle name="classeur | titre | niveau 2 2 2" xfId="1142" xr:uid="{C5DB3A2D-8F3B-47BB-B55D-047E41720A49}"/>
    <cellStyle name="classeur | titre | niveau 2 2 3" xfId="1143" xr:uid="{C0DC7A8D-DD0E-4F3E-8D42-FF3B435A2708}"/>
    <cellStyle name="classeur | titre | niveau 2 3" xfId="1144" xr:uid="{698AF9C1-991F-489A-B15A-A57FDB8805E1}"/>
    <cellStyle name="classeur | titre | niveau 2 3 2" xfId="1145" xr:uid="{8EA675CB-F15B-4C6B-B3B5-B2764CBA7F72}"/>
    <cellStyle name="classeur | titre | niveau 2 3 3" xfId="1146" xr:uid="{8789F2AF-3A29-48F2-8773-0EA6765B9487}"/>
    <cellStyle name="classeur | titre | niveau 2 4" xfId="1147" xr:uid="{F5B7BADE-99CC-4B75-825A-5B495BB5B3E8}"/>
    <cellStyle name="classeur | titre | niveau 2 4 2" xfId="1148" xr:uid="{521905DD-D041-40A8-897C-139D3359FD9C}"/>
    <cellStyle name="classeur | titre | niveau 2 4 3" xfId="1149" xr:uid="{723F1FD7-9C0B-4991-A135-1A904DA6C917}"/>
    <cellStyle name="classeur | titre | niveau 2 5" xfId="1150" xr:uid="{06F7521A-75F7-40C6-8135-8198D3493D0B}"/>
    <cellStyle name="classeur | titre | niveau 2 6" xfId="1151" xr:uid="{AF113022-485B-4C2E-A947-0F4A86A85C8B}"/>
    <cellStyle name="classeur | titre | niveau 3" xfId="1152" xr:uid="{FDB0205B-B3AE-4C5B-9122-2F5D21AFD227}"/>
    <cellStyle name="classeur | titre | niveau 3 2" xfId="1153" xr:uid="{4F32CB21-55B0-4FA8-A99B-71CEA50B2EFF}"/>
    <cellStyle name="classeur | titre | niveau 3 2 2" xfId="1154" xr:uid="{0404FA60-EECB-4B79-B9A8-3E8B9EFF3A1A}"/>
    <cellStyle name="classeur | titre | niveau 3 2 3" xfId="1155" xr:uid="{D1F088CD-8E81-4408-A399-606845D0FA1B}"/>
    <cellStyle name="classeur | titre | niveau 3 3" xfId="1156" xr:uid="{022AFC0D-F583-45DA-994F-A1EF1CE2B51D}"/>
    <cellStyle name="classeur | titre | niveau 3 3 2" xfId="1157" xr:uid="{D2893A4C-EB0E-42C8-8C1E-AAE5910D741D}"/>
    <cellStyle name="classeur | titre | niveau 3 3 3" xfId="1158" xr:uid="{D78DF2FA-AD71-408A-9B32-428D6B7B6231}"/>
    <cellStyle name="classeur | titre | niveau 3 4" xfId="1159" xr:uid="{5092F54E-A14A-4EC0-8258-D18EB9FBBC5C}"/>
    <cellStyle name="classeur | titre | niveau 3 5" xfId="1160" xr:uid="{CFC7BA63-A13A-4F9D-9D04-5CBAB3B1C190}"/>
    <cellStyle name="classeur | titre | niveau 4" xfId="1161" xr:uid="{E09C82D0-0E5B-4F74-8119-3CC9E30993AB}"/>
    <cellStyle name="classeur | titre | niveau 4 2" xfId="1162" xr:uid="{911F7ED6-1530-4922-944E-E8BD8E4990AA}"/>
    <cellStyle name="classeur | titre | niveau 4 2 2" xfId="1163" xr:uid="{9D0DA5F6-4B89-4112-BB85-FA2603AB9247}"/>
    <cellStyle name="classeur | titre | niveau 4 2 3" xfId="1164" xr:uid="{03F4F081-B251-4D14-80FD-C23B845839A0}"/>
    <cellStyle name="classeur | titre | niveau 4 3" xfId="1165" xr:uid="{96B540FC-21A4-41DA-A4A0-D60A5CA20267}"/>
    <cellStyle name="classeur | titre | niveau 4 3 2" xfId="1166" xr:uid="{3F41772C-10C2-4145-871D-72BBEC465EBB}"/>
    <cellStyle name="classeur | titre | niveau 4 3 3" xfId="1167" xr:uid="{D6BC1BF5-D22A-4921-9610-9C3464855512}"/>
    <cellStyle name="classeur | titre | niveau 4 4" xfId="1168" xr:uid="{2CBFA1BB-2032-4539-BEB0-826A04220B2A}"/>
    <cellStyle name="classeur | titre | niveau 4 4 2" xfId="1169" xr:uid="{B7D87EB5-1798-4D5F-B711-1E57CF7A3B24}"/>
    <cellStyle name="classeur | titre | niveau 4 4 3" xfId="1170" xr:uid="{64B8202C-E855-426A-88FE-F03A87B7F63F}"/>
    <cellStyle name="classeur | titre | niveau 4 5" xfId="1171" xr:uid="{14648897-6D9C-44B4-AA5F-C0FA646D176A}"/>
    <cellStyle name="classeur | titre | niveau 4 5 2" xfId="1172" xr:uid="{41FF2414-79F9-485E-8354-25ADF2F3603C}"/>
    <cellStyle name="classeur | titre | niveau 4 5 3" xfId="1173" xr:uid="{7282818E-4C77-4FDF-B9B7-09B57667CA5C}"/>
    <cellStyle name="classeur | titre | niveau 4 6" xfId="1174" xr:uid="{C89FC9E5-D411-4772-82F2-74D3EBBAFE24}"/>
    <cellStyle name="classeur | titre | niveau 4 7" xfId="1175" xr:uid="{83603C60-4011-4A96-BC5A-D3692120E82C}"/>
    <cellStyle name="classeur | titre | niveau 5" xfId="1176" xr:uid="{98596524-8C32-4847-BF1E-E74B6EFA5C4A}"/>
    <cellStyle name="classeur | titre | niveau 5 2" xfId="1177" xr:uid="{92AE8B11-3DBC-4660-A0CE-7C083124B938}"/>
    <cellStyle name="classeur | titre | niveau 5 2 2" xfId="1178" xr:uid="{651060EF-7E9C-4422-A4FA-F274D13E2AC5}"/>
    <cellStyle name="classeur | titre | niveau 5 2 3" xfId="1179" xr:uid="{D4240146-31F6-4D68-83B6-F58EEA1B5A25}"/>
    <cellStyle name="classeur | titre | niveau 5 3" xfId="1180" xr:uid="{B9B2623E-4CB4-444D-951F-A57C3B429AC5}"/>
    <cellStyle name="classeur | titre | niveau 5 3 2" xfId="1181" xr:uid="{DDFE25F9-F1B2-411E-8DF0-EEF0B4971E2A}"/>
    <cellStyle name="classeur | titre | niveau 5 3 3" xfId="1182" xr:uid="{1ADFD27F-92D7-4DB6-BBD9-287A3DDA6AF0}"/>
    <cellStyle name="classeur | titre | niveau 5 4" xfId="1183" xr:uid="{E6E6EFAF-F205-48EF-B5FD-AB865F749772}"/>
    <cellStyle name="classeur | titre | niveau 5 5" xfId="1184" xr:uid="{4115C94B-0446-4FFB-996B-3E707E6B765D}"/>
    <cellStyle name="coin" xfId="1185" xr:uid="{43D74795-D028-4A87-8CDE-F9A6C528B903}"/>
    <cellStyle name="coin 2" xfId="1186" xr:uid="{DDD1A27B-5ECB-41B0-AA98-E6496B732E74}"/>
    <cellStyle name="coin 2 2" xfId="1187" xr:uid="{6C3F9048-06B4-410B-8814-2C1EFEB8450F}"/>
    <cellStyle name="coin 2 3" xfId="1188" xr:uid="{6AE7A966-FCA8-4A16-96E0-BB9D8B0E9085}"/>
    <cellStyle name="coin 3" xfId="1189" xr:uid="{F9B381E1-F538-42CC-9A77-C1E6965C9DD3}"/>
    <cellStyle name="coin 3 2" xfId="1190" xr:uid="{F2F43A6B-8BFF-43D3-999C-E63A0F080BCC}"/>
    <cellStyle name="coin 3 3" xfId="1191" xr:uid="{9B2AB904-A4F6-403C-A93A-74175AC02C57}"/>
    <cellStyle name="coin 4" xfId="1192" xr:uid="{F40394A6-1597-4A03-8750-61E73A224742}"/>
    <cellStyle name="coin 5" xfId="1193" xr:uid="{6D7DC756-6548-4A5F-9EC6-6EB39145C0A7}"/>
    <cellStyle name="Colore 1" xfId="1194" xr:uid="{163EF802-C129-408B-8E64-E44EF9A1BA77}"/>
    <cellStyle name="Colore 1 2" xfId="1195" xr:uid="{D3AF6276-C51C-4A2E-B389-667B5177CBF4}"/>
    <cellStyle name="Colore 1 3" xfId="1196" xr:uid="{0D5C3216-18BC-4204-A040-B0110C24403F}"/>
    <cellStyle name="Colore 2" xfId="1197" xr:uid="{B184FF9A-6543-47A0-BBF3-3817EEC02C48}"/>
    <cellStyle name="Colore 2 2" xfId="1198" xr:uid="{7EBA1294-D2D3-495E-890C-A0B811FE0AD3}"/>
    <cellStyle name="Colore 2 3" xfId="1199" xr:uid="{93826190-5615-4347-B82D-C732FAABBC70}"/>
    <cellStyle name="Colore 3" xfId="1200" xr:uid="{4AFFB15A-2F1C-4C4C-ABFC-B1B576922601}"/>
    <cellStyle name="Colore 3 2" xfId="1201" xr:uid="{D0A8FC3C-3F40-4428-99F8-A79915ED3AC6}"/>
    <cellStyle name="Colore 3 3" xfId="1202" xr:uid="{5515C4BB-DEE2-4B3F-913D-245213B2D515}"/>
    <cellStyle name="Colore 4" xfId="1203" xr:uid="{0FA72C85-865E-4D4D-8404-29330B87E130}"/>
    <cellStyle name="Colore 4 2" xfId="1204" xr:uid="{4D08EF43-00D6-4259-9719-22A7AA6557F0}"/>
    <cellStyle name="Colore 4 3" xfId="1205" xr:uid="{8378C743-592E-483F-9441-A74CE984299E}"/>
    <cellStyle name="Colore 5" xfId="1206" xr:uid="{484CBAFF-3ADE-4B0C-BBE5-81B732E3C8B5}"/>
    <cellStyle name="Colore 5 2" xfId="1207" xr:uid="{92FA8B7F-A08D-49BB-B63C-16260A7D9C5F}"/>
    <cellStyle name="Colore 5 3" xfId="1208" xr:uid="{3A6CD134-48F3-4BCA-AEF4-488D150E0F6A}"/>
    <cellStyle name="Colore 6" xfId="1209" xr:uid="{A8C55B9F-B716-42D0-810A-890F9C884EA7}"/>
    <cellStyle name="Colore 6 2" xfId="1210" xr:uid="{B8BF346A-1AA7-44D8-9692-A386D72FA07E}"/>
    <cellStyle name="Colore 6 3" xfId="1211" xr:uid="{8F7AE09A-1FF6-4D0E-A799-EF4D21B62891}"/>
    <cellStyle name="Comma [0]" xfId="1212" xr:uid="{C5CF328D-CDF7-4F0E-9FFF-E21B2B45CA6F}"/>
    <cellStyle name="Comma [0] 2" xfId="1213" xr:uid="{D8A9B209-8364-4DA5-A3B6-7B19BB6D591C}"/>
    <cellStyle name="Comma [0] 2 2" xfId="1214" xr:uid="{3B098A58-98B7-480C-B17E-9ED1688578AF}"/>
    <cellStyle name="Comma [0] 2 2 2" xfId="1215" xr:uid="{A837CB44-6476-4BC0-9A6E-32AB845DF1D3}"/>
    <cellStyle name="Comma [0] 2 3" xfId="1216" xr:uid="{F28921AE-8675-4958-A489-606DB97742CC}"/>
    <cellStyle name="Comma [0] 2 3 2" xfId="1217" xr:uid="{AE69D333-3D5E-4C24-ABDE-A6A921430DD4}"/>
    <cellStyle name="Comma [0] 2 4" xfId="1218" xr:uid="{294D2909-4537-4260-8C00-05CB5439D65B}"/>
    <cellStyle name="Comma [0] 2 4 2" xfId="1219" xr:uid="{271F9061-3ED1-4C6D-BA9E-97D09E819DA2}"/>
    <cellStyle name="Comma [0] 2 5" xfId="1220" xr:uid="{3F34249E-3780-4716-8360-E6D537EA85B3}"/>
    <cellStyle name="Comma [0] 3" xfId="1221" xr:uid="{94BCF379-0D85-440B-AB1F-94B69361A2C2}"/>
    <cellStyle name="Comma [0] 3 2" xfId="1222" xr:uid="{32103589-57BF-4EFF-8487-FFFF414522B2}"/>
    <cellStyle name="Comma [0] 4" xfId="1223" xr:uid="{C9E1BC79-0E96-4B80-828F-C6AB3BAE5C9D}"/>
    <cellStyle name="Comma [0] 4 2" xfId="1224" xr:uid="{9DC23F15-DBDA-4ED1-AD7A-61ACD39006A1}"/>
    <cellStyle name="Comma [0] 5" xfId="1225" xr:uid="{948048FD-9AB1-4F91-B9F8-0EC20485C420}"/>
    <cellStyle name="Comma [0] 5 2" xfId="1226" xr:uid="{93F0CF0B-DEE4-4174-B17A-B4A83E0B34EC}"/>
    <cellStyle name="Comma [0] 6" xfId="1227" xr:uid="{B501E924-77F1-4E9F-BCF7-1AD2D3FA85C1}"/>
    <cellStyle name="Comma 2" xfId="1228" xr:uid="{1E2F492B-8DEE-4EB9-8D86-4BBA79DAFF7E}"/>
    <cellStyle name="Comma 2 2" xfId="1229" xr:uid="{49E91CD5-664F-4ACA-B23E-216216240774}"/>
    <cellStyle name="Comma 2 3" xfId="1230" xr:uid="{C33451DC-946C-4002-8DD5-A4408A053BCC}"/>
    <cellStyle name="Commentaire 2" xfId="68" xr:uid="{00000000-0005-0000-0000-000043000000}"/>
    <cellStyle name="Commentaire 2 2" xfId="98" xr:uid="{00000000-0005-0000-0000-000044000000}"/>
    <cellStyle name="Commentaire 2 2 2" xfId="146" xr:uid="{00000000-0005-0000-0000-000045000000}"/>
    <cellStyle name="Commentaire 2 2 3" xfId="1232" xr:uid="{763F3632-FCE7-4EA0-B00E-F89C7D97AEF5}"/>
    <cellStyle name="Commentaire 2 3" xfId="125" xr:uid="{00000000-0005-0000-0000-000046000000}"/>
    <cellStyle name="Commentaire 2 3 2" xfId="1233" xr:uid="{AA66B5DB-2784-4DD1-B348-5661BE50C61C}"/>
    <cellStyle name="Commentaire 2 4" xfId="1231" xr:uid="{9A0EC4D4-2A33-4747-9C80-3E73534E1E25}"/>
    <cellStyle name="Currency [0]" xfId="1234" xr:uid="{F5351CF1-4A83-4965-8D2D-FF3E918508B6}"/>
    <cellStyle name="Currency [0] 2" xfId="1235" xr:uid="{4394D4FB-078B-4843-B17B-F6ABA6A360CF}"/>
    <cellStyle name="Date" xfId="1236" xr:uid="{2FBF357D-10CF-46F8-B2E0-08A3CC86C105}"/>
    <cellStyle name="Date 2" xfId="1237" xr:uid="{2C3DB542-EBC7-4AB6-855D-9BE609319C3A}"/>
    <cellStyle name="Date 2 2" xfId="1238" xr:uid="{D3726332-90C9-4F1D-9F94-36E524E5F267}"/>
    <cellStyle name="Date 2 3" xfId="1239" xr:uid="{E6297DB3-C2CE-4F65-B5BD-461883D1CDF5}"/>
    <cellStyle name="Date 3" xfId="1240" xr:uid="{39CDBDB6-6EA8-41B8-B447-A1BA07088E98}"/>
    <cellStyle name="Date 4" xfId="1241" xr:uid="{B4D9A91A-143E-4B0E-A2BB-AA42FA73D954}"/>
    <cellStyle name="debugage | texte note potentiel ?" xfId="1242" xr:uid="{7D9F2799-E4B2-4ED6-AB5E-48AC2E10D835}"/>
    <cellStyle name="debugage | texte note potentiel ? 2" xfId="1243" xr:uid="{FD9A2A71-B571-4294-AD96-30BC838781BC}"/>
    <cellStyle name="debugage | texte note potentiel ? 3" xfId="1244" xr:uid="{25108F96-D892-4C25-9625-E00733E1589D}"/>
    <cellStyle name="debugage | titre de niveau potentiel" xfId="1245" xr:uid="{443AEE4E-861F-4CAF-B419-92D2A94BD251}"/>
    <cellStyle name="debugage | titre de niveau potentiel 2" xfId="1246" xr:uid="{175C8EC6-2C9D-4023-902F-B3D00DF0DD17}"/>
    <cellStyle name="debugage | titre de niveau potentiel 3" xfId="1247" xr:uid="{6BD0BBDF-676D-432E-A964-16FD4A02B539}"/>
    <cellStyle name="donn_normal" xfId="1248" xr:uid="{EBA01E14-A0C5-4B8F-81F6-0E23D68D06AB}"/>
    <cellStyle name="donnnormal1" xfId="1249" xr:uid="{494DBF09-1398-4831-9F1E-51B39E3EF18A}"/>
    <cellStyle name="donnnormal1 2" xfId="1250" xr:uid="{61CBD612-7DCE-463A-B236-35B0D449B971}"/>
    <cellStyle name="donnnormal1 2 2" xfId="1251" xr:uid="{681DC55F-3C95-499A-AB68-90721AB59811}"/>
    <cellStyle name="donnnormal1 2 3" xfId="1252" xr:uid="{4B9A769C-85AE-4BD5-9308-A3202855233B}"/>
    <cellStyle name="donnnormal1 3" xfId="1253" xr:uid="{D81E449C-A9FE-4898-B9AC-310324B5D978}"/>
    <cellStyle name="donnnormal1 4" xfId="1254" xr:uid="{6FACE2FB-7645-4DB2-A451-374A0A529140}"/>
    <cellStyle name="donntotal1" xfId="1255" xr:uid="{2B7FB920-C1BB-40FA-AAB4-276D08187D89}"/>
    <cellStyle name="donntotal1 2" xfId="1256" xr:uid="{918F7942-611C-45E6-9AC4-F3D82E371D57}"/>
    <cellStyle name="donntotal1 2 2" xfId="1257" xr:uid="{FE589E66-6A26-47D4-8AD2-3A91ADC1FF1F}"/>
    <cellStyle name="donntotal1 2 3" xfId="1258" xr:uid="{F49BC1FF-599F-4A21-9C60-A26DB095A49D}"/>
    <cellStyle name="donntotal1 3" xfId="1259" xr:uid="{6FDF6501-222B-40EE-8899-0C77587641C1}"/>
    <cellStyle name="donntotal1 4" xfId="1260" xr:uid="{91B3CA5F-F823-4313-9110-62283158810A}"/>
    <cellStyle name="Encabezado 4" xfId="1261" xr:uid="{B687DAC3-5B31-4878-BF40-F4A90340D4B8}"/>
    <cellStyle name="Encabezado 4 2" xfId="1262" xr:uid="{83CC1649-82E5-4BB5-BE1A-21F3757B6D6F}"/>
    <cellStyle name="Encabezado 4 3" xfId="1263" xr:uid="{310E2D79-387B-4756-8B2B-DFBE102A2D13}"/>
    <cellStyle name="Énfasis1" xfId="1264" xr:uid="{EB3AF7F9-B35D-402D-A74A-97F40F381AD4}"/>
    <cellStyle name="Énfasis1 2" xfId="1265" xr:uid="{6794BBFA-7967-4F2B-A83F-874B52572BCE}"/>
    <cellStyle name="Énfasis1 3" xfId="1266" xr:uid="{43F0350D-54C4-4275-B118-963477EF2D06}"/>
    <cellStyle name="Énfasis2" xfId="1267" xr:uid="{4D6B6E45-0538-4706-8E99-7CD70BD9FF66}"/>
    <cellStyle name="Énfasis2 2" xfId="1268" xr:uid="{36DC9E01-C3C7-4144-BD50-7CDBF27A2601}"/>
    <cellStyle name="Énfasis2 3" xfId="1269" xr:uid="{93497CB4-399C-46E2-9A17-BCC4BACCF1E5}"/>
    <cellStyle name="Énfasis3" xfId="1270" xr:uid="{7B94DAA9-D10C-4813-BD20-FAC00E66EE68}"/>
    <cellStyle name="Énfasis3 2" xfId="1271" xr:uid="{72B5EE0E-E1CD-426D-89A3-82434DFF9C7E}"/>
    <cellStyle name="Énfasis3 3" xfId="1272" xr:uid="{BFA3E151-53A5-472A-AC8A-7D8A82BE25C1}"/>
    <cellStyle name="Énfasis4" xfId="1273" xr:uid="{8094B81A-8620-4671-96D9-8DFBDCCA47CA}"/>
    <cellStyle name="Énfasis4 2" xfId="1274" xr:uid="{1435253F-FB08-4F02-B8D6-F5387B30D29C}"/>
    <cellStyle name="Énfasis4 3" xfId="1275" xr:uid="{BF3BA0CD-CABE-4B51-879B-1E8B15259587}"/>
    <cellStyle name="Énfasis5" xfId="1276" xr:uid="{948075F0-3EFC-4711-A870-F7A9C7CD8A83}"/>
    <cellStyle name="Énfasis5 2" xfId="1277" xr:uid="{364FB194-19BD-4BB9-BB50-F8671523227C}"/>
    <cellStyle name="Énfasis5 3" xfId="1278" xr:uid="{3266918D-A2BA-48BF-8C90-5C154D2F8E7A}"/>
    <cellStyle name="Énfasis6" xfId="1279" xr:uid="{768B249C-B245-4EC9-90E4-3F2E21AC554D}"/>
    <cellStyle name="Énfasis6 2" xfId="1280" xr:uid="{9F352E0C-384E-41A6-8C14-8E78E91EE75F}"/>
    <cellStyle name="Énfasis6 3" xfId="1281" xr:uid="{5DAC1232-06E2-4A9E-94D9-2BF4DF17D7CE}"/>
    <cellStyle name="ent_col_ser" xfId="1282" xr:uid="{15258D51-2653-4120-959D-626FB459E610}"/>
    <cellStyle name="En-tête" xfId="3533" xr:uid="{370A4CC5-3660-4A7B-96BD-BA65D6DB859F}"/>
    <cellStyle name="En-tête 1" xfId="1283" xr:uid="{4FAEE026-F637-4246-8AAC-3030CD45AE03}"/>
    <cellStyle name="En-tête 1 2" xfId="1284" xr:uid="{D3AB1F30-CF79-4D43-B5F1-32086A532A7D}"/>
    <cellStyle name="En-tête 1 2 2" xfId="1285" xr:uid="{73ED93F5-C396-419D-8C3C-36B2A8F827E9}"/>
    <cellStyle name="En-tête 1 2 3" xfId="1286" xr:uid="{A0F3E92E-ECAF-4E90-938C-4D358D68C036}"/>
    <cellStyle name="En-tête 1 3" xfId="1287" xr:uid="{71ECC1B8-D8ED-4271-BCDF-E581F4FBE432}"/>
    <cellStyle name="En-tête 1 4" xfId="1288" xr:uid="{6DAF0630-F606-4A70-82F3-00D725C369EF}"/>
    <cellStyle name="En-tête 2" xfId="1289" xr:uid="{BB971B25-F095-4484-AAFD-2FC28DC24947}"/>
    <cellStyle name="En-tête 2 2" xfId="1290" xr:uid="{2FC36F4B-0CC0-4120-8FE7-70231CCF48FF}"/>
    <cellStyle name="En-tête 2 2 2" xfId="1291" xr:uid="{64523325-8EAD-42FA-B06E-58B6DA8E29FB}"/>
    <cellStyle name="En-tête 2 2 3" xfId="1292" xr:uid="{9DBD9CFA-D861-4981-B2EB-6CA26E0626AF}"/>
    <cellStyle name="En-tête 2 3" xfId="1293" xr:uid="{752AB2C8-1AA5-4F78-96C2-93B2A4922AC9}"/>
    <cellStyle name="En-tête 2 4" xfId="1294" xr:uid="{EAF543D8-F5EB-41CA-B1CB-5EA3DB9E50A4}"/>
    <cellStyle name="entete_indice" xfId="1295" xr:uid="{3D26B4A0-3542-41FB-969F-E542AC0DDA92}"/>
    <cellStyle name="Entrada" xfId="1296" xr:uid="{78867B53-20EF-40CC-AAE1-949AEBA23A33}"/>
    <cellStyle name="Entrada 2" xfId="1297" xr:uid="{9E63891E-F2B7-4017-9297-D8E8D379C2EE}"/>
    <cellStyle name="Entrada 3" xfId="1298" xr:uid="{2E203433-F12A-4E98-911D-BAEA71E26ABF}"/>
    <cellStyle name="Entrée" xfId="8" builtinId="20" customBuiltin="1"/>
    <cellStyle name="Entrée 2" xfId="1299" xr:uid="{DB3F253C-B3B8-4EF0-9778-99064655CB03}"/>
    <cellStyle name="Entrée 2 2" xfId="1300" xr:uid="{7D7592A7-9639-44BF-A90F-FBE5113F374C}"/>
    <cellStyle name="Entrée 2 3" xfId="1301" xr:uid="{57CDC99B-91A1-4A75-BC61-8EDA8BE9ADFD}"/>
    <cellStyle name="Euro" xfId="1302" xr:uid="{C15575DE-D0D7-4ED9-AD1F-0C834805D7F4}"/>
    <cellStyle name="Euro 10" xfId="1303" xr:uid="{CEEE4243-58BF-44E4-B2F2-9925ED57A0EB}"/>
    <cellStyle name="Euro 10 2" xfId="1304" xr:uid="{FBA5FD6F-5580-48F4-91D4-DFFC4BF58D2E}"/>
    <cellStyle name="Euro 10 3" xfId="1305" xr:uid="{67569671-EF80-4D78-8D35-1489C126A746}"/>
    <cellStyle name="Euro 10 3 2" xfId="1306" xr:uid="{CF63A1C4-42F0-4E2F-A3A5-573AA7B9D5D8}"/>
    <cellStyle name="Euro 10 3 2 2" xfId="1307" xr:uid="{6DA095CD-AF00-42A1-AEB6-9304988E93C9}"/>
    <cellStyle name="Euro 10 3 3" xfId="1308" xr:uid="{1592706A-F55D-451B-8092-63C57F1A15E9}"/>
    <cellStyle name="Euro 10 3 3 2" xfId="1309" xr:uid="{8D5A8750-8D78-470A-AF5A-2BF8CE461945}"/>
    <cellStyle name="Euro 10 3 4" xfId="1310" xr:uid="{4DEC4957-EDFC-46EE-BB90-13A0B8F765AC}"/>
    <cellStyle name="Euro 11" xfId="1311" xr:uid="{BCD3C3AD-B600-474E-A7E1-82CA34ED3C9E}"/>
    <cellStyle name="Euro 12" xfId="1312" xr:uid="{C8835C64-0CEE-4CEC-8BEF-AAE147E2695D}"/>
    <cellStyle name="Euro 13" xfId="3534" xr:uid="{D82991FA-EE17-4B5C-A4F7-FFB8D52CD005}"/>
    <cellStyle name="Euro 2" xfId="1313" xr:uid="{53D275F7-FDCD-4B0A-8FED-5814884C4040}"/>
    <cellStyle name="Euro 2 2" xfId="1314" xr:uid="{76A2AC95-7C33-4772-AC39-51435C5844B6}"/>
    <cellStyle name="Euro 2 2 2" xfId="1315" xr:uid="{79F21076-B8C0-4C00-B864-470DBF8977C0}"/>
    <cellStyle name="Euro 2 2 3" xfId="1316" xr:uid="{591CDC79-1942-4F9E-9986-F8DD5B171CC3}"/>
    <cellStyle name="Euro 2 3" xfId="1317" xr:uid="{51296093-EB75-42A1-B2F6-2B858D102DB6}"/>
    <cellStyle name="Euro 2 3 2" xfId="1318" xr:uid="{953BA79F-E4B9-42FB-A8DE-0B5A784FCEE2}"/>
    <cellStyle name="Euro 2 3 3" xfId="1319" xr:uid="{E34EBE1A-2592-42A9-BF08-CDD3E870D89A}"/>
    <cellStyle name="Euro 2 4" xfId="1320" xr:uid="{035279E7-79D7-4F87-8732-75DBB9F89FE0}"/>
    <cellStyle name="Euro 2 4 2" xfId="1321" xr:uid="{14B2BF52-97EC-41A7-9CB9-1C3C32FD14CA}"/>
    <cellStyle name="Euro 2 4 3" xfId="1322" xr:uid="{DADFF1E6-9278-43CF-9249-8B1F2F9D644B}"/>
    <cellStyle name="Euro 2 5" xfId="1323" xr:uid="{D3C0EB3F-CCA8-4055-A7DA-FEA1E1E918EA}"/>
    <cellStyle name="Euro 2 6" xfId="1324" xr:uid="{44080354-B1F7-4573-803E-E520590A2491}"/>
    <cellStyle name="Euro 2 7" xfId="3541" xr:uid="{5880A9F7-84DA-4C0E-9330-249DC6EF93A6}"/>
    <cellStyle name="Euro 2_ANNÉE 2015" xfId="1325" xr:uid="{730F3107-1463-47C6-B700-E9DF1F177EF4}"/>
    <cellStyle name="Euro 3" xfId="1326" xr:uid="{77190099-3789-456E-B1A6-7D1D864647B7}"/>
    <cellStyle name="Euro 3 2" xfId="1327" xr:uid="{926F21BE-ED14-4F46-9FF6-3815AADF4B63}"/>
    <cellStyle name="Euro 3 2 2" xfId="1328" xr:uid="{99523464-0D9E-4E28-9059-705ABFD014F0}"/>
    <cellStyle name="Euro 3 2 3" xfId="1329" xr:uid="{73225978-AE7A-42A2-BF3D-B358CF4AACD1}"/>
    <cellStyle name="Euro 3 3" xfId="1330" xr:uid="{0E910660-DAFE-4246-887D-05FE2741DECC}"/>
    <cellStyle name="Euro 3 4" xfId="1331" xr:uid="{67F28902-9151-4CE5-A6A0-0DCA51FFD045}"/>
    <cellStyle name="Euro 3 5" xfId="3543" xr:uid="{1ECF4C0A-9F1B-4EED-ABB5-EDCD6F072D31}"/>
    <cellStyle name="Euro 4" xfId="1332" xr:uid="{29B1F5A2-3FF4-47CF-A953-7A0B18E0A6F1}"/>
    <cellStyle name="Euro 4 2" xfId="1333" xr:uid="{F18F44B0-79D8-44C4-B4B8-F72142A6608D}"/>
    <cellStyle name="Euro 4 2 2" xfId="1334" xr:uid="{9F38FAB3-F693-4D23-A420-E60B118EE5DA}"/>
    <cellStyle name="Euro 4 2 3" xfId="1335" xr:uid="{3DF2C39B-3548-4969-8DEE-66C30E556A3F}"/>
    <cellStyle name="Euro 4 3" xfId="1336" xr:uid="{D83881C4-5996-4EB9-9697-759EBFB0D8F9}"/>
    <cellStyle name="Euro 4 3 2" xfId="1337" xr:uid="{C8349909-A968-4FE8-82F9-C215BA41C829}"/>
    <cellStyle name="Euro 4 3 3" xfId="1338" xr:uid="{FEC9019C-BD06-4826-950A-656B930C158D}"/>
    <cellStyle name="Euro 4 4" xfId="1339" xr:uid="{68D4048C-8D16-40D7-BA0E-2DFDBDDD43CA}"/>
    <cellStyle name="Euro 4 5" xfId="1340" xr:uid="{3F555883-ACDB-461F-B7B9-76C304CFC07E}"/>
    <cellStyle name="Euro 4 6" xfId="3539" xr:uid="{833B000B-6584-4744-A0D8-4ED6ABFA514D}"/>
    <cellStyle name="Euro 4_ANNÉE 2015" xfId="1341" xr:uid="{E559931F-1FA6-4C0D-9104-C91C9BB0FF99}"/>
    <cellStyle name="Euro 5" xfId="1342" xr:uid="{B9E06B53-A474-4678-8E59-6739F1C390C0}"/>
    <cellStyle name="Euro 5 2" xfId="1343" xr:uid="{E48CE4CD-883D-4BB2-A823-34954E030EBD}"/>
    <cellStyle name="Euro 5 3" xfId="1344" xr:uid="{732874AB-2BB7-46F1-8C38-37A71AF80E52}"/>
    <cellStyle name="Euro 6" xfId="1345" xr:uid="{D06B61FA-F01D-43AA-8A6D-59BB4A2EB71F}"/>
    <cellStyle name="Euro 6 2" xfId="1346" xr:uid="{70636E62-19BA-43A2-BD1E-747AA1A3547D}"/>
    <cellStyle name="Euro 6 3" xfId="1347" xr:uid="{CD9072B4-30D7-41E4-9DD2-6213D51D0C64}"/>
    <cellStyle name="Euro 7" xfId="1348" xr:uid="{135EF0FA-7F3B-4AFC-A3BB-38BCF030191C}"/>
    <cellStyle name="Euro 7 2" xfId="1349" xr:uid="{6FC57394-D774-4E03-95F8-A22CB8E3881F}"/>
    <cellStyle name="Euro 7 3" xfId="1350" xr:uid="{5D6DFC25-6B6C-4616-A893-0A1D0B7AB642}"/>
    <cellStyle name="Euro 8" xfId="1351" xr:uid="{4A7E8D1D-B179-4D00-A13B-DD0197466CD2}"/>
    <cellStyle name="Euro 8 2" xfId="1352" xr:uid="{EF4492D1-71D1-412A-8132-E0CE38156C8C}"/>
    <cellStyle name="Euro 8 3" xfId="1353" xr:uid="{3031874F-B850-42C3-A514-B5D24DF38C70}"/>
    <cellStyle name="Euro 8 3 2" xfId="1354" xr:uid="{F3A87353-D3C0-4230-9E3D-E7EF65364055}"/>
    <cellStyle name="Euro 8 3 2 2" xfId="1355" xr:uid="{5004AE30-FAF1-466F-A7EB-6218B865665B}"/>
    <cellStyle name="Euro 8 3 3" xfId="1356" xr:uid="{AC9583D7-D2B3-41AC-A864-8053F6E98760}"/>
    <cellStyle name="Euro 8 3 3 2" xfId="1357" xr:uid="{3412934B-5AB9-40E5-B06B-76F3D488EB53}"/>
    <cellStyle name="Euro 8 3 4" xfId="1358" xr:uid="{CD45F8BC-97BC-4D61-9D9F-1BCFD029EDF6}"/>
    <cellStyle name="Euro 9" xfId="1359" xr:uid="{03CB5F63-8A77-42D5-8362-149D75C5D2B7}"/>
    <cellStyle name="Euro 9 2" xfId="1360" xr:uid="{BDF289B1-F4E0-44D8-9C9E-B6952672E413}"/>
    <cellStyle name="Euro 9 3" xfId="1361" xr:uid="{218CE2B5-D60E-4351-B52D-CD1FC6676FA0}"/>
    <cellStyle name="Euro 9 3 2" xfId="1362" xr:uid="{5F9067B1-EAA5-4C67-BF5C-B72A68DAD1DE}"/>
    <cellStyle name="Euro 9 3 2 2" xfId="1363" xr:uid="{1B5B5763-8BA4-49B0-9450-B22BAF66DC2C}"/>
    <cellStyle name="Euro 9 3 3" xfId="1364" xr:uid="{7B18F44E-A02C-4F65-9180-8EABCC2CEA01}"/>
    <cellStyle name="Euro 9 3 3 2" xfId="1365" xr:uid="{56F6C6D3-CB31-4750-AC87-0512C2E5CC69}"/>
    <cellStyle name="Euro 9 3 4" xfId="1366" xr:uid="{B7E0FF9E-B637-4D22-9C66-BD769F4308EE}"/>
    <cellStyle name="Euro_ANNÉE 2015" xfId="1367" xr:uid="{101D1E38-86A9-4914-9362-26F6F4A54986}"/>
    <cellStyle name="Excel Built-in Explanatory Text" xfId="167" xr:uid="{1C3183D8-8CE1-423C-AB0B-A3EE04E246C6}"/>
    <cellStyle name="Excel Built-in Explanatory Text 2" xfId="1369" xr:uid="{A4C4312F-EDC8-4098-965A-8D2EE0A72241}"/>
    <cellStyle name="Excel Built-in Explanatory Text 3" xfId="1370" xr:uid="{1E14485A-C469-4AA3-BA89-8475FBB2716B}"/>
    <cellStyle name="Excel Built-in Explanatory Text 4" xfId="1371" xr:uid="{A0AFD849-116E-4A97-82FD-52C1AECE5678}"/>
    <cellStyle name="Excel Built-in Explanatory Text 5" xfId="1368" xr:uid="{0AFC8F47-7076-478D-B1C2-2D81430DB6BA}"/>
    <cellStyle name="Excel Built-in Percent" xfId="1372" xr:uid="{03F7D051-C54A-4217-9004-068E49FF27B1}"/>
    <cellStyle name="Excel.Chart" xfId="1373" xr:uid="{CE21BE8B-ED9E-483A-9F7E-8A847B3C005B}"/>
    <cellStyle name="Excel.Chart 2" xfId="1374" xr:uid="{030617E7-646C-4378-9EF0-D9E04CA80C0E}"/>
    <cellStyle name="Excel.Chart 3" xfId="1375" xr:uid="{10A6E333-4894-481B-8CF1-8AEA300EDEBA}"/>
    <cellStyle name="Excel_BuiltIn_Insatisfaisant 1" xfId="1376" xr:uid="{4DC39446-1FBA-4CEA-8C2C-17AD7D1D60A3}"/>
    <cellStyle name="Explanatory Text" xfId="1377" xr:uid="{59EB7BFD-C453-4DCB-9FA0-6291B0C0857D}"/>
    <cellStyle name="Explanatory Text 2" xfId="1378" xr:uid="{E7EE83B4-1F45-41B7-BC65-B870EBE7C945}"/>
    <cellStyle name="Explanatory Text 3" xfId="1379" xr:uid="{A91BD71E-CD34-4C2B-A5C1-19CA586129A0}"/>
    <cellStyle name="F5" xfId="1380" xr:uid="{DB5C40BD-2E5A-48D3-99D3-D68DCE7C1884}"/>
    <cellStyle name="F5 2" xfId="1381" xr:uid="{76CA7FB3-16DC-4BDC-AFD5-042F303191B9}"/>
    <cellStyle name="F5 3" xfId="1382" xr:uid="{04558B04-D8F8-46ED-B5B0-96FE9BAC176C}"/>
    <cellStyle name="Financier" xfId="1383" xr:uid="{AB574CEA-CF3F-44A7-B94F-D73B9BBE2B4C}"/>
    <cellStyle name="Financier 2" xfId="1384" xr:uid="{5A5C19D5-FA3F-4BD6-8D85-EA74456B4EAD}"/>
    <cellStyle name="Financier 2 2" xfId="1385" xr:uid="{FD6ACC24-5626-4781-AE15-3020AF7549EE}"/>
    <cellStyle name="Financier 2 3" xfId="1386" xr:uid="{39786745-468A-4952-BF9F-D837460D6F40}"/>
    <cellStyle name="Financier 3" xfId="1387" xr:uid="{F72D2759-DE28-4DC3-A018-2A3591AAE994}"/>
    <cellStyle name="Financier 4" xfId="1388" xr:uid="{C246FA54-5BFC-40A4-9E7A-DBD441C8BB4B}"/>
    <cellStyle name="Financier0" xfId="1389" xr:uid="{19228242-1EF5-4718-9777-892449A1B3E7}"/>
    <cellStyle name="Financier0 2" xfId="1390" xr:uid="{966F3D02-6A4C-4064-8838-28233640BA8E}"/>
    <cellStyle name="Financier0 2 2" xfId="1391" xr:uid="{21B7FC6C-B309-49FC-8B9B-8F557BEF4F9D}"/>
    <cellStyle name="Financier0 2 3" xfId="1392" xr:uid="{43776B48-F5FA-4430-8F35-5E7E28FCAC45}"/>
    <cellStyle name="Financier0 3" xfId="1393" xr:uid="{79C1418B-A753-4F26-AACD-182EF3A0570A}"/>
    <cellStyle name="Financier0 4" xfId="1394" xr:uid="{3E3E5BD7-0738-4B31-80D0-DB780DA04F1D}"/>
    <cellStyle name="Good" xfId="1395" xr:uid="{9A010C1A-4B69-4852-8B51-41AAEFDEFDD1}"/>
    <cellStyle name="Good 2" xfId="1396" xr:uid="{D34C9FD0-F57A-4B43-96C6-3F3801A9E688}"/>
    <cellStyle name="Good 3" xfId="1397" xr:uid="{917165BF-73AB-4368-8086-37C5680FF45D}"/>
    <cellStyle name="Heading" xfId="1398" xr:uid="{F8471C06-0DD3-47C7-8800-26273FF14897}"/>
    <cellStyle name="Heading (user)" xfId="1399" xr:uid="{844A83A5-D38B-4D1A-8695-3093BEC6E38E}"/>
    <cellStyle name="Heading (user) 2" xfId="1400" xr:uid="{96625FA9-269D-4ACF-BB0D-29BB02A0773B}"/>
    <cellStyle name="Heading (user) 3" xfId="1401" xr:uid="{113110A0-8204-472D-A39D-4E03CF667B58}"/>
    <cellStyle name="Heading 1" xfId="1402" xr:uid="{BFF91CC3-7910-45D5-A2A6-5E2376278344}"/>
    <cellStyle name="Heading 1 2" xfId="1403" xr:uid="{CCA5FC4C-3C4F-405C-9BDB-4D0F59568E2E}"/>
    <cellStyle name="Heading 1 3" xfId="1404" xr:uid="{4EB56E70-8850-434B-A8EC-1A137F19B9E0}"/>
    <cellStyle name="Heading 2" xfId="1405" xr:uid="{D4A153BE-49C2-4AAD-B850-668CC17239C6}"/>
    <cellStyle name="Heading 2 2" xfId="1406" xr:uid="{5A7DDE39-3E8D-4E1A-A983-1B6438AECC38}"/>
    <cellStyle name="Heading 2 3" xfId="1407" xr:uid="{EF9DDA10-D1DD-4A06-9855-CA4DE4045094}"/>
    <cellStyle name="Heading 3" xfId="1408" xr:uid="{A243C374-898B-467B-9008-A290FA4F403E}"/>
    <cellStyle name="Heading 3 2" xfId="1409" xr:uid="{DB8D37C6-D49A-430C-8590-A90799C71ECF}"/>
    <cellStyle name="Heading 3 3" xfId="1410" xr:uid="{2D2CC4DE-3808-4A49-A8D7-60FCFB8905D9}"/>
    <cellStyle name="Heading 4" xfId="1411" xr:uid="{794F4DA2-1DC7-45F6-8E35-DAE66F701786}"/>
    <cellStyle name="Heading 4 2" xfId="1412" xr:uid="{C036144C-97F5-4F01-AB8B-0C0CD6996842}"/>
    <cellStyle name="Heading 4 3" xfId="1413" xr:uid="{92A2F22B-8C60-46C5-A90E-BE46CF9A4A6F}"/>
    <cellStyle name="Heading 5" xfId="1414" xr:uid="{46F1CCF6-22FC-4E35-9469-78C86911ED35}"/>
    <cellStyle name="Heading 6" xfId="1415" xr:uid="{59144EFA-00C4-463D-BA22-0F7CE1F84B05}"/>
    <cellStyle name="Heading 7" xfId="1416" xr:uid="{7DDE6601-9D02-4ABA-BD63-670FA11E8F3E}"/>
    <cellStyle name="Heading 8" xfId="1417" xr:uid="{5D877E56-24BD-4F88-B4AD-2F3356D384A7}"/>
    <cellStyle name="Heading1" xfId="1418" xr:uid="{69273AA8-617C-4B3D-974B-2A05E9750E78}"/>
    <cellStyle name="Heading1 (user)" xfId="1419" xr:uid="{F93DD1FE-076E-4293-837D-D39E51082A37}"/>
    <cellStyle name="Heading1 (user) 2" xfId="1420" xr:uid="{E33F5FDB-BE8E-4847-BB7F-6B571C1F5E95}"/>
    <cellStyle name="Heading1 (user) 3" xfId="1421" xr:uid="{EB46BBF1-BD18-4575-BED9-F3BBC48C5FD2}"/>
    <cellStyle name="Heading1 2" xfId="1422" xr:uid="{E6B107E8-907C-4894-81C5-51A1A017513D}"/>
    <cellStyle name="Heading1 3" xfId="1423" xr:uid="{2965101D-64D2-4849-A4AA-FC89AC2B29E6}"/>
    <cellStyle name="Heading1 4" xfId="1424" xr:uid="{39BF9243-3925-4325-88D7-F14A95915B84}"/>
    <cellStyle name="Heading1 5" xfId="1425" xr:uid="{FC2CD154-554B-4420-9158-2E3CD60FDE84}"/>
    <cellStyle name="Hyperlink 2" xfId="1426" xr:uid="{EDDA41DC-5C3F-4962-B797-3CDF32462356}"/>
    <cellStyle name="Incorrecto" xfId="1427" xr:uid="{6D25B432-54A2-48C0-A3AF-2474CE2C162C}"/>
    <cellStyle name="Incorrecto 2" xfId="1428" xr:uid="{41BD862E-E0CE-4EEF-8FE7-E684BFF0DD2B}"/>
    <cellStyle name="Incorrecto 3" xfId="1429" xr:uid="{9B75705E-1C2A-44A4-B6F6-9299721B0079}"/>
    <cellStyle name="Input" xfId="1430" xr:uid="{9FA7C139-8C62-48A9-9EA9-0070F2FBD682}"/>
    <cellStyle name="Input 2" xfId="1431" xr:uid="{0D5C08B3-CA83-4945-9A24-FE92F1A84390}"/>
    <cellStyle name="Input 3" xfId="1432" xr:uid="{835C3298-DD5B-447A-A9C8-5E00D827DE7C}"/>
    <cellStyle name="Insatisfaisant" xfId="6" builtinId="27" customBuiltin="1"/>
    <cellStyle name="Insatisfaisant 2" xfId="1433" xr:uid="{C4118E33-511A-4358-8AD6-36A0B68EC45B}"/>
    <cellStyle name="Insatisfaisant 2 2" xfId="1434" xr:uid="{9338115F-1464-4060-B3D2-40D98B95D647}"/>
    <cellStyle name="Insatisfaisant 2 3" xfId="1435" xr:uid="{E4B7356B-6555-4890-AAC4-306647EEE24A}"/>
    <cellStyle name="Lien hypertexte 2" xfId="151" xr:uid="{00000000-0005-0000-0000-000049000000}"/>
    <cellStyle name="Lien hypertexte 2 2" xfId="1437" xr:uid="{BA18A4AF-1677-482D-9A0A-8B41D4656D17}"/>
    <cellStyle name="Lien hypertexte 2 2 2" xfId="1438" xr:uid="{58E88A08-90BA-44DC-92DC-6EF79AF1F95E}"/>
    <cellStyle name="Lien hypertexte 2 2 3" xfId="1439" xr:uid="{75D15B86-F36F-417C-B64B-83582E6567AF}"/>
    <cellStyle name="Lien hypertexte 2 3" xfId="1440" xr:uid="{B52CD264-7EA8-4EAB-B3DB-C66B38A05ADA}"/>
    <cellStyle name="Lien hypertexte 2 3 2" xfId="1441" xr:uid="{0086071D-1299-4104-85A0-D7F669C408F5}"/>
    <cellStyle name="Lien hypertexte 2 3 3" xfId="1442" xr:uid="{08346538-C1B4-44A4-8CE5-59AB3616A465}"/>
    <cellStyle name="Lien hypertexte 2 4" xfId="1443" xr:uid="{0BB26874-C005-4EC1-980A-A20F8292E327}"/>
    <cellStyle name="Lien hypertexte 2 5" xfId="1444" xr:uid="{127015C0-5835-4DE1-ADBE-891D005C820A}"/>
    <cellStyle name="Lien hypertexte 2 6" xfId="1436" xr:uid="{E968C45F-8A78-41BE-831B-57DC8DCB534A}"/>
    <cellStyle name="Lien hypertexte 3" xfId="1445" xr:uid="{EB98EC55-157E-4B68-B907-04E2EC32679E}"/>
    <cellStyle name="Lien hypertexte 3 2" xfId="1446" xr:uid="{E18818B4-6898-4808-83EC-4AC189FE7E79}"/>
    <cellStyle name="Lien hypertexte 3 3" xfId="1447" xr:uid="{EDFC46E9-FDC3-43FC-9F81-D3BB4487326D}"/>
    <cellStyle name="Lien hypertexte 4" xfId="1448" xr:uid="{D4C99B7F-2491-4D1C-9278-0AB97DBA59C1}"/>
    <cellStyle name="Ligne détail" xfId="1449" xr:uid="{46613B58-BA71-42A0-8D2F-565E2D5F18B0}"/>
    <cellStyle name="Ligne détail 2" xfId="1450" xr:uid="{05637AFF-DBBA-4AB3-90B5-C1EC964C6927}"/>
    <cellStyle name="Ligne détail 2 2" xfId="1451" xr:uid="{A985A223-F66C-44CA-8B6C-5A78B7B56D2B}"/>
    <cellStyle name="Ligne détail 2 3" xfId="1452" xr:uid="{55A92BBB-85B2-45C5-A368-DCC2C15E139F}"/>
    <cellStyle name="Ligne détail 3" xfId="1453" xr:uid="{7FA486F7-03A5-44AA-BA4A-0BA70729FF6C}"/>
    <cellStyle name="Ligne détail 3 2" xfId="1454" xr:uid="{3AFEF8F0-107B-453B-9F49-A4505D3CFD49}"/>
    <cellStyle name="Ligne détail 3 3" xfId="1455" xr:uid="{07DE504D-FB3C-4FEC-B08B-E73AB1DCE7B5}"/>
    <cellStyle name="Ligne détail 4" xfId="1456" xr:uid="{917A3F10-6D37-49BB-8321-123C865809B4}"/>
    <cellStyle name="Ligne détail 4 2" xfId="1457" xr:uid="{6E43A0B7-58FC-4BAB-B8B0-A78BD03858FC}"/>
    <cellStyle name="Ligne détail 4 3" xfId="1458" xr:uid="{9777AA23-B05D-4820-80E6-25D489F6ED53}"/>
    <cellStyle name="Ligne détail 5" xfId="1459" xr:uid="{11A56779-8800-4374-B7A9-4B1C1F109172}"/>
    <cellStyle name="Ligne détail 6" xfId="1460" xr:uid="{3A53A5A0-A14F-41A3-9E20-11AAD8D62D2F}"/>
    <cellStyle name="ligne_titre_0" xfId="1461" xr:uid="{E85C9AC3-AFBF-45EC-998C-404133CCA6E0}"/>
    <cellStyle name="Linked Cell" xfId="1462" xr:uid="{45EBDC7B-54A0-4A7B-82BC-A455CDEEE58A}"/>
    <cellStyle name="Linked Cell 2" xfId="1463" xr:uid="{8A3981AF-F2CE-4FB8-BB15-7AA8339FC098}"/>
    <cellStyle name="Linked Cell 3" xfId="1464" xr:uid="{0AFAB3AD-09A0-4839-8959-F9F3F7A79AE3}"/>
    <cellStyle name="MEV1" xfId="1465" xr:uid="{A7135E58-A798-4737-B3B5-86A11D29EAD5}"/>
    <cellStyle name="MEV1 2" xfId="1466" xr:uid="{DC70FED6-C5AF-4F28-BACA-35F1719A475C}"/>
    <cellStyle name="MEV1 2 2" xfId="1467" xr:uid="{FCEC4A45-C166-45D4-88A4-D484F0EDCDDC}"/>
    <cellStyle name="MEV1 2 3" xfId="1468" xr:uid="{E3B07C6E-32CE-4A16-8051-D720D586BD37}"/>
    <cellStyle name="MEV1 3" xfId="1469" xr:uid="{68910C43-D770-4BD1-B3BD-68AB35E9F730}"/>
    <cellStyle name="MEV1 3 2" xfId="1470" xr:uid="{3903E8B1-2031-4D61-9A87-9CC881324044}"/>
    <cellStyle name="MEV1 3 3" xfId="1471" xr:uid="{00FC1B46-B162-4B51-A07E-20F63A4672B5}"/>
    <cellStyle name="MEV1 4" xfId="1472" xr:uid="{0F213FAA-30A7-4929-BEA8-59CD363C8D08}"/>
    <cellStyle name="MEV1 5" xfId="1473" xr:uid="{B629A52A-1734-4135-9F74-4671F177A7B0}"/>
    <cellStyle name="MEV2" xfId="1474" xr:uid="{14C7B15D-9404-4A0C-856B-8461EB57AA7B}"/>
    <cellStyle name="MEV2 2" xfId="1475" xr:uid="{EB28932D-5E16-4BD6-964A-7EAF8B313BA5}"/>
    <cellStyle name="MEV2 2 2" xfId="1476" xr:uid="{CCDBDD62-6FD7-4BF6-8E23-AB291BE5EC05}"/>
    <cellStyle name="MEV2 2 3" xfId="1477" xr:uid="{814F801E-AB1A-4E5E-9AA3-0475AA880459}"/>
    <cellStyle name="MEV2 3" xfId="1478" xr:uid="{9D642D27-5F5D-4F28-AFB4-DB856176F5F9}"/>
    <cellStyle name="MEV2 3 2" xfId="1479" xr:uid="{AF3DF2AA-B96D-416D-91E2-E58F3695EBE9}"/>
    <cellStyle name="MEV2 3 3" xfId="1480" xr:uid="{A8AC5D85-1059-405D-9CA7-464961E4F3EC}"/>
    <cellStyle name="MEV2 4" xfId="1481" xr:uid="{1378317F-7B8F-4401-B349-93649B1E1530}"/>
    <cellStyle name="MEV2 5" xfId="1482" xr:uid="{CF5ECD11-2C03-4009-A58C-80F3608D7225}"/>
    <cellStyle name="MEV3" xfId="1483" xr:uid="{B81F09CE-0225-4583-AE36-D7C2EC9C476D}"/>
    <cellStyle name="MEV3 2" xfId="1484" xr:uid="{B06AC530-6542-4C13-BA69-E7A7310DA551}"/>
    <cellStyle name="MEV3 2 2" xfId="1485" xr:uid="{327E92F1-1951-4DFB-8629-1FC574CBCDAA}"/>
    <cellStyle name="MEV3 2 3" xfId="1486" xr:uid="{6CEF74DD-AC9A-4D1B-9C0C-3726DF23CBB2}"/>
    <cellStyle name="MEV3 3" xfId="1487" xr:uid="{88C4007A-6B0F-4334-ABC4-7E3BBA9EF579}"/>
    <cellStyle name="MEV3 3 2" xfId="1488" xr:uid="{9F7E02CF-22DC-4C7C-AFE5-32585016717B}"/>
    <cellStyle name="MEV3 3 3" xfId="1489" xr:uid="{47167AE1-724C-431C-9C48-F32BEBC350A8}"/>
    <cellStyle name="MEV3 4" xfId="1490" xr:uid="{34AF8E93-B17C-407C-B84D-8E06E83FA0DC}"/>
    <cellStyle name="MEV3 5" xfId="1491" xr:uid="{2C7BE076-4363-47ED-AD06-5DBD6EEF5D9A}"/>
    <cellStyle name="MEV4" xfId="1492" xr:uid="{00961EFE-F7F8-4B7C-B574-BD5D41A3A9A2}"/>
    <cellStyle name="MEV4 2" xfId="1493" xr:uid="{9338B928-AA48-481B-8BA3-236901D5EB22}"/>
    <cellStyle name="MEV4 3" xfId="1494" xr:uid="{79767B28-B405-4D42-9AB9-06CA9C3DFFBA}"/>
    <cellStyle name="MEV5" xfId="1495" xr:uid="{F605C9BC-92FC-4D73-BAFC-14E3894B2AB2}"/>
    <cellStyle name="MEV5 2" xfId="1496" xr:uid="{11750831-33C5-4442-9936-2D5135A128AD}"/>
    <cellStyle name="MEV5 3" xfId="1497" xr:uid="{8596D1BD-CA8B-442E-8930-FA68F9E94FA9}"/>
    <cellStyle name="Migliaia" xfId="157" xr:uid="{00000000-0005-0000-0000-00004A000000}"/>
    <cellStyle name="Milliers" xfId="153" builtinId="3"/>
    <cellStyle name="Milliers 10" xfId="1499" xr:uid="{B067493A-2B4D-42B9-9B55-646EE25B2B23}"/>
    <cellStyle name="Milliers 10 2" xfId="1500" xr:uid="{835036C4-C92A-43B2-9FC6-C573EE34972B}"/>
    <cellStyle name="Milliers 10 3" xfId="1501" xr:uid="{B5ABFB8D-BCC1-468A-8866-45ADA80FDFF0}"/>
    <cellStyle name="Milliers 10 4 2" xfId="162" xr:uid="{A59CA21E-0071-4905-BD03-4D64BBEA8027}"/>
    <cellStyle name="Milliers 11" xfId="1502" xr:uid="{08056D35-6E2B-459A-ABEE-78092D37A31D}"/>
    <cellStyle name="Milliers 11 2" xfId="1503" xr:uid="{A8E56115-E50B-43F9-9068-025AC2CF6AC9}"/>
    <cellStyle name="Milliers 11 2 2" xfId="1504" xr:uid="{3E23B429-9606-42F4-A5DB-AFE25395F6D1}"/>
    <cellStyle name="Milliers 11 3" xfId="1505" xr:uid="{A9E86266-FD04-49EE-9ED9-DB642B2058DB}"/>
    <cellStyle name="Milliers 11 3 2" xfId="1506" xr:uid="{A32DDF13-0DF3-499E-A9AC-2B7311D5A9A4}"/>
    <cellStyle name="Milliers 11 4" xfId="1507" xr:uid="{FF04A9C1-E038-4CB7-9408-10E069F342A9}"/>
    <cellStyle name="Milliers 12" xfId="1508" xr:uid="{03A71ADF-EB09-43F8-ADDB-ABBB8CA41DC7}"/>
    <cellStyle name="Milliers 12 2" xfId="1509" xr:uid="{92970524-F3F7-4B4B-835B-236719DE128B}"/>
    <cellStyle name="Milliers 13" xfId="1510" xr:uid="{D18FF4BA-88BD-4874-8E89-2A7E264BAC93}"/>
    <cellStyle name="Milliers 13 2" xfId="1511" xr:uid="{599C201B-B5C0-499C-9B8A-892A59655D3C}"/>
    <cellStyle name="Milliers 14" xfId="1512" xr:uid="{68C3ED79-3B2A-46E0-BD9A-01CE6899CF3E}"/>
    <cellStyle name="Milliers 14 2" xfId="1513" xr:uid="{EBD20772-1A86-4382-829E-A6ABC3122EC4}"/>
    <cellStyle name="Milliers 15" xfId="1514" xr:uid="{08C7FC9D-D60D-4B0C-8FB3-D08DA4624E50}"/>
    <cellStyle name="Milliers 16" xfId="1515" xr:uid="{3813B0CA-D665-4884-BBE0-98B4C9F3CAC0}"/>
    <cellStyle name="Milliers 17" xfId="1498" xr:uid="{3D540A35-36B5-450F-9C9C-DA07959A801F}"/>
    <cellStyle name="Milliers 18" xfId="3528" xr:uid="{FBAF06DB-BFE3-4FD5-A792-8DE1FD8F51D9}"/>
    <cellStyle name="Milliers 19" xfId="3547" xr:uid="{C36C65DA-F847-4D25-A92F-4FCF92BE7F51}"/>
    <cellStyle name="Milliers 2" xfId="52" xr:uid="{00000000-0005-0000-0000-00004C000000}"/>
    <cellStyle name="Milliers 2 10" xfId="1516" xr:uid="{2E88EFDD-57CD-4907-95DD-F92E98AC8A7B}"/>
    <cellStyle name="Milliers 2 11" xfId="3532" xr:uid="{42AB6985-4065-4553-882E-7F605041F2B7}"/>
    <cellStyle name="Milliers 2 2" xfId="158" xr:uid="{00000000-0005-0000-0000-00004D000000}"/>
    <cellStyle name="Milliers 2 2 2" xfId="1518" xr:uid="{117D9D84-91B3-426F-95F3-03DD11708066}"/>
    <cellStyle name="Milliers 2 2 3" xfId="1519" xr:uid="{46336A73-F15C-47A7-AE5B-2B5D72FD240B}"/>
    <cellStyle name="Milliers 2 2 4" xfId="1520" xr:uid="{D9B69548-78F5-4DC5-B058-FFDBC08F55B8}"/>
    <cellStyle name="Milliers 2 2 4 2" xfId="1521" xr:uid="{2E77C40C-3C97-4325-8E8F-DFA73A3019C1}"/>
    <cellStyle name="Milliers 2 2 5" xfId="1522" xr:uid="{8FF9933C-DF2D-4221-9189-6CDFCA56B678}"/>
    <cellStyle name="Milliers 2 2 5 2" xfId="1523" xr:uid="{268F7F25-EA7F-451D-BCB1-1E3F8B2A7F05}"/>
    <cellStyle name="Milliers 2 2 6" xfId="1524" xr:uid="{9CCD881E-A023-4005-BF5B-5EBAD6FF3372}"/>
    <cellStyle name="Milliers 2 2 6 2" xfId="1525" xr:uid="{85A26D26-63F9-4792-B768-DDA4B3994466}"/>
    <cellStyle name="Milliers 2 2 7" xfId="1526" xr:uid="{86F32969-1AFA-4F39-8191-B5AC2751A8F7}"/>
    <cellStyle name="Milliers 2 2 8" xfId="1517" xr:uid="{569607AB-0ADD-427D-9023-7687FA2C8F9A}"/>
    <cellStyle name="Milliers 2 3" xfId="1527" xr:uid="{8AC8E15E-609B-4641-8ED2-469C784F0220}"/>
    <cellStyle name="Milliers 2 3 2" xfId="1528" xr:uid="{F0ECEB59-3024-4010-B644-A88F9F34E652}"/>
    <cellStyle name="Milliers 2 3 3" xfId="1529" xr:uid="{8A4540FC-C32D-4FB0-B828-E21440DA6FCE}"/>
    <cellStyle name="Milliers 2 4" xfId="1530" xr:uid="{F8EDE85B-0963-4A6A-A034-3127A677C997}"/>
    <cellStyle name="Milliers 2 5" xfId="1531" xr:uid="{3CB94C25-8576-4FAC-8C99-3A660B2C4F5E}"/>
    <cellStyle name="Milliers 2 6" xfId="1532" xr:uid="{8C008E56-ED9C-405B-80D4-7D3191E8A3AD}"/>
    <cellStyle name="Milliers 2 6 2" xfId="1533" xr:uid="{9E5ECC68-1CB2-426D-9E49-E7C8F80BA1A6}"/>
    <cellStyle name="Milliers 2 7" xfId="1534" xr:uid="{01024CB4-18E8-410C-BD2B-182DAEA72505}"/>
    <cellStyle name="Milliers 2 7 2" xfId="1535" xr:uid="{EE5F2D94-64CB-497F-8A36-C0CEA28B2481}"/>
    <cellStyle name="Milliers 2 8" xfId="1536" xr:uid="{C8FCC478-E2F9-4948-8440-3C1B0D4EE3A4}"/>
    <cellStyle name="Milliers 2 8 2" xfId="1537" xr:uid="{29FFED93-E740-4565-85EA-0E57266CFC39}"/>
    <cellStyle name="Milliers 2 9" xfId="1538" xr:uid="{EC68E2D4-EE15-44AC-8517-E09E9F5E7524}"/>
    <cellStyle name="Milliers 2_ANNÉE 2015" xfId="1539" xr:uid="{EEF2DB3A-E073-4D96-A5C2-70CA01B1D518}"/>
    <cellStyle name="Milliers 20" xfId="3549" xr:uid="{07A785A2-1C7A-46C5-8357-9B39B6B3C08E}"/>
    <cellStyle name="Milliers 21" xfId="3550" xr:uid="{9D050FB1-DBBB-40F6-B809-E0EF2F0E9E1E}"/>
    <cellStyle name="Milliers 22" xfId="3551" xr:uid="{F3FD42FA-E51D-46A8-8743-9AE17169E3F6}"/>
    <cellStyle name="Milliers 23" xfId="3552" xr:uid="{A860DB70-0891-4605-B92F-788FFAC6B9E8}"/>
    <cellStyle name="Milliers 24" xfId="3553" xr:uid="{7E5B7D35-5F91-4BB2-8CE4-FF8B8E46F935}"/>
    <cellStyle name="Milliers 25" xfId="3554" xr:uid="{7E8D1840-5E7A-40A8-A2E1-A8E0F996C05B}"/>
    <cellStyle name="Milliers 26" xfId="3555" xr:uid="{EE971375-3D3E-479F-AD91-4968F998406A}"/>
    <cellStyle name="Milliers 27" xfId="3556" xr:uid="{68813ED8-4364-4C1B-810F-FAE2426DBAD0}"/>
    <cellStyle name="Milliers 28" xfId="165" xr:uid="{E0D19FF3-F69F-4485-A3FD-754B6EEE4F65}"/>
    <cellStyle name="Milliers 3" xfId="56" xr:uid="{00000000-0005-0000-0000-00004E000000}"/>
    <cellStyle name="Milliers 3 2" xfId="155" xr:uid="{00000000-0005-0000-0000-00004F000000}"/>
    <cellStyle name="Milliers 3 2 2" xfId="1541" xr:uid="{E922C305-24DF-473D-95CD-BC44C63A37AC}"/>
    <cellStyle name="Milliers 3 3" xfId="1542" xr:uid="{865FA2D0-1F7D-4B54-AF0B-7A96CBAEFBD7}"/>
    <cellStyle name="Milliers 3 4" xfId="1543" xr:uid="{80BB1CAC-16F5-4188-886A-8DAFBCDFCDB9}"/>
    <cellStyle name="Milliers 3 4 2" xfId="1544" xr:uid="{73F62B5A-57D2-4449-9EDC-3219CF48177E}"/>
    <cellStyle name="Milliers 3 5" xfId="1545" xr:uid="{7CDDCA2F-69F0-46E3-BC73-BB1B03D0AA7B}"/>
    <cellStyle name="Milliers 3 5 2" xfId="1546" xr:uid="{6809639E-C37B-45FC-B635-F133F9A02A96}"/>
    <cellStyle name="Milliers 3 6" xfId="1547" xr:uid="{139CC905-FB0E-4898-8D2C-A8C42ADC9767}"/>
    <cellStyle name="Milliers 3 6 2" xfId="1548" xr:uid="{4824D8A4-70A4-4FA2-9796-0DE7F9E61519}"/>
    <cellStyle name="Milliers 3 7" xfId="1549" xr:uid="{5EDC87A2-1960-40C9-9F1D-2C1EABD022DF}"/>
    <cellStyle name="Milliers 3 8" xfId="1540" xr:uid="{A9543964-DDE4-4AD0-9A7B-6A9F7A7FDAD0}"/>
    <cellStyle name="Milliers 3 9" xfId="3530" xr:uid="{1C69B999-6EB8-4B75-A1F0-BF15017595AC}"/>
    <cellStyle name="Milliers 39" xfId="3558" xr:uid="{15B10B40-3564-4D50-9272-B6139D0BD072}"/>
    <cellStyle name="Milliers 4" xfId="69" xr:uid="{00000000-0005-0000-0000-000050000000}"/>
    <cellStyle name="Milliers 4 2" xfId="1551" xr:uid="{3F7EFF9F-8B58-4850-AF7D-1D93CF74E053}"/>
    <cellStyle name="Milliers 4 3" xfId="1552" xr:uid="{E7D3F598-21D3-477A-B5CB-38B35FC3FE10}"/>
    <cellStyle name="Milliers 4 4" xfId="1550" xr:uid="{70186521-B2AA-4789-8144-B74170EDB10C}"/>
    <cellStyle name="Milliers 4 5" xfId="3545" xr:uid="{27125673-432D-4BC5-A3C7-F2DBF2F6FCA3}"/>
    <cellStyle name="Milliers 5" xfId="41" xr:uid="{00000000-0005-0000-0000-000051000000}"/>
    <cellStyle name="Milliers 5 2" xfId="1554" xr:uid="{AF173743-FE09-49B6-8456-98758F0F2ECD}"/>
    <cellStyle name="Milliers 5 3" xfId="1555" xr:uid="{B607C4AF-32E1-4F2C-8D84-3C7421AF4890}"/>
    <cellStyle name="Milliers 5 4" xfId="1553" xr:uid="{BA8F0DC0-3893-478F-8605-2BEC502333F4}"/>
    <cellStyle name="Milliers 6" xfId="1556" xr:uid="{7E64F04B-3D56-4ADF-BCA7-2D9C3C30C580}"/>
    <cellStyle name="Milliers 6 2" xfId="1557" xr:uid="{78705310-F72D-4404-ADE6-B341CC86EB78}"/>
    <cellStyle name="Milliers 6 3" xfId="1558" xr:uid="{CA4AA24E-DFAB-49EC-B662-152B01C8AAA3}"/>
    <cellStyle name="Milliers 7" xfId="1559" xr:uid="{E3BA8185-4179-4DCD-8390-965FA07DE935}"/>
    <cellStyle name="Milliers 7 2" xfId="1560" xr:uid="{C74DA5E5-0D35-463A-A5DC-CC82514066BB}"/>
    <cellStyle name="Milliers 7 3" xfId="1561" xr:uid="{C84EB671-C9ED-4846-BDBC-1C63D59A6135}"/>
    <cellStyle name="Milliers 8" xfId="1562" xr:uid="{1D6EF444-6CD7-429C-86B6-EC8CDAD9333E}"/>
    <cellStyle name="Milliers 8 2" xfId="1563" xr:uid="{2AA5ACBF-3FA8-4004-BE91-D2F14EDA1882}"/>
    <cellStyle name="Milliers 8 3" xfId="1564" xr:uid="{92A7BB4A-DFAB-4260-9C65-136DD0BEB6DE}"/>
    <cellStyle name="Milliers 9" xfId="1565" xr:uid="{6EF18052-38E8-459C-94E2-E7620C28494F}"/>
    <cellStyle name="Milliers 9 2" xfId="1566" xr:uid="{F643FC45-6E1F-49C5-A448-29DAA9EAD994}"/>
    <cellStyle name="Milliers 9 3" xfId="1567" xr:uid="{3D540814-C19A-4C36-A34B-FBDC9289DEC6}"/>
    <cellStyle name="Monétaire 2" xfId="1568" xr:uid="{39753A6E-C757-4897-9347-B4E2AC14E3F0}"/>
    <cellStyle name="Monétaire 2 2" xfId="1569" xr:uid="{3F17237F-26E6-4564-B89E-CCE2EA38559D}"/>
    <cellStyle name="Monétaire 2 3" xfId="1570" xr:uid="{B1815DC3-0BA2-435F-9F03-89835E7859BE}"/>
    <cellStyle name="Monétaire 3" xfId="1571" xr:uid="{6A0DE084-B6F8-475A-89AE-475EB713CF75}"/>
    <cellStyle name="Monétaire 3 2" xfId="1572" xr:uid="{9C17C910-5105-4093-B610-0F122FB6C343}"/>
    <cellStyle name="Monétaire 3 3" xfId="1573" xr:uid="{C5F86179-59DF-4237-851A-F984DDDB8C28}"/>
    <cellStyle name="Monétaire0" xfId="1574" xr:uid="{EA2D9384-4A93-4447-A059-CFE129BD1CF1}"/>
    <cellStyle name="Monétaire0 2" xfId="1575" xr:uid="{523BB76F-F135-4D6F-AB1B-940D3AE93DA5}"/>
    <cellStyle name="Monétaire0 2 2" xfId="1576" xr:uid="{3BF63873-DEEC-410B-81CC-7D3CF63B46FB}"/>
    <cellStyle name="Monétaire0 2 3" xfId="1577" xr:uid="{554B1C86-004F-4132-A9FF-74E890DE5A06}"/>
    <cellStyle name="Monétaire0 3" xfId="1578" xr:uid="{0479A798-62CE-4856-808F-06B11969D956}"/>
    <cellStyle name="Monétaire0 4" xfId="1579" xr:uid="{711BB0DF-9ABD-4D3D-88DF-59277F18C5D9}"/>
    <cellStyle name="N?rmal_la?oux_larou?" xfId="1580" xr:uid="{B99FC6B1-E66A-413B-B38E-6C6FA4EB4443}"/>
    <cellStyle name="Neutral" xfId="1581" xr:uid="{D91E42CB-AB43-4FF9-A2FB-397A24BD1873}"/>
    <cellStyle name="Neutral 2" xfId="1582" xr:uid="{3F2BFC65-42CE-47D2-B5E0-38BDB4E5BEBC}"/>
    <cellStyle name="Neutral 3" xfId="1583" xr:uid="{C979B4D8-1159-4558-8795-D5159DCA8DB9}"/>
    <cellStyle name="Neutrale" xfId="1584" xr:uid="{18C37DE0-913B-423A-8A7A-F51947F7CA7A}"/>
    <cellStyle name="Neutrale 2" xfId="1585" xr:uid="{462C427F-EE30-48DD-8B3B-6A3B73326258}"/>
    <cellStyle name="Neutrale 3" xfId="1586" xr:uid="{40726901-42D3-49E9-AB9B-7F3F75106908}"/>
    <cellStyle name="Neutre" xfId="7" builtinId="28" customBuiltin="1"/>
    <cellStyle name="Neutre 2" xfId="1587" xr:uid="{25052C99-5739-4023-95C6-B1F2DC411120}"/>
    <cellStyle name="Neutre 2 2" xfId="1588" xr:uid="{6DBA2A39-B958-45E5-8F10-08782B4254C5}"/>
    <cellStyle name="Neutre 2 3" xfId="1589" xr:uid="{E71246A0-BEB9-408E-8175-83E345A5137E}"/>
    <cellStyle name="Neutre 2 4" xfId="3544" xr:uid="{1EB11446-2968-4C57-B415-5C3E9C0F2991}"/>
    <cellStyle name="Norma?_On Hol?" xfId="1590" xr:uid="{86E6710C-5A01-42CE-B496-4898902DBFAE}"/>
    <cellStyle name="Normaᷬ_On Holᷤ" xfId="1591" xr:uid="{E6F2E1CA-2BE8-4089-8007-DD154DBEC7A1}"/>
    <cellStyle name="Normal" xfId="0" builtinId="0"/>
    <cellStyle name="Normal - Style1" xfId="1592" xr:uid="{A254859C-DBDD-4CB2-98BC-E7254BF77630}"/>
    <cellStyle name="Normal - Style1 2" xfId="1593" xr:uid="{F12B4103-9032-4E72-8C7D-05BBF8E39FFB}"/>
    <cellStyle name="Normal - Style1 3" xfId="1594" xr:uid="{989B5FA4-6F68-41F6-B1F1-982C629A31B8}"/>
    <cellStyle name="Normal 10" xfId="40" xr:uid="{00000000-0005-0000-0000-000054000000}"/>
    <cellStyle name="Normal 10 2" xfId="1596" xr:uid="{3011C717-CA82-4264-A870-17D70C26EAD8}"/>
    <cellStyle name="Normal 10 3" xfId="1597" xr:uid="{FA553F99-9043-41CE-8F77-C8CB465E24AE}"/>
    <cellStyle name="Normal 10 4" xfId="1595" xr:uid="{00134D93-0443-412D-8B54-136C09939497}"/>
    <cellStyle name="Normal 11" xfId="156" xr:uid="{00000000-0005-0000-0000-000055000000}"/>
    <cellStyle name="Normal 11 2" xfId="1599" xr:uid="{7669249A-328C-4F36-9F2A-E0A8932CC854}"/>
    <cellStyle name="Normal 11 3" xfId="1600" xr:uid="{7966EB9B-63B4-413D-BFAB-247A6267353A}"/>
    <cellStyle name="Normal 11 4" xfId="1598" xr:uid="{D53F7410-B2D8-448C-8A37-E0D6C3B6F259}"/>
    <cellStyle name="Normal 12" xfId="1601" xr:uid="{126E264E-6679-440F-BB44-087EA716EF01}"/>
    <cellStyle name="Normal 12 2" xfId="1602" xr:uid="{300067FD-3923-47C8-B06D-19FA5B4032E9}"/>
    <cellStyle name="Normal 12 2 2" xfId="1603" xr:uid="{0C2A41B6-9FE8-4843-ACC6-505CB14EDD66}"/>
    <cellStyle name="Normal 12 2 3" xfId="1604" xr:uid="{270030A2-5FC4-4C6E-ACE8-6FFB6B3104B5}"/>
    <cellStyle name="Normal 12 3" xfId="1605" xr:uid="{60DBD4CD-D193-48E7-A9C2-D79831B1A6A3}"/>
    <cellStyle name="Normal 12 3 2" xfId="1606" xr:uid="{EE166325-F831-4BDE-9717-5ADBF9AA13F5}"/>
    <cellStyle name="Normal 12 3 3" xfId="1607" xr:uid="{82F1AD9C-D45D-4098-953E-DA43A4844CEF}"/>
    <cellStyle name="Normal 12 4" xfId="1608" xr:uid="{0DF88E42-2112-4255-8F95-C8E3391B42CA}"/>
    <cellStyle name="Normal 12 5" xfId="1609" xr:uid="{9CAEA05A-28F3-4247-9CBF-8F2F669B4D3C}"/>
    <cellStyle name="Normal 13" xfId="1610" xr:uid="{BCC9FA9E-3940-4E90-8E50-DDB09759703D}"/>
    <cellStyle name="Normal 13 2" xfId="1611" xr:uid="{81B73BB9-C04B-458C-8856-29F545344CEC}"/>
    <cellStyle name="Normal 13 3" xfId="1612" xr:uid="{F61946E9-61B2-4F0C-A535-0D902642A70D}"/>
    <cellStyle name="Normal 13 3 2" xfId="1613" xr:uid="{DC238C8B-6A82-43C8-B1FA-DA689422E31F}"/>
    <cellStyle name="Normal 13 3 2 2" xfId="1614" xr:uid="{578780CD-2BE8-4C56-8A3F-D89C446E62AC}"/>
    <cellStyle name="Normal 13 3 3" xfId="1615" xr:uid="{7D0234AA-BFD0-47AD-8B04-166B0E4802DD}"/>
    <cellStyle name="Normal 13 3 3 2" xfId="1616" xr:uid="{8D7C7130-E8C0-44C4-B685-588418F25257}"/>
    <cellStyle name="Normal 13 3 4" xfId="1617" xr:uid="{E1277894-4AAE-4CEA-A0E3-7C7CFEFEB200}"/>
    <cellStyle name="Normal 14" xfId="1618" xr:uid="{15E9AE15-5683-4112-8A70-E1A048649219}"/>
    <cellStyle name="Normal 14 2" xfId="1619" xr:uid="{C39316EC-4EDA-4F38-B9EF-8D9A3F9E9211}"/>
    <cellStyle name="Normal 14 3" xfId="1620" xr:uid="{5CD374E7-FFB5-4B95-8D4B-E83937731EA5}"/>
    <cellStyle name="Normal 14 3 2" xfId="1621" xr:uid="{9F6864B2-61B6-495A-B964-F0E56D883FA5}"/>
    <cellStyle name="Normal 14 3 2 2" xfId="1622" xr:uid="{31F94600-CC42-41AD-9760-DADFCB4DFDF6}"/>
    <cellStyle name="Normal 14 3 3" xfId="1623" xr:uid="{BFB7D694-87FB-443C-9745-1738544631C4}"/>
    <cellStyle name="Normal 14 3 3 2" xfId="1624" xr:uid="{788DBEBB-9A41-4121-A903-2EA2C8DD6DBB}"/>
    <cellStyle name="Normal 14 3 4" xfId="1625" xr:uid="{24116769-2B25-49E3-91C3-6F33974A2C65}"/>
    <cellStyle name="Normal 15" xfId="1626" xr:uid="{69CD5F83-4BBE-40E6-87A9-49DD1CE03C51}"/>
    <cellStyle name="Normal 15 2" xfId="1627" xr:uid="{CC6CF296-F8BB-45C7-8B49-10401FF0079C}"/>
    <cellStyle name="Normal 15 3" xfId="1628" xr:uid="{3814FA74-7FB3-493C-A904-47445B141310}"/>
    <cellStyle name="Normal 15 3 2" xfId="1629" xr:uid="{96923412-6324-4D7E-BD64-F5182D885A30}"/>
    <cellStyle name="Normal 15 3 2 2" xfId="1630" xr:uid="{F36AE531-50A6-47DB-BFF3-46CC44F30DA9}"/>
    <cellStyle name="Normal 15 3 3" xfId="1631" xr:uid="{8F5961F5-BDE8-41CF-BE30-7730979EBFCF}"/>
    <cellStyle name="Normal 15 3 3 2" xfId="1632" xr:uid="{845BFC22-FFD9-4F21-923C-111B15D6A160}"/>
    <cellStyle name="Normal 15 3 4" xfId="1633" xr:uid="{B70C25FC-3B6F-4F21-96DD-7BAB00321D2C}"/>
    <cellStyle name="Normal 16" xfId="1634" xr:uid="{D465258F-F327-4FC0-A3DD-71B096B29B0A}"/>
    <cellStyle name="Normal 16 2" xfId="1635" xr:uid="{36B8A915-74C5-4D6D-A001-4561CC37E1D3}"/>
    <cellStyle name="Normal 16 3" xfId="1636" xr:uid="{A5547328-67F2-49AC-AE7C-960EC7E28C72}"/>
    <cellStyle name="Normal 16 3 2" xfId="1637" xr:uid="{A1E9F944-4FD6-4E8A-8606-FDA2E03DA3F9}"/>
    <cellStyle name="Normal 16 3 2 2" xfId="1638" xr:uid="{69BBEB12-6293-40CB-826E-83ADE3870D49}"/>
    <cellStyle name="Normal 16 3 3" xfId="1639" xr:uid="{3554B0BF-E7DD-4808-AF0E-8980BC2A387D}"/>
    <cellStyle name="Normal 16 3 3 2" xfId="1640" xr:uid="{8F1322B4-D952-448B-8A00-E7B41EA6622F}"/>
    <cellStyle name="Normal 16 3 4" xfId="1641" xr:uid="{6626365E-BD31-4FC0-9B09-851ADCA3017F}"/>
    <cellStyle name="Normal 17" xfId="1642" xr:uid="{734349F6-A82A-4177-907C-A62C1E7C0B81}"/>
    <cellStyle name="Normal 17 2" xfId="1643" xr:uid="{7E47A1B5-6EC8-410C-AFF5-78F3FA79B1EA}"/>
    <cellStyle name="Normal 17 3" xfId="1644" xr:uid="{F99EA50D-D0F1-4A33-915C-B178F3685C6C}"/>
    <cellStyle name="Normal 17 3 2" xfId="1645" xr:uid="{B8D777D6-947C-4166-9C40-DA01EEA47BEA}"/>
    <cellStyle name="Normal 17 3 2 2" xfId="1646" xr:uid="{CB2298CC-3A67-4879-AA16-811B37D90524}"/>
    <cellStyle name="Normal 17 3 3" xfId="1647" xr:uid="{02476E16-1EF0-46EB-A9D5-F2FAF7FC652C}"/>
    <cellStyle name="Normal 17 3 3 2" xfId="1648" xr:uid="{FD72BCEC-170B-42F8-980C-6A4BD6D8A492}"/>
    <cellStyle name="Normal 17 3 4" xfId="1649" xr:uid="{20C4D5F6-756A-4308-A6AF-1DAE78D1DC8C}"/>
    <cellStyle name="Normal 18" xfId="1650" xr:uid="{1D18ECC9-8644-4F3E-83AA-A58469D2F2E0}"/>
    <cellStyle name="Normal 18 2" xfId="1651" xr:uid="{AD8366E0-C75A-4568-BC55-6E4CB750152A}"/>
    <cellStyle name="Normal 18 3" xfId="1652" xr:uid="{DC95FC25-D63F-48D1-91D6-2A50BBFB3C31}"/>
    <cellStyle name="Normal 18 3 2" xfId="1653" xr:uid="{1F243EA2-BA8B-4B26-83B5-0005DED997EA}"/>
    <cellStyle name="Normal 18 3 2 2" xfId="1654" xr:uid="{4A9823D4-A256-444E-B1AB-55E430B501F7}"/>
    <cellStyle name="Normal 18 3 3" xfId="1655" xr:uid="{1838CF01-2CC4-4FD4-A1F6-DE803DB8B29F}"/>
    <cellStyle name="Normal 18 3 3 2" xfId="1656" xr:uid="{891A6F8E-BF72-4F17-A79B-7AE5C909C5FE}"/>
    <cellStyle name="Normal 18 3 4" xfId="1657" xr:uid="{0631FB3D-4627-48A4-B77E-D2769CAA7D6C}"/>
    <cellStyle name="Normal 19" xfId="1658" xr:uid="{C4F91FC7-2645-4868-BEB9-28378974BF55}"/>
    <cellStyle name="Normal 19 2" xfId="1659" xr:uid="{4C26990A-B7F7-4D60-B05D-94AE09C7B121}"/>
    <cellStyle name="Normal 19 3" xfId="1660" xr:uid="{B44642AE-9128-4828-9335-15417FFF2AC5}"/>
    <cellStyle name="Normal 2" xfId="49" xr:uid="{00000000-0005-0000-0000-000056000000}"/>
    <cellStyle name="Normal 2 2" xfId="154" xr:uid="{00000000-0005-0000-0000-000057000000}"/>
    <cellStyle name="Normal 2 2 2" xfId="1662" xr:uid="{1C06DA2C-093C-44CF-9E57-980011284857}"/>
    <cellStyle name="Normal 2 2 2 2 4" xfId="3546" xr:uid="{BDA53E33-4816-49CC-8045-ABD275460D97}"/>
    <cellStyle name="Normal 2 2 3" xfId="1663" xr:uid="{ABC53893-D889-4363-9C3C-5087FD40C76C}"/>
    <cellStyle name="Normal 2 2 4" xfId="1661" xr:uid="{5AAF090D-9C94-4F36-A9F1-0D34A29F620B}"/>
    <cellStyle name="Normal 2 3" xfId="1664" xr:uid="{E84A972F-4D98-48B4-8722-52B34CDC1068}"/>
    <cellStyle name="Normal 2 3 17" xfId="1665" xr:uid="{B2D6EBD3-EC54-47D3-AEC7-BEEE7105E021}"/>
    <cellStyle name="Normal 2 3 2" xfId="1666" xr:uid="{AD11FE78-EA52-4994-A589-C464D25EC07E}"/>
    <cellStyle name="Normal 2 3 2 2" xfId="1667" xr:uid="{37E7C3A2-4F6F-4F6E-B29E-20C01AEBA949}"/>
    <cellStyle name="Normal 2 3 2 3" xfId="1668" xr:uid="{FFE45D22-0D88-40D3-B2AC-C4B69D1EB2D1}"/>
    <cellStyle name="Normal 2 3 3" xfId="1669" xr:uid="{4327C8E3-8D13-4C6B-9400-943113D0F534}"/>
    <cellStyle name="Normal 2 3 4" xfId="1670" xr:uid="{9F7ADEBB-331B-4253-A62E-593ECE9DA534}"/>
    <cellStyle name="Normal 2 4" xfId="1671" xr:uid="{5B7E4667-509F-4D0A-B77D-92181B74EF21}"/>
    <cellStyle name="Normal 2 4 2" xfId="1672" xr:uid="{60851A49-39A4-46DA-9EC9-1249B74F88BA}"/>
    <cellStyle name="Normal 2 4 3" xfId="1673" xr:uid="{B87C11F6-979A-4862-8D4F-7CD54FE420A6}"/>
    <cellStyle name="Normal 2 5" xfId="1674" xr:uid="{6D94C641-C9E1-4E80-8873-4ABF80E050AE}"/>
    <cellStyle name="Normal 2 5 2" xfId="1675" xr:uid="{BC7C95FA-456D-4C85-B9CF-C7E5D1289067}"/>
    <cellStyle name="Normal 2 5 3" xfId="1676" xr:uid="{89B69AFE-47A7-42ED-9A99-BF27A2375B55}"/>
    <cellStyle name="Normal 2 5 3 2" xfId="1677" xr:uid="{956D25F0-9478-4134-8219-E8747AB9EE22}"/>
    <cellStyle name="Normal 2 5 3 2 2" xfId="1678" xr:uid="{DDE2A3D1-C511-459F-AABF-D906FE520F26}"/>
    <cellStyle name="Normal 2 5 3 3" xfId="1679" xr:uid="{A9E769E5-968E-4DAB-8D75-D640C4FC4B0A}"/>
    <cellStyle name="Normal 2 5 3 3 2" xfId="1680" xr:uid="{9C925FEF-D087-40F3-8381-4063F4DC1363}"/>
    <cellStyle name="Normal 2 5 3 4" xfId="1681" xr:uid="{7EB3F41E-5764-499C-962F-30C31162AC6D}"/>
    <cellStyle name="Normal 2 6" xfId="1682" xr:uid="{AC37453E-0B47-4955-AD02-8CCD1CF4440B}"/>
    <cellStyle name="Normal 2 7" xfId="1683" xr:uid="{D3F9B602-58AB-4F67-9A23-92593D4C055D}"/>
    <cellStyle name="Normal 2 8" xfId="1684" xr:uid="{241DC589-FDD7-44B7-9382-782F480BAD54}"/>
    <cellStyle name="Normal 2 9" xfId="3531" xr:uid="{4736F8F5-BE10-473E-B9C3-9BD9B044F8D2}"/>
    <cellStyle name="Normal 2_ANNÉE 2015" xfId="1685" xr:uid="{ECFD4568-9727-4428-9672-8F4DA12AEDB6}"/>
    <cellStyle name="Normal 20" xfId="1686" xr:uid="{4E8A30A5-A21D-44E8-932C-3BE0C9433CD4}"/>
    <cellStyle name="Normal 20 2" xfId="1687" xr:uid="{09E68F56-BC46-4309-90EF-A8DB77542758}"/>
    <cellStyle name="Normal 20 3" xfId="1688" xr:uid="{E6C66597-2A36-4681-8209-F98CFB7E6CDE}"/>
    <cellStyle name="Normal 21" xfId="1689" xr:uid="{9298FC7D-8A60-41C9-8A0A-2EAFADC7BE50}"/>
    <cellStyle name="Normal 21 2" xfId="1690" xr:uid="{125998F6-28C0-453D-81C0-6F9BA4DD420E}"/>
    <cellStyle name="Normal 21 3" xfId="1691" xr:uid="{2B6B1FAC-CC5A-49DE-ADCE-6D74084468C7}"/>
    <cellStyle name="Normal 22" xfId="1692" xr:uid="{2712A83A-45D6-427D-8947-9A33C9D5C3A3}"/>
    <cellStyle name="Normal 22 2" xfId="1693" xr:uid="{50B4E96E-18CE-48D6-8E47-AFC9662382C4}"/>
    <cellStyle name="Normal 22 3" xfId="1694" xr:uid="{3CE99964-A6F2-46CF-BDE0-97BB6118EF5E}"/>
    <cellStyle name="Normal 23" xfId="1695" xr:uid="{EDA6D4AE-4B25-4557-B76D-88CB7500A1FD}"/>
    <cellStyle name="Normal 23 2" xfId="1696" xr:uid="{AFFF4830-EBC1-4939-8E0D-8B852ADEA84A}"/>
    <cellStyle name="Normal 23 3" xfId="1697" xr:uid="{82F2DF07-1618-4388-9C39-015B0B589225}"/>
    <cellStyle name="Normal 24" xfId="1698" xr:uid="{4D9175E1-2C52-4859-AE82-FB9D124A7834}"/>
    <cellStyle name="Normal 24 2" xfId="1699" xr:uid="{01C58A7E-E2F7-428E-9A65-7142449E546F}"/>
    <cellStyle name="Normal 24 3" xfId="1700" xr:uid="{B6035A3F-0EA5-417A-AB63-457CDA9CE633}"/>
    <cellStyle name="Normal 25" xfId="1701" xr:uid="{693C4DB8-7A9F-430E-9F63-4C7E0A3B1C37}"/>
    <cellStyle name="Normal 25 2" xfId="1702" xr:uid="{B9A84EAA-E0C9-4D58-87F2-30DDEA330425}"/>
    <cellStyle name="Normal 25 3" xfId="1703" xr:uid="{8140F79B-EF76-4C1C-AD61-429210A14C1E}"/>
    <cellStyle name="Normal 26" xfId="1704" xr:uid="{51867A61-895F-4BA9-A382-319668587B40}"/>
    <cellStyle name="Normal 26 2" xfId="1705" xr:uid="{733C35F3-367F-4EAA-AF77-CE0337916D71}"/>
    <cellStyle name="Normal 26 3" xfId="1706" xr:uid="{5F7542F2-74C1-46F1-A7A4-6ECA0B535975}"/>
    <cellStyle name="Normal 27" xfId="1707" xr:uid="{F7D1809C-0276-4BB1-B77D-1B80BC227C8E}"/>
    <cellStyle name="Normal 27 2" xfId="1708" xr:uid="{5AD9F5DF-EE27-4ECA-8611-98717C5FA3C5}"/>
    <cellStyle name="Normal 27 3" xfId="1709" xr:uid="{2DC25970-B7FF-4CE4-9A0E-FE77BD8BD293}"/>
    <cellStyle name="Normal 28" xfId="1710" xr:uid="{21459402-D323-406C-9E02-9A23329F936D}"/>
    <cellStyle name="Normal 28 2" xfId="1711" xr:uid="{003114E9-EA8E-43DD-A8BD-632B8685A3BF}"/>
    <cellStyle name="Normal 28 3" xfId="1712" xr:uid="{BFA8EE0B-7807-4CF5-9F56-C8B2674CFB78}"/>
    <cellStyle name="Normal 29" xfId="1713" xr:uid="{03B80DC9-2733-4FA3-BEEE-6AA847FC2C54}"/>
    <cellStyle name="Normal 29 2" xfId="1714" xr:uid="{18007BC8-8079-41F7-A39E-19A7C9E4AD84}"/>
    <cellStyle name="Normal 29 2 2" xfId="1715" xr:uid="{B26CD528-DFF0-444C-A02F-172E68823A31}"/>
    <cellStyle name="Normal 29 2 2 2" xfId="1716" xr:uid="{02E8A6A4-B36A-4325-965F-7E9A357E8104}"/>
    <cellStyle name="Normal 29 2 3" xfId="1717" xr:uid="{A5EA41F5-1D64-49F4-B3D4-F50386A9A0D0}"/>
    <cellStyle name="Normal 29 2 3 2" xfId="1718" xr:uid="{F0E45FE7-26A5-48F4-85D8-5A9F89C64504}"/>
    <cellStyle name="Normal 29 2 4" xfId="1719" xr:uid="{B9457806-E608-4206-830E-3AB15CE3A2C3}"/>
    <cellStyle name="Normal 3" xfId="51" xr:uid="{00000000-0005-0000-0000-000058000000}"/>
    <cellStyle name="Normal 3 2" xfId="1721" xr:uid="{9BE6F855-E213-4AE3-8FF1-A6A7349BF002}"/>
    <cellStyle name="Normal 3 2 2" xfId="1722" xr:uid="{19DB6E27-4169-4731-B6D3-55928120D1D3}"/>
    <cellStyle name="Normal 3 2 3" xfId="1723" xr:uid="{B8DF24AC-B6D5-447B-A486-F908E675BCFA}"/>
    <cellStyle name="Normal 3 2 4" xfId="3540" xr:uid="{3B66A013-650C-4499-A02E-E6388353492C}"/>
    <cellStyle name="Normal 3 3" xfId="1724" xr:uid="{91DC8CD7-32C2-4923-A174-23EE1983F0D6}"/>
    <cellStyle name="Normal 3 3 2" xfId="1725" xr:uid="{16D8A95E-E9D0-48E7-8C6E-CC336FFE711D}"/>
    <cellStyle name="Normal 3 3 3" xfId="1726" xr:uid="{8E2C9F14-6B55-4A98-AB9C-CE4C409E2971}"/>
    <cellStyle name="Normal 3 3 4" xfId="3542" xr:uid="{35C868AD-7DE9-4161-8E03-0942A6DE85DB}"/>
    <cellStyle name="Normal 3 4" xfId="1727" xr:uid="{D396419A-6B82-492F-A8D2-31B84FDC6338}"/>
    <cellStyle name="Normal 3 4 2" xfId="1728" xr:uid="{052B59CD-4226-4775-B614-1DE950567C14}"/>
    <cellStyle name="Normal 3 4 3" xfId="1729" xr:uid="{3A519476-BC66-4995-96A3-40E8E9976D63}"/>
    <cellStyle name="Normal 3 4 4" xfId="3538" xr:uid="{AECE6189-B853-453E-B37C-17D76F6ABFF6}"/>
    <cellStyle name="Normal 3 5" xfId="1730" xr:uid="{D836380C-E1DD-4495-B669-B1F78A60C034}"/>
    <cellStyle name="Normal 3 5 2" xfId="1731" xr:uid="{70728E68-EE1D-41A0-B779-09D73B3D0425}"/>
    <cellStyle name="Normal 3 5 3" xfId="1732" xr:uid="{539122F8-1D40-4CE6-A9B1-F5FBF0E7A7CD}"/>
    <cellStyle name="Normal 3 6" xfId="1733" xr:uid="{AEBFF342-9D36-4F4A-B781-D3885A17C68D}"/>
    <cellStyle name="Normal 3 7" xfId="1734" xr:uid="{D1FA9B76-6465-4ED4-9344-627CEE2E8DCC}"/>
    <cellStyle name="Normal 3 8" xfId="1720" xr:uid="{FBD391C2-C3B2-40CA-BD64-75346A3BBC55}"/>
    <cellStyle name="Normal 3_ANNÉE 2015" xfId="1735" xr:uid="{C9BC1CCC-C665-4B77-8060-3CF2D8B5EF1A}"/>
    <cellStyle name="Normal 30" xfId="1736" xr:uid="{7D1BCBB0-0700-4FEC-8709-F815D4B6774F}"/>
    <cellStyle name="Normal 31" xfId="1737" xr:uid="{82373A0F-04EC-47FD-A42F-D3D16E2BC6D5}"/>
    <cellStyle name="Normal 32" xfId="160" xr:uid="{00000000-0005-0000-0000-000059000000}"/>
    <cellStyle name="Normal 32 2" xfId="1738" xr:uid="{DBEB8282-5D3C-4464-8FCE-EEC6022FEB7B}"/>
    <cellStyle name="Normal 33" xfId="1739" xr:uid="{05E0B280-345B-472A-851D-74CF107008B0}"/>
    <cellStyle name="Normal 34" xfId="1740" xr:uid="{89A9415C-E7A6-4EDC-BE28-09126B1F3471}"/>
    <cellStyle name="Normal 4" xfId="50" xr:uid="{00000000-0005-0000-0000-00005A000000}"/>
    <cellStyle name="Normal 4 2" xfId="64" xr:uid="{00000000-0005-0000-0000-00005B000000}"/>
    <cellStyle name="Normal 4 2 2" xfId="80" xr:uid="{00000000-0005-0000-0000-00005C000000}"/>
    <cellStyle name="Normal 4 2 2 2" xfId="107" xr:uid="{00000000-0005-0000-0000-00005D000000}"/>
    <cellStyle name="Normal 4 2 2 2 2" xfId="149" xr:uid="{00000000-0005-0000-0000-00005E000000}"/>
    <cellStyle name="Normal 4 2 2 3" xfId="128" xr:uid="{00000000-0005-0000-0000-00005F000000}"/>
    <cellStyle name="Normal 4 2 2 4" xfId="1743" xr:uid="{177A318D-311A-4342-AD2F-3191B5AE3488}"/>
    <cellStyle name="Normal 4 2 3" xfId="83" xr:uid="{00000000-0005-0000-0000-000060000000}"/>
    <cellStyle name="Normal 4 2 3 2" xfId="131" xr:uid="{00000000-0005-0000-0000-000061000000}"/>
    <cellStyle name="Normal 4 2 3 3" xfId="1744" xr:uid="{A78EE60B-CB0B-47BB-B17A-A381E7732EF2}"/>
    <cellStyle name="Normal 4 2 4" xfId="110" xr:uid="{00000000-0005-0000-0000-000062000000}"/>
    <cellStyle name="Normal 4 2 5" xfId="1742" xr:uid="{77C99786-D346-4E8E-A35E-D9A0EAEDBDFD}"/>
    <cellStyle name="Normal 4 3" xfId="70" xr:uid="{00000000-0005-0000-0000-000063000000}"/>
    <cellStyle name="Normal 4 3 2" xfId="99" xr:uid="{00000000-0005-0000-0000-000064000000}"/>
    <cellStyle name="Normal 4 3 2 2" xfId="147" xr:uid="{00000000-0005-0000-0000-000065000000}"/>
    <cellStyle name="Normal 4 3 2 3" xfId="1746" xr:uid="{663A9E2D-B32A-4846-B308-05CA91A76C65}"/>
    <cellStyle name="Normal 4 3 3" xfId="126" xr:uid="{00000000-0005-0000-0000-000066000000}"/>
    <cellStyle name="Normal 4 3 3 2" xfId="1747" xr:uid="{A9494A9F-1E0C-47F6-91CB-62B846AEF528}"/>
    <cellStyle name="Normal 4 3 4" xfId="1745" xr:uid="{866D4226-61AB-4AD2-8934-42144A0763B9}"/>
    <cellStyle name="Normal 4 4" xfId="81" xr:uid="{00000000-0005-0000-0000-000067000000}"/>
    <cellStyle name="Normal 4 4 2" xfId="129" xr:uid="{00000000-0005-0000-0000-000068000000}"/>
    <cellStyle name="Normal 4 4 2 2" xfId="1749" xr:uid="{53AD0DD0-81FB-433A-B176-23A538567EE2}"/>
    <cellStyle name="Normal 4 4 3" xfId="1750" xr:uid="{CFF63F1F-2497-4291-AAB8-ED11BABCCEB0}"/>
    <cellStyle name="Normal 4 4 4" xfId="1748" xr:uid="{C9DAE9E4-82C3-499E-9DA0-ED0612A72E70}"/>
    <cellStyle name="Normal 4 5" xfId="108" xr:uid="{00000000-0005-0000-0000-000069000000}"/>
    <cellStyle name="Normal 4 5 2" xfId="1752" xr:uid="{C9528FA7-50CB-413B-AE25-7760FEA69261}"/>
    <cellStyle name="Normal 4 5 3" xfId="1753" xr:uid="{331ECA26-1F78-4EC0-B800-24DC76ED8615}"/>
    <cellStyle name="Normal 4 5 3 2" xfId="1754" xr:uid="{717EA96F-C7AC-45C7-9BE9-06CC0945A82E}"/>
    <cellStyle name="Normal 4 5 3 2 2" xfId="1755" xr:uid="{5F72A1B3-0F5F-46DB-BCF1-AFF5F3E39098}"/>
    <cellStyle name="Normal 4 5 3 3" xfId="1756" xr:uid="{5568FABC-F380-4807-B56E-887A5528B0C0}"/>
    <cellStyle name="Normal 4 5 3 3 2" xfId="1757" xr:uid="{A59610EF-AD4D-4026-B9AD-C65A6198EAC3}"/>
    <cellStyle name="Normal 4 5 3 4" xfId="1758" xr:uid="{382326AE-7F53-4C0B-9CE5-4478D53E376E}"/>
    <cellStyle name="Normal 4 5 4" xfId="1751" xr:uid="{258999B7-6A66-4EFE-8446-9D585CD8A918}"/>
    <cellStyle name="Normal 4 6" xfId="1759" xr:uid="{17B2537F-6FD2-4527-8EC0-D3EFF2673528}"/>
    <cellStyle name="Normal 4 7" xfId="1760" xr:uid="{E493F178-4046-4C84-8249-6A57C1EE0897}"/>
    <cellStyle name="Normal 4 8" xfId="1761" xr:uid="{243F52A7-7E15-4165-94E8-E25B5C6AB17F}"/>
    <cellStyle name="Normal 4 9" xfId="1741" xr:uid="{3666554A-E8CC-408D-8ED7-61C41542192F}"/>
    <cellStyle name="Normal 4_ANNÉE 2015" xfId="1762" xr:uid="{1598A140-0270-483F-9F61-B93C26BCAF63}"/>
    <cellStyle name="Normal 45" xfId="3548" xr:uid="{F25B18FD-8EB7-4D67-A3B3-F89FB657D518}"/>
    <cellStyle name="Normal 5" xfId="55" xr:uid="{00000000-0005-0000-0000-00006A000000}"/>
    <cellStyle name="Normal 5 2" xfId="1764" xr:uid="{A689D0E5-51C1-4984-B5BD-82FDABA0BF77}"/>
    <cellStyle name="Normal 5 2 2" xfId="1765" xr:uid="{81AB8135-CB2E-4FD8-ABA6-E748ED5B75E7}"/>
    <cellStyle name="Normal 5 2 3" xfId="1766" xr:uid="{15044399-1606-4099-ACA5-BF77D45FD2DE}"/>
    <cellStyle name="Normal 5 3" xfId="1767" xr:uid="{2B1256EF-F78B-4998-BA05-86AA5BC4CB74}"/>
    <cellStyle name="Normal 5 3 2" xfId="1768" xr:uid="{D737B853-993F-4238-A455-ED4C26EA0FCB}"/>
    <cellStyle name="Normal 5 3 3" xfId="1769" xr:uid="{E64BF5A4-F82F-4421-A54F-1B9D80D34452}"/>
    <cellStyle name="Normal 5 3 3 2" xfId="1770" xr:uid="{E59232FF-17CD-4A25-81E3-96BFD7FEDC6D}"/>
    <cellStyle name="Normal 5 3 3 2 2" xfId="1771" xr:uid="{29F90E1B-3D66-4304-A9AB-3F2B3295DDBD}"/>
    <cellStyle name="Normal 5 3 3 3" xfId="1772" xr:uid="{8A6168F3-D797-4C34-B503-DFF8A4FC0A10}"/>
    <cellStyle name="Normal 5 3 3 3 2" xfId="1773" xr:uid="{BB7AAD08-5E29-4B0F-B1E3-683EC6113D5D}"/>
    <cellStyle name="Normal 5 3 3 4" xfId="1774" xr:uid="{E5F29476-C189-4C60-A247-CD92E1B544C9}"/>
    <cellStyle name="Normal 5 4" xfId="1775" xr:uid="{324B0075-C948-40EE-AB59-0D9DF33837EF}"/>
    <cellStyle name="Normal 5 4 2" xfId="1776" xr:uid="{A3D12182-EB92-4E22-9265-018D7528C3CF}"/>
    <cellStyle name="Normal 5 4 3" xfId="1777" xr:uid="{460D6107-12DD-495E-A12B-B773280FDF70}"/>
    <cellStyle name="Normal 5 5" xfId="1778" xr:uid="{5E204F2C-477D-428B-8720-91469A7093C1}"/>
    <cellStyle name="Normal 5 6" xfId="1779" xr:uid="{1E90A49F-1A28-4358-879C-9BB22E637DD9}"/>
    <cellStyle name="Normal 5 7" xfId="1763" xr:uid="{915A0085-7679-45E0-B5F6-CCC5BEEA82BD}"/>
    <cellStyle name="Normal 5_ANNÉE 2015" xfId="1780" xr:uid="{8BC155B6-B52D-42F3-95ED-ABFAD4CE978A}"/>
    <cellStyle name="Normal 6" xfId="54" xr:uid="{00000000-0005-0000-0000-00006B000000}"/>
    <cellStyle name="Normal 6 2" xfId="73" xr:uid="{00000000-0005-0000-0000-00006C000000}"/>
    <cellStyle name="Normal 6 2 2" xfId="100" xr:uid="{00000000-0005-0000-0000-00006D000000}"/>
    <cellStyle name="Normal 6 2 2 2" xfId="148" xr:uid="{00000000-0005-0000-0000-00006E000000}"/>
    <cellStyle name="Normal 6 2 2 3" xfId="1783" xr:uid="{45C32BDB-99B3-424A-92E2-B5178953841C}"/>
    <cellStyle name="Normal 6 2 3" xfId="127" xr:uid="{00000000-0005-0000-0000-00006F000000}"/>
    <cellStyle name="Normal 6 2 3 2" xfId="1784" xr:uid="{4E94F87F-5D4E-4538-B01B-710A487158DD}"/>
    <cellStyle name="Normal 6 2 4" xfId="1782" xr:uid="{6342154F-746C-4042-B353-8124E1A5E7A8}"/>
    <cellStyle name="Normal 6 3" xfId="82" xr:uid="{00000000-0005-0000-0000-000070000000}"/>
    <cellStyle name="Normal 6 3 2" xfId="130" xr:uid="{00000000-0005-0000-0000-000071000000}"/>
    <cellStyle name="Normal 6 3 2 2" xfId="1786" xr:uid="{49E14561-5696-4E3F-A22B-3FACB8BFBB38}"/>
    <cellStyle name="Normal 6 3 3" xfId="1787" xr:uid="{BA902B45-C877-43A6-BE2B-90F3C18B68E6}"/>
    <cellStyle name="Normal 6 3 3 2" xfId="1788" xr:uid="{A0F1D387-54E2-4692-96F5-2EDE4EAAABE7}"/>
    <cellStyle name="Normal 6 3 3 2 2" xfId="1789" xr:uid="{2C195BA1-CF84-4063-837C-6DAD8E0E91CE}"/>
    <cellStyle name="Normal 6 3 3 3" xfId="1790" xr:uid="{AFC5EF64-B574-49A9-8107-9DB29E55D891}"/>
    <cellStyle name="Normal 6 3 3 3 2" xfId="1791" xr:uid="{E0AFE302-9A02-4082-8016-694EAA808336}"/>
    <cellStyle name="Normal 6 3 3 4" xfId="1792" xr:uid="{BE6A3805-1EAF-4615-A4F3-8019A572D7B8}"/>
    <cellStyle name="Normal 6 3 4" xfId="1785" xr:uid="{5EF8E132-4E43-4698-9B02-6487359205BB}"/>
    <cellStyle name="Normal 6 4" xfId="109" xr:uid="{00000000-0005-0000-0000-000072000000}"/>
    <cellStyle name="Normal 6 4 2" xfId="1794" xr:uid="{98B4E071-C308-4D06-BA56-68A2039D2613}"/>
    <cellStyle name="Normal 6 4 3" xfId="1795" xr:uid="{12B22ADC-BE78-438D-A6DB-84EA444AA0C9}"/>
    <cellStyle name="Normal 6 4 3 2" xfId="1796" xr:uid="{D0171FE2-238F-4976-87EC-933C48073225}"/>
    <cellStyle name="Normal 6 4 3 2 2" xfId="1797" xr:uid="{15AC90CB-B696-4398-A1D0-D99B773F4FE8}"/>
    <cellStyle name="Normal 6 4 3 3" xfId="1798" xr:uid="{F86A3356-3DD3-455C-996B-D83C338B9BB6}"/>
    <cellStyle name="Normal 6 4 3 3 2" xfId="1799" xr:uid="{00FC6A32-0B0C-4E98-8AF3-980284D1281B}"/>
    <cellStyle name="Normal 6 4 3 4" xfId="1800" xr:uid="{794F8EAC-095A-4AF7-922F-D7E377083E67}"/>
    <cellStyle name="Normal 6 4 4" xfId="1793" xr:uid="{75C927D3-353D-40B3-A2A7-76E2F696AD97}"/>
    <cellStyle name="Normal 6 5" xfId="1801" xr:uid="{316E0F6B-A4D8-4C9C-8FD9-5E7AE55EA962}"/>
    <cellStyle name="Normal 6 6" xfId="1802" xr:uid="{6C8C7C61-D5D4-4FD1-B81E-A45C8A02581A}"/>
    <cellStyle name="Normal 6 6 2" xfId="1803" xr:uid="{0B99DE32-FC7B-4C14-84A2-8DA16CF3262F}"/>
    <cellStyle name="Normal 6 6 2 2" xfId="1804" xr:uid="{6C5319C4-9866-4520-AFC4-4BE0B1529782}"/>
    <cellStyle name="Normal 6 6 3" xfId="1805" xr:uid="{A0A9F53F-6433-4387-92BF-15DEADEF22FA}"/>
    <cellStyle name="Normal 6 6 3 2" xfId="1806" xr:uid="{61062157-8EDD-4A08-AF38-395E9FE6DA03}"/>
    <cellStyle name="Normal 6 6 4" xfId="1807" xr:uid="{31BAC199-A956-4A16-A5D5-6D076CDE6850}"/>
    <cellStyle name="Normal 6 7" xfId="1781" xr:uid="{FE897A34-CF29-4385-8E81-F3C8AB08F86C}"/>
    <cellStyle name="Normal 6_ANNÉE 2015" xfId="1808" xr:uid="{71F91DE5-A53F-4449-B28F-56D66763D7BE}"/>
    <cellStyle name="Normal 7" xfId="71" xr:uid="{00000000-0005-0000-0000-000073000000}"/>
    <cellStyle name="Normal 7 2" xfId="1810" xr:uid="{5842CFF0-7438-40DA-BE12-8624350B3276}"/>
    <cellStyle name="Normal 7 3" xfId="1811" xr:uid="{B9EAFF19-4D2C-45EB-8935-0B0C224DA6AE}"/>
    <cellStyle name="Normal 7 4" xfId="1809" xr:uid="{5622A637-8AE5-496A-A731-B97BF208D685}"/>
    <cellStyle name="Normal 8" xfId="66" xr:uid="{00000000-0005-0000-0000-000074000000}"/>
    <cellStyle name="Normal 8 2" xfId="96" xr:uid="{00000000-0005-0000-0000-000075000000}"/>
    <cellStyle name="Normal 8 2 2" xfId="144" xr:uid="{00000000-0005-0000-0000-000076000000}"/>
    <cellStyle name="Normal 8 2 3" xfId="1813" xr:uid="{B647D293-372C-478B-B665-773E6DF225CC}"/>
    <cellStyle name="Normal 8 3" xfId="123" xr:uid="{00000000-0005-0000-0000-000077000000}"/>
    <cellStyle name="Normal 8 3 2" xfId="1814" xr:uid="{BDD9FB0B-5A0F-4B45-B4D5-06B47E531610}"/>
    <cellStyle name="Normal 8 4" xfId="1812" xr:uid="{7507F91B-D06C-4B48-B8A2-88D78301DBD7}"/>
    <cellStyle name="Normal 9" xfId="150" xr:uid="{00000000-0005-0000-0000-000078000000}"/>
    <cellStyle name="Normal 9 2" xfId="1816" xr:uid="{1F76B5EA-AC2B-4D45-829A-9C4C3051C4A3}"/>
    <cellStyle name="Normal 9 3" xfId="1817" xr:uid="{1603E793-BA3D-4AD2-B3AB-74FAF0D6EA5E}"/>
    <cellStyle name="Normal 9 3 2" xfId="1818" xr:uid="{628E42AB-4BFB-4202-B345-CCD9CF33D6D1}"/>
    <cellStyle name="Normal 9 3 2 2" xfId="1819" xr:uid="{3BD78396-2D78-4F7D-9C55-0B475F317812}"/>
    <cellStyle name="Normal 9 3 3" xfId="1820" xr:uid="{151626AC-C714-4D46-9CBF-68BBD7ADEFD1}"/>
    <cellStyle name="Normal 9 3 3 2" xfId="1821" xr:uid="{4CA03117-C4B5-4C5D-BAF6-D4DBA91160F6}"/>
    <cellStyle name="Normal 9 3 4" xfId="1822" xr:uid="{5D517881-E009-442A-8A83-E23731DFDA11}"/>
    <cellStyle name="Normal 9 4" xfId="1815" xr:uid="{928955ED-B41E-4657-AFFC-24D37A3E74FC}"/>
    <cellStyle name="Normal GHG Numbers (0.00)" xfId="1823" xr:uid="{6F67759A-4147-446B-B050-E5075868D513}"/>
    <cellStyle name="Normal GHG Numbers (0.00) 2" xfId="1824" xr:uid="{A9AE8B7E-9D90-4046-960A-14C30AE7AC30}"/>
    <cellStyle name="Normal GHG Numbers (0.00) 3" xfId="1825" xr:uid="{A5077666-76C9-4D1E-8ECC-8EE7001E1073}"/>
    <cellStyle name="Normale" xfId="1826" xr:uid="{3F66A311-B5AD-4AFA-B468-ED6640D70CF7}"/>
    <cellStyle name="Normale 2" xfId="1827" xr:uid="{5EEC2B7E-72CD-4E90-929A-442748B5BB69}"/>
    <cellStyle name="Normale 2 2" xfId="1828" xr:uid="{AA3A008A-3789-47F4-8B82-C25AC9A16AFE}"/>
    <cellStyle name="Normale 3" xfId="1829" xr:uid="{A0F3D255-AFBA-4D0D-9F18-9605C5C3F1B6}"/>
    <cellStyle name="Normale 4" xfId="1830" xr:uid="{BB0D26F9-E909-413E-9B24-F03EBFAF52CB}"/>
    <cellStyle name="Nota" xfId="1831" xr:uid="{7D400930-BCA9-483C-A797-A94308974461}"/>
    <cellStyle name="Nota 2" xfId="1832" xr:uid="{DBDBE2DB-B09F-436E-9BAF-3ABC8B98B3B9}"/>
    <cellStyle name="Nota 3" xfId="1833" xr:uid="{463B5510-687C-45A6-A5DA-1F822A13D0E9}"/>
    <cellStyle name="Notas" xfId="1834" xr:uid="{66BCF27E-A681-47D9-9A0D-A8C3A8E4E15D}"/>
    <cellStyle name="Notas 2" xfId="1835" xr:uid="{2421A809-5359-466B-8238-835DD2C8EDFD}"/>
    <cellStyle name="Notas 3" xfId="1836" xr:uid="{2ABAC353-F52B-49FB-9BAF-D172EB30CDC1}"/>
    <cellStyle name="Note" xfId="164" builtinId="10" customBuiltin="1"/>
    <cellStyle name="Note 1" xfId="159" xr:uid="{00000000-0005-0000-0000-000079000000}"/>
    <cellStyle name="note 1 2" xfId="1838" xr:uid="{13396688-B30C-42E0-AC01-33728AC376F5}"/>
    <cellStyle name="note 1 3" xfId="1839" xr:uid="{B5F3EA0C-A7A4-4825-9BD5-2B0C0242222E}"/>
    <cellStyle name="note 1 4" xfId="1837" xr:uid="{B7AF90D9-A1EF-4EC7-848A-D015A3AE6954}"/>
    <cellStyle name="Note 2" xfId="1840" xr:uid="{5AFDB50B-23B6-4CEA-B2B4-F9057BC78A70}"/>
    <cellStyle name="Note 2 2" xfId="1841" xr:uid="{4620A39A-767F-4892-B50A-6A8F008B18E0}"/>
    <cellStyle name="Note 2 2 2" xfId="166" xr:uid="{CBBB12F8-7215-4176-AFCD-B4E33CCA6F3E}"/>
    <cellStyle name="Note 2 3" xfId="1842" xr:uid="{6A413F93-CD19-4766-8AD0-6AEF26633289}"/>
    <cellStyle name="note 3" xfId="1843" xr:uid="{13B765CA-D21F-42BC-AF06-B81A7B4D3B2C}"/>
    <cellStyle name="note 3 2" xfId="1844" xr:uid="{5C84628A-D3A8-4B45-BA3F-A98316D90518}"/>
    <cellStyle name="note 3 3" xfId="1845" xr:uid="{BDA054A4-8754-45CA-B5AA-642F981A6288}"/>
    <cellStyle name="num_note" xfId="1846" xr:uid="{22851D24-B9A5-4DA6-9110-988A354D9F5B}"/>
    <cellStyle name="N䃯rmal_la䇲oux_larou᷸" xfId="1847" xr:uid="{2256B8A1-6F0B-4A20-867F-C663D0BDF292}"/>
    <cellStyle name="Onglet" xfId="43" xr:uid="{00000000-0005-0000-0000-00007A000000}"/>
    <cellStyle name="Onglet 2" xfId="58" xr:uid="{00000000-0005-0000-0000-00007B000000}"/>
    <cellStyle name="Onglet 2 2" xfId="74" xr:uid="{00000000-0005-0000-0000-00007C000000}"/>
    <cellStyle name="Onglet 2 2 2" xfId="101" xr:uid="{00000000-0005-0000-0000-00007D000000}"/>
    <cellStyle name="Output" xfId="1848" xr:uid="{CA409984-138E-4E7A-AD88-033A63F2F127}"/>
    <cellStyle name="Output 2" xfId="1849" xr:uid="{E79B41E9-27BB-4880-ADCA-D02756FB80A7}"/>
    <cellStyle name="Output 3" xfId="1850" xr:uid="{3FA306D9-6835-4171-B8EA-2BE75332F958}"/>
    <cellStyle name="Percent 2" xfId="1851" xr:uid="{C3EDDCE1-48A7-456D-AFE7-D3F64BE07891}"/>
    <cellStyle name="Poste" xfId="48" xr:uid="{00000000-0005-0000-0000-00007E000000}"/>
    <cellStyle name="Poste 2" xfId="63" xr:uid="{00000000-0005-0000-0000-00007F000000}"/>
    <cellStyle name="Poste 2 2" xfId="79" xr:uid="{00000000-0005-0000-0000-000080000000}"/>
    <cellStyle name="Poste 2 2 2" xfId="106" xr:uid="{00000000-0005-0000-0000-000081000000}"/>
    <cellStyle name="Poste Ce" xfId="47" xr:uid="{00000000-0005-0000-0000-000082000000}"/>
    <cellStyle name="Poste Ce 2" xfId="62" xr:uid="{00000000-0005-0000-0000-000083000000}"/>
    <cellStyle name="Poste Ce 2 2" xfId="78" xr:uid="{00000000-0005-0000-0000-000084000000}"/>
    <cellStyle name="Poste Ce 2 2 2" xfId="105" xr:uid="{00000000-0005-0000-0000-000085000000}"/>
    <cellStyle name="Poste CO2e" xfId="44" xr:uid="{00000000-0005-0000-0000-000086000000}"/>
    <cellStyle name="Poste CO2e 2" xfId="59" xr:uid="{00000000-0005-0000-0000-000087000000}"/>
    <cellStyle name="Poste CO2e 2 2" xfId="75" xr:uid="{00000000-0005-0000-0000-000088000000}"/>
    <cellStyle name="Poste CO2e 2 2 2" xfId="102" xr:uid="{00000000-0005-0000-0000-000089000000}"/>
    <cellStyle name="Pourcentage" xfId="152" builtinId="5"/>
    <cellStyle name="Pourcentage 10" xfId="1853" xr:uid="{536550C5-F2ED-475B-859B-C109A14CF9C2}"/>
    <cellStyle name="Pourcentage 10 2" xfId="1854" xr:uid="{F4B3E084-8130-4827-B4E3-689BF5467102}"/>
    <cellStyle name="Pourcentage 10 3" xfId="1855" xr:uid="{B0355915-4BC4-4552-9929-183D65DE04E4}"/>
    <cellStyle name="Pourcentage 11" xfId="1856" xr:uid="{6C433E01-3D86-416A-8BF6-C574A605084B}"/>
    <cellStyle name="Pourcentage 11 2" xfId="1857" xr:uid="{57811676-D092-4E59-BED0-D82968FB7753}"/>
    <cellStyle name="Pourcentage 11 2 2" xfId="1858" xr:uid="{49A6F853-ABF1-4B37-85A7-D6769B177011}"/>
    <cellStyle name="Pourcentage 11 3" xfId="1859" xr:uid="{E3A1C6F0-CC3A-4C6A-BA7A-7D316A2E6F85}"/>
    <cellStyle name="Pourcentage 11 3 2" xfId="1860" xr:uid="{47B7E0F2-07E0-48F6-8787-8BFFAFFCBEEB}"/>
    <cellStyle name="Pourcentage 11 4" xfId="1861" xr:uid="{E1D358C6-A11D-4F2A-9FEF-726C9E34E24F}"/>
    <cellStyle name="Pourcentage 12" xfId="1862" xr:uid="{CEAD2E5C-D71D-41EE-B4B6-5BDA3D009E26}"/>
    <cellStyle name="Pourcentage 12 2" xfId="1863" xr:uid="{C33E4682-FA78-46CF-9B54-59DE3D2AF465}"/>
    <cellStyle name="Pourcentage 13" xfId="1864" xr:uid="{77D3E0AB-8BF5-4076-9F90-0CEC1049285C}"/>
    <cellStyle name="Pourcentage 13 2" xfId="1865" xr:uid="{3D02ECB9-2523-4C93-BE05-7EF62F62902F}"/>
    <cellStyle name="Pourcentage 14" xfId="1866" xr:uid="{976AB25B-70DE-46E2-98CE-32933D20DBDF}"/>
    <cellStyle name="Pourcentage 15" xfId="1867" xr:uid="{3D4478C1-A919-47A3-ABF3-D073C7277699}"/>
    <cellStyle name="Pourcentage 16" xfId="1852" xr:uid="{CF847E75-7990-4FC0-B66D-7EC1B9F32A6D}"/>
    <cellStyle name="Pourcentage 2" xfId="53" xr:uid="{00000000-0005-0000-0000-00008B000000}"/>
    <cellStyle name="Pourcentage 2 2" xfId="1869" xr:uid="{0DF1DB14-05C3-42B6-BE70-38538F4FD00E}"/>
    <cellStyle name="Pourcentage 2 2 2" xfId="1870" xr:uid="{B634B201-134F-4460-8960-917FF30C2122}"/>
    <cellStyle name="Pourcentage 2 2 3" xfId="1871" xr:uid="{FDACA9A6-8C6B-401E-A953-29C0984740EE}"/>
    <cellStyle name="Pourcentage 2 2 3 2" xfId="1872" xr:uid="{F216490A-A261-4012-A874-B394CF7285DC}"/>
    <cellStyle name="Pourcentage 2 2 3 2 2" xfId="1873" xr:uid="{8000739B-F7CC-4C86-83CE-8D62A5A300F6}"/>
    <cellStyle name="Pourcentage 2 2 3 3" xfId="1874" xr:uid="{548F32DC-C0F1-4B3F-8852-914E801CDCCF}"/>
    <cellStyle name="Pourcentage 2 2 3 3 2" xfId="1875" xr:uid="{EA9240E6-AD8F-47A6-A0E8-CBF52DFC38D9}"/>
    <cellStyle name="Pourcentage 2 2 3 4" xfId="1876" xr:uid="{3FF34A2D-9CBD-496B-92AA-11D2FBBCC178}"/>
    <cellStyle name="Pourcentage 2 3" xfId="1877" xr:uid="{1223892F-0299-40C3-8552-968BE6C383D8}"/>
    <cellStyle name="Pourcentage 2 4" xfId="1878" xr:uid="{5FDC8C56-5130-47D9-AEDF-5954A547957E}"/>
    <cellStyle name="Pourcentage 2 4 2 3 2" xfId="3557" xr:uid="{977D32BB-A5A9-4697-9CB0-0E7414F282BB}"/>
    <cellStyle name="Pourcentage 2 5" xfId="1868" xr:uid="{85E8051E-E8D1-408F-A5AA-92CF700C789A}"/>
    <cellStyle name="Pourcentage 2 6" xfId="1879" xr:uid="{7CF0886D-3DEE-41E9-99A2-B18C8689D84B}"/>
    <cellStyle name="Pourcentage 3" xfId="57" xr:uid="{00000000-0005-0000-0000-00008C000000}"/>
    <cellStyle name="Pourcentage 3 2" xfId="1881" xr:uid="{F0241E1D-3306-4C7C-AB6E-EED0960AE1CB}"/>
    <cellStyle name="Pourcentage 3 3" xfId="1882" xr:uid="{34EDC795-4329-4AA9-B058-5A4717D23968}"/>
    <cellStyle name="Pourcentage 3 4" xfId="1880" xr:uid="{77E473F3-998E-4DA6-9D1C-489E930E5489}"/>
    <cellStyle name="Pourcentage 4" xfId="72" xr:uid="{00000000-0005-0000-0000-00008D000000}"/>
    <cellStyle name="Pourcentage 4 2" xfId="1884" xr:uid="{ED239047-12EF-4A99-855D-BE6173913C04}"/>
    <cellStyle name="Pourcentage 4 2 2" xfId="1885" xr:uid="{75DA5A03-6AB4-468D-885F-BF865BC11669}"/>
    <cellStyle name="Pourcentage 4 2 3" xfId="1886" xr:uid="{213D1A8C-47B1-4DA5-8413-9B724CABCBBF}"/>
    <cellStyle name="Pourcentage 4 3" xfId="1887" xr:uid="{FE563036-257B-4527-833C-2DC99BDDF770}"/>
    <cellStyle name="Pourcentage 4 4" xfId="1888" xr:uid="{79DEF7E0-4071-4D82-ABD0-EC4E5C755E24}"/>
    <cellStyle name="Pourcentage 4 4 2" xfId="1889" xr:uid="{70FFDC59-23C1-4C7E-B291-2FE99404FC00}"/>
    <cellStyle name="Pourcentage 4 4 2 2" xfId="1890" xr:uid="{53ABFE0A-E7D9-481F-ACBA-EA88FA607637}"/>
    <cellStyle name="Pourcentage 4 4 3" xfId="1891" xr:uid="{3902664B-A24B-4C87-9F0A-BF026A56CEB1}"/>
    <cellStyle name="Pourcentage 4 4 3 2" xfId="1892" xr:uid="{2535CB30-EC1D-41DB-AB87-218312FD7F38}"/>
    <cellStyle name="Pourcentage 4 4 4" xfId="1893" xr:uid="{6D0A3BEF-4C46-49D2-8551-1D014E7F78B7}"/>
    <cellStyle name="Pourcentage 4 5" xfId="1883" xr:uid="{287B397F-F296-4A6F-A3F9-8BD2EBAF1265}"/>
    <cellStyle name="Pourcentage 5" xfId="67" xr:uid="{00000000-0005-0000-0000-00008E000000}"/>
    <cellStyle name="Pourcentage 5 2" xfId="97" xr:uid="{00000000-0005-0000-0000-00008F000000}"/>
    <cellStyle name="Pourcentage 5 2 2" xfId="145" xr:uid="{00000000-0005-0000-0000-000090000000}"/>
    <cellStyle name="Pourcentage 5 2 3" xfId="1895" xr:uid="{0A735593-B208-4135-9794-CCC7B974E13D}"/>
    <cellStyle name="Pourcentage 5 3" xfId="124" xr:uid="{00000000-0005-0000-0000-000091000000}"/>
    <cellStyle name="Pourcentage 5 3 2" xfId="1896" xr:uid="{B69A8BE7-E9D6-46B7-8B58-FD3F9CB793C1}"/>
    <cellStyle name="Pourcentage 5 4" xfId="1894" xr:uid="{9200CCCE-B42D-460B-B257-862CFFB66B91}"/>
    <cellStyle name="Pourcentage 6" xfId="42" xr:uid="{00000000-0005-0000-0000-000092000000}"/>
    <cellStyle name="Pourcentage 6 2" xfId="1898" xr:uid="{DBF2265B-7548-4413-8460-AEBCE30F394F}"/>
    <cellStyle name="Pourcentage 6 3" xfId="1899" xr:uid="{5343346D-E0D3-421A-883B-3E9A4EDB6794}"/>
    <cellStyle name="Pourcentage 6 4" xfId="1897" xr:uid="{C6111E0A-8DE9-450F-B066-45B6527FA7A6}"/>
    <cellStyle name="Pourcentage 7" xfId="1900" xr:uid="{7467275D-3A9C-47DE-A5E5-E18E0C38EBE4}"/>
    <cellStyle name="Pourcentage 7 2" xfId="1901" xr:uid="{F7934EE6-3128-4F86-90AE-0F2403212B28}"/>
    <cellStyle name="Pourcentage 7 3" xfId="1902" xr:uid="{824247B6-887E-4AF8-A74B-B151B588E8F6}"/>
    <cellStyle name="Pourcentage 8" xfId="161" xr:uid="{00000000-0005-0000-0000-000093000000}"/>
    <cellStyle name="Pourcentage 8 2" xfId="1904" xr:uid="{9DB2E7AE-443F-4F64-8825-CB215066C504}"/>
    <cellStyle name="Pourcentage 8 3" xfId="1905" xr:uid="{ABAEFBA8-3211-41BB-A7BF-9D8F123AD627}"/>
    <cellStyle name="Pourcentage 8 4" xfId="1903" xr:uid="{0690620A-426E-47E2-B17A-71AADAB303F7}"/>
    <cellStyle name="Pourcentage 9" xfId="1906" xr:uid="{7233372D-C312-4780-B8ED-2D3E68436A73}"/>
    <cellStyle name="Pourcentage 9 2" xfId="1907" xr:uid="{470C5D0E-1E68-4FD6-A3F9-88F2D8E7B012}"/>
    <cellStyle name="Pourcentage 9 3" xfId="1908" xr:uid="{DFE28153-5731-48BC-9B18-DBC02C8E55DC}"/>
    <cellStyle name="Remarque" xfId="1909" xr:uid="{D5EC157C-38CE-4CD1-AB4D-242D27A82E0B}"/>
    <cellStyle name="Remarque 2" xfId="1910" xr:uid="{5429393C-ED85-4754-8895-9A1E5094277B}"/>
    <cellStyle name="Remarque 2 2" xfId="1911" xr:uid="{1AD91408-D6EE-4C6E-9C7E-D4E109F1AF3D}"/>
    <cellStyle name="Remarque 2 3" xfId="1912" xr:uid="{32635C81-CB4D-43D1-B346-DCC1FF447AD1}"/>
    <cellStyle name="Remarque 3" xfId="1913" xr:uid="{723E9F6C-4FFB-4279-B285-2D3827672BF3}"/>
    <cellStyle name="Remarque 4" xfId="1914" xr:uid="{E8634E39-3F1D-46A1-AA55-FB679BDC9BE9}"/>
    <cellStyle name="Result" xfId="1915" xr:uid="{2E584EE4-6293-4F3B-93EC-1393C8E2CA78}"/>
    <cellStyle name="Result (user)" xfId="1916" xr:uid="{666209EC-AEF0-4ACA-AF05-32FAC9E8439E}"/>
    <cellStyle name="Result (user) 2" xfId="1917" xr:uid="{70455E89-E6B9-48E3-BBB9-12FAD70F5731}"/>
    <cellStyle name="Result (user) 3" xfId="1918" xr:uid="{2B0AF585-348F-422B-9E6F-B925133A7690}"/>
    <cellStyle name="Result 2" xfId="1919" xr:uid="{CD24D6A2-BB4C-47C7-8B95-31201FD6C279}"/>
    <cellStyle name="Result 3" xfId="1920" xr:uid="{8DB5E8F4-D7F4-4A20-808E-79340E62E7FA}"/>
    <cellStyle name="Result 4" xfId="1921" xr:uid="{FCC05703-B3B1-417D-97D8-AD5E1F022407}"/>
    <cellStyle name="Result 5" xfId="1922" xr:uid="{017EEC1E-E31D-44BC-9126-507645404B64}"/>
    <cellStyle name="Result2" xfId="1923" xr:uid="{59E9B4C8-4245-4C96-8AE4-CDDCCBE5DDCC}"/>
    <cellStyle name="Result2 (user)" xfId="1924" xr:uid="{E78E94C6-D063-461E-8493-5C2F36924F52}"/>
    <cellStyle name="Result2 (user) 2" xfId="1925" xr:uid="{BBBE8B0B-634F-4D40-A9FE-9F05BF1C77C7}"/>
    <cellStyle name="Result2 (user) 3" xfId="1926" xr:uid="{10370926-46FC-464A-81A0-C8DC90299EC4}"/>
    <cellStyle name="Result2 2" xfId="1927" xr:uid="{C23E28F4-5793-4CBF-AD4D-FFD71EB92B7C}"/>
    <cellStyle name="Result2 3" xfId="1928" xr:uid="{CA554861-74CB-4252-BF10-840400FA8163}"/>
    <cellStyle name="Result2 4" xfId="1929" xr:uid="{3022D2A1-A7E4-4E54-9D0E-148C0A4642CF}"/>
    <cellStyle name="Result2 5" xfId="1930" xr:uid="{B2F465E4-1869-44F7-A6FA-FC021E4A5261}"/>
    <cellStyle name="Résultat" xfId="3535" xr:uid="{488DB382-7DF3-40CA-AF3B-FCE167BB3D12}"/>
    <cellStyle name="Résultat2" xfId="3536" xr:uid="{E726B2FC-FFFD-4E4E-861C-93B5F8F494CA}"/>
    <cellStyle name="Salida" xfId="1931" xr:uid="{14FBAA1D-85A5-4072-A4F0-69B8735D627B}"/>
    <cellStyle name="Salida 2" xfId="1932" xr:uid="{AA080E12-7FA9-4585-88D5-125BFA9D9C69}"/>
    <cellStyle name="Salida 3" xfId="1933" xr:uid="{8572FCC1-4736-4B05-9E7E-A2DE2AC8A40E}"/>
    <cellStyle name="Satisfaisant" xfId="5" builtinId="26" customBuiltin="1"/>
    <cellStyle name="Satisfaisant 2" xfId="1934" xr:uid="{BA427FE5-B503-4C23-9942-C5056A1AECF9}"/>
    <cellStyle name="Satisfaisant 2 2" xfId="1935" xr:uid="{A822507C-3133-4D45-AB78-62233CA0149E}"/>
    <cellStyle name="Satisfaisant 2 3" xfId="1936" xr:uid="{BFAD6656-8771-4281-97B9-E785CB111346}"/>
    <cellStyle name="Sortie" xfId="9" builtinId="21" customBuiltin="1"/>
    <cellStyle name="Sortie 2" xfId="1937" xr:uid="{1DBD3CD9-98E8-47CD-9276-A5842071D49E}"/>
    <cellStyle name="Sortie 2 2" xfId="1938" xr:uid="{8200592C-2DC2-48F7-A801-3E3052933882}"/>
    <cellStyle name="Sortie 2 3" xfId="1939" xr:uid="{46276348-FDC9-45B2-A71C-E246FF2ACE89}"/>
    <cellStyle name="source" xfId="1940" xr:uid="{F69448CC-2C49-49C7-923C-EF2C4208F118}"/>
    <cellStyle name="source 2" xfId="1941" xr:uid="{0F417E04-E6B1-4C6F-945E-8DA5EB30AA61}"/>
    <cellStyle name="source 3" xfId="1942" xr:uid="{D5BEA6BD-4FBE-42AE-8AB3-313EA04A5AAA}"/>
    <cellStyle name="Sous-poste" xfId="45" xr:uid="{00000000-0005-0000-0000-000096000000}"/>
    <cellStyle name="Sous-poste 2" xfId="60" xr:uid="{00000000-0005-0000-0000-000097000000}"/>
    <cellStyle name="Sous-poste 2 2" xfId="76" xr:uid="{00000000-0005-0000-0000-000098000000}"/>
    <cellStyle name="Sous-poste 2 2 2" xfId="103" xr:uid="{00000000-0005-0000-0000-000099000000}"/>
    <cellStyle name="Standard_Mappe1" xfId="3529" xr:uid="{DFEB57B4-5CCB-482E-AED4-C8AB2BD55298}"/>
    <cellStyle name="Table du pilote - Catégorie" xfId="1943" xr:uid="{91132EA4-DEDF-4894-A051-64A0AE615352}"/>
    <cellStyle name="Table du pilote - Catégorie 2" xfId="1944" xr:uid="{CA6CF1EF-9271-4CF1-A1D2-F19227A2D2DC}"/>
    <cellStyle name="Table du pilote - Catégorie 3" xfId="1945" xr:uid="{EE3FE111-A0AA-40E0-9D93-1A9656172C3F}"/>
    <cellStyle name="Table du pilote - Champ" xfId="1946" xr:uid="{20AB9F54-B7A5-4692-A91E-42B38A67163D}"/>
    <cellStyle name="Table du pilote - Champ 2" xfId="1947" xr:uid="{FEF413A3-C046-4827-A629-5AAF4BBAC7CC}"/>
    <cellStyle name="Table du pilote - Champ 3" xfId="1948" xr:uid="{640F9D4E-3ED9-4D24-B01A-919FE85ED7BB}"/>
    <cellStyle name="Table du pilote - Coin" xfId="1949" xr:uid="{1F3ACFD2-3AA2-425D-9FC0-C1C3B7FA0600}"/>
    <cellStyle name="Table du pilote - Coin 2" xfId="1950" xr:uid="{25B1D693-342E-415B-BEB4-3D9EC33F18A6}"/>
    <cellStyle name="Table du pilote - Coin 3" xfId="1951" xr:uid="{0B4C045D-687A-409E-9F81-6E06A75F6F19}"/>
    <cellStyle name="Table du pilote - Résultat" xfId="1952" xr:uid="{93E4493C-2824-4AAF-A577-161DDC124166}"/>
    <cellStyle name="Table du pilote - Résultat 2" xfId="1953" xr:uid="{09B0FA27-6BC7-490A-915A-ED3DD5ED9698}"/>
    <cellStyle name="Table du pilote - Résultat 3" xfId="1954" xr:uid="{8B831E59-3089-4137-888D-3CAC3C84C9F1}"/>
    <cellStyle name="Table du pilote - Titre" xfId="1955" xr:uid="{C086B4F5-A583-411D-9EF7-857DA98A660F}"/>
    <cellStyle name="Table du pilote - Titre 2" xfId="1956" xr:uid="{60336AA5-D91A-40C5-82F2-6594ADB62BE6}"/>
    <cellStyle name="Table du pilote - Titre 3" xfId="1957" xr:uid="{7B203D97-ED08-4B56-BA74-A8F2C2562721}"/>
    <cellStyle name="Table du pilote - Valeur" xfId="1958" xr:uid="{F477B9F8-D900-47E2-AD3C-3AA23682DEFB}"/>
    <cellStyle name="Table du pilote - Valeur 2" xfId="1959" xr:uid="{76006A01-3FAF-4B06-96FB-5042ADDAC7FF}"/>
    <cellStyle name="Table du pilote - Valeur 3" xfId="1960" xr:uid="{4697D6F3-3DBD-419E-B25E-D81AA319B9F7}"/>
    <cellStyle name="tableau | cellule | (normal) | decimal 1" xfId="1961" xr:uid="{8C6D7091-4361-47D9-A589-5690E38A8F0B}"/>
    <cellStyle name="tableau | cellule | (normal) | decimal 1 2" xfId="1962" xr:uid="{2FA80771-236B-42BE-B89F-D6980FBEB257}"/>
    <cellStyle name="tableau | cellule | (normal) | decimal 1 2 2" xfId="1963" xr:uid="{C50DD4CB-D5C8-4048-BC6A-6FBCC55B6185}"/>
    <cellStyle name="tableau | cellule | (normal) | decimal 1 2 2 2" xfId="1964" xr:uid="{46C39E05-523C-476A-ABA6-1C2008FCC2BA}"/>
    <cellStyle name="tableau | cellule | (normal) | decimal 1 2 2 3" xfId="1965" xr:uid="{AB32971B-61C3-43B3-9F06-B915053ECB63}"/>
    <cellStyle name="tableau | cellule | (normal) | decimal 1 2 3" xfId="1966" xr:uid="{36B1543D-C135-407F-A0BE-3216A63D006A}"/>
    <cellStyle name="tableau | cellule | (normal) | decimal 1 2 4" xfId="1967" xr:uid="{7C669D2F-5AF7-41BB-AE84-CC29018E03B2}"/>
    <cellStyle name="tableau | cellule | (normal) | decimal 1 3" xfId="1968" xr:uid="{BFBA607F-6654-4A53-BCC1-51D6C766E43D}"/>
    <cellStyle name="tableau | cellule | (normal) | decimal 1 3 2" xfId="1969" xr:uid="{C3BB52FB-0BD9-428B-8390-F0D98476D215}"/>
    <cellStyle name="tableau | cellule | (normal) | decimal 1 3 3" xfId="1970" xr:uid="{65D5C98B-0CC3-4FD1-961B-0C2C5A505D6D}"/>
    <cellStyle name="tableau | cellule | (normal) | decimal 1 4" xfId="1971" xr:uid="{B61229C5-3242-46D6-A078-6E1E0BF42030}"/>
    <cellStyle name="tableau | cellule | (normal) | decimal 1 4 2" xfId="1972" xr:uid="{65546369-C128-4445-98F2-4EEA115CBF88}"/>
    <cellStyle name="tableau | cellule | (normal) | decimal 1 4 3" xfId="1973" xr:uid="{624C64E7-1925-4436-B6F0-48AEFD01823A}"/>
    <cellStyle name="tableau | cellule | (normal) | decimal 1 5" xfId="1974" xr:uid="{EA228CE9-1DBD-43B6-A029-F5967E95B71E}"/>
    <cellStyle name="tableau | cellule | (normal) | decimal 1 5 2" xfId="1975" xr:uid="{F75C1883-BC8B-4168-9B74-5CCEF420C833}"/>
    <cellStyle name="tableau | cellule | (normal) | decimal 1 5 3" xfId="1976" xr:uid="{2C9A8F8E-9BDE-41F4-80CD-FBF805628E0D}"/>
    <cellStyle name="tableau | cellule | (normal) | decimal 1 6" xfId="1977" xr:uid="{26202E64-F374-4DED-8910-419A839AC92B}"/>
    <cellStyle name="tableau | cellule | (normal) | decimal 1 7" xfId="1978" xr:uid="{12C27BA8-E53F-4C88-853A-63591714FD99}"/>
    <cellStyle name="tableau | cellule | (normal) | decimal 2" xfId="1979" xr:uid="{76D57825-C9F4-446D-AB81-1EC1D2F77F3F}"/>
    <cellStyle name="tableau | cellule | (normal) | decimal 2 2" xfId="1980" xr:uid="{DF8CDFE0-2798-48B7-AA89-15D3111F98C9}"/>
    <cellStyle name="tableau | cellule | (normal) | decimal 2 2 2" xfId="1981" xr:uid="{F3D1B7D1-7A03-4339-8A5F-5CF03ED939C9}"/>
    <cellStyle name="tableau | cellule | (normal) | decimal 2 2 2 2" xfId="1982" xr:uid="{A0B57917-23D7-4785-859C-7FA822BFBFA8}"/>
    <cellStyle name="tableau | cellule | (normal) | decimal 2 2 2 3" xfId="1983" xr:uid="{2AE1CD9F-033A-4BCD-901F-A6665F27EB8F}"/>
    <cellStyle name="tableau | cellule | (normal) | decimal 2 2 3" xfId="1984" xr:uid="{A97DC6CF-B7C6-4A94-B084-FCFAEE01254F}"/>
    <cellStyle name="tableau | cellule | (normal) | decimal 2 2 4" xfId="1985" xr:uid="{26A1E17F-E0C0-4F65-941A-62A7A187EE6B}"/>
    <cellStyle name="tableau | cellule | (normal) | decimal 2 3" xfId="1986" xr:uid="{2D2AD2F0-C0E2-4B2D-93CB-30FC2186999B}"/>
    <cellStyle name="tableau | cellule | (normal) | decimal 2 3 2" xfId="1987" xr:uid="{40D35CD2-CA16-49DC-BD7A-B886CCC0F067}"/>
    <cellStyle name="tableau | cellule | (normal) | decimal 2 3 3" xfId="1988" xr:uid="{39DD4C45-3DE0-43C6-8269-B7FF8793ADC5}"/>
    <cellStyle name="tableau | cellule | (normal) | decimal 2 4" xfId="1989" xr:uid="{32D0F10E-AE34-49FC-A76A-5FF867061A9A}"/>
    <cellStyle name="tableau | cellule | (normal) | decimal 2 4 2" xfId="1990" xr:uid="{720AB94B-7D73-4B7B-8AD8-4E072B5192B1}"/>
    <cellStyle name="tableau | cellule | (normal) | decimal 2 4 3" xfId="1991" xr:uid="{8F1B695D-196B-4FB0-99A7-AB3E1AAF5435}"/>
    <cellStyle name="tableau | cellule | (normal) | decimal 2 5" xfId="1992" xr:uid="{01A88CE0-6DB9-4D02-9916-8F79CBE669F0}"/>
    <cellStyle name="tableau | cellule | (normal) | decimal 2 5 2" xfId="1993" xr:uid="{06C644C8-1E12-4D05-8E43-BD45B8C31998}"/>
    <cellStyle name="tableau | cellule | (normal) | decimal 2 5 3" xfId="1994" xr:uid="{4B5CC9A4-EF64-45DA-A779-E2BAC86335E0}"/>
    <cellStyle name="tableau | cellule | (normal) | decimal 2 6" xfId="1995" xr:uid="{4EBE3396-098D-45B5-B41F-A17C8AAE7D23}"/>
    <cellStyle name="tableau | cellule | (normal) | decimal 2 7" xfId="1996" xr:uid="{DAB6B05B-2176-443F-8D1D-A85E29804790}"/>
    <cellStyle name="tableau | cellule | (normal) | decimal 3" xfId="1997" xr:uid="{67CEFF54-4E13-4753-BEBA-41B40AA446D9}"/>
    <cellStyle name="tableau | cellule | (normal) | decimal 3 2" xfId="1998" xr:uid="{AB374D14-790B-484A-9945-957E62507B6D}"/>
    <cellStyle name="tableau | cellule | (normal) | decimal 3 2 2" xfId="1999" xr:uid="{B5AC0624-F004-4815-B7D7-74AA40C9C716}"/>
    <cellStyle name="tableau | cellule | (normal) | decimal 3 2 2 2" xfId="2000" xr:uid="{FAC9F490-49A7-4726-87BD-8105456767EC}"/>
    <cellStyle name="tableau | cellule | (normal) | decimal 3 2 2 3" xfId="2001" xr:uid="{3FC3DC37-914B-4A6C-B727-9805BE9496D7}"/>
    <cellStyle name="tableau | cellule | (normal) | decimal 3 2 3" xfId="2002" xr:uid="{EB30B29C-2645-482B-A63E-2BF4923DA73A}"/>
    <cellStyle name="tableau | cellule | (normal) | decimal 3 2 4" xfId="2003" xr:uid="{54F93728-DD47-470A-967E-CBAB28487A8F}"/>
    <cellStyle name="tableau | cellule | (normal) | decimal 3 3" xfId="2004" xr:uid="{9D1E17A1-08FE-4FA0-AD6F-384A520DEABC}"/>
    <cellStyle name="tableau | cellule | (normal) | decimal 3 3 2" xfId="2005" xr:uid="{4CE9A9D6-3ED9-48B7-B8A9-803183D90FD2}"/>
    <cellStyle name="tableau | cellule | (normal) | decimal 3 3 3" xfId="2006" xr:uid="{FD33AA6A-17FC-457F-8552-14E342248E29}"/>
    <cellStyle name="tableau | cellule | (normal) | decimal 3 4" xfId="2007" xr:uid="{C9F653B7-B035-4195-B858-608077EDBDD6}"/>
    <cellStyle name="tableau | cellule | (normal) | decimal 3 4 2" xfId="2008" xr:uid="{7BEB08C2-C7AD-45DA-9F68-46F95888A33B}"/>
    <cellStyle name="tableau | cellule | (normal) | decimal 3 4 3" xfId="2009" xr:uid="{449D74E7-5926-47F4-B1F6-588C95773F7C}"/>
    <cellStyle name="tableau | cellule | (normal) | decimal 3 5" xfId="2010" xr:uid="{D4760B69-E628-48EB-9812-F958D367CA71}"/>
    <cellStyle name="tableau | cellule | (normal) | decimal 3 5 2" xfId="2011" xr:uid="{248C8AA2-7DA6-4493-9878-6307B88FE2A6}"/>
    <cellStyle name="tableau | cellule | (normal) | decimal 3 5 3" xfId="2012" xr:uid="{84371A5F-E320-4796-B391-CF0E6C1E4E6E}"/>
    <cellStyle name="tableau | cellule | (normal) | decimal 3 6" xfId="2013" xr:uid="{4EC008B1-CE4D-4A81-BC9F-9AF9C8B1B08B}"/>
    <cellStyle name="tableau | cellule | (normal) | decimal 3 7" xfId="2014" xr:uid="{67623793-9B08-4C94-8C90-67CEF55B123F}"/>
    <cellStyle name="tableau | cellule | (normal) | decimal 4" xfId="2015" xr:uid="{7F82B8FB-C4D2-410E-B9F5-D59BE2DCCBD3}"/>
    <cellStyle name="tableau | cellule | (normal) | decimal 4 2" xfId="2016" xr:uid="{8A4C1339-39E2-4AAC-A590-96F8E23F4ABF}"/>
    <cellStyle name="tableau | cellule | (normal) | decimal 4 2 2" xfId="2017" xr:uid="{8FF11BFA-3F87-4E74-B944-6D17C602CCFD}"/>
    <cellStyle name="tableau | cellule | (normal) | decimal 4 2 2 2" xfId="2018" xr:uid="{7733DA19-1D5B-4A4E-B12C-1F1645CF17D6}"/>
    <cellStyle name="tableau | cellule | (normal) | decimal 4 2 2 3" xfId="2019" xr:uid="{7DF4F946-E5DC-4B0F-BFB0-924C332222A0}"/>
    <cellStyle name="tableau | cellule | (normal) | decimal 4 2 3" xfId="2020" xr:uid="{D2FB6905-301C-4A60-AA43-1B64D08BDAC5}"/>
    <cellStyle name="tableau | cellule | (normal) | decimal 4 2 4" xfId="2021" xr:uid="{6B2C6F2E-9B62-479D-8DCD-4752CCA8FC30}"/>
    <cellStyle name="tableau | cellule | (normal) | decimal 4 3" xfId="2022" xr:uid="{B421C1A9-26FE-4AA4-99AF-C1E18338801B}"/>
    <cellStyle name="tableau | cellule | (normal) | decimal 4 3 2" xfId="2023" xr:uid="{2CD4797B-F04F-43F1-805B-C674E41E038E}"/>
    <cellStyle name="tableau | cellule | (normal) | decimal 4 3 3" xfId="2024" xr:uid="{2286E3C6-45F5-4D62-9547-99BBB869451E}"/>
    <cellStyle name="tableau | cellule | (normal) | decimal 4 4" xfId="2025" xr:uid="{40D5D524-1173-4997-A58F-19DD82D624A2}"/>
    <cellStyle name="tableau | cellule | (normal) | decimal 4 4 2" xfId="2026" xr:uid="{ECEE619E-F273-421F-B969-3A3C61E58E1F}"/>
    <cellStyle name="tableau | cellule | (normal) | decimal 4 4 3" xfId="2027" xr:uid="{944092CC-0A3A-4218-8270-B2E2A68C9238}"/>
    <cellStyle name="tableau | cellule | (normal) | decimal 4 5" xfId="2028" xr:uid="{5F370703-69C1-41C9-9607-D5BE0DE40EEB}"/>
    <cellStyle name="tableau | cellule | (normal) | decimal 4 5 2" xfId="2029" xr:uid="{B0BD094F-6C24-431B-9A7F-B974B35552FA}"/>
    <cellStyle name="tableau | cellule | (normal) | decimal 4 5 3" xfId="2030" xr:uid="{C370286B-705C-4E82-B5DA-AEC7975CEA6C}"/>
    <cellStyle name="tableau | cellule | (normal) | decimal 4 6" xfId="2031" xr:uid="{5DB2D719-A23D-4D59-A14B-253101965481}"/>
    <cellStyle name="tableau | cellule | (normal) | decimal 4 7" xfId="2032" xr:uid="{606283EE-2C8E-43EC-99F1-5DEFD8FC6FEA}"/>
    <cellStyle name="tableau | cellule | (normal) | entier" xfId="2033" xr:uid="{8A6452F8-9C2D-453D-89E6-6E78080BB3A7}"/>
    <cellStyle name="tableau | cellule | (normal) | entier 2" xfId="2034" xr:uid="{95975723-5FFA-4BF1-9F08-BDF7A71798E7}"/>
    <cellStyle name="tableau | cellule | (normal) | entier 2 2" xfId="2035" xr:uid="{5FA9D436-041B-4814-BC4C-8B60B6B8D296}"/>
    <cellStyle name="tableau | cellule | (normal) | entier 2 2 2" xfId="2036" xr:uid="{2592884D-E914-4B1B-A733-CCCEC9A3F603}"/>
    <cellStyle name="tableau | cellule | (normal) | entier 2 2 3" xfId="2037" xr:uid="{4D38908C-1031-40F7-AFA2-8FCA2FFA8DE1}"/>
    <cellStyle name="tableau | cellule | (normal) | entier 2 3" xfId="2038" xr:uid="{C5C7CEAA-25A0-4920-B2A5-2F20D7AC7E64}"/>
    <cellStyle name="tableau | cellule | (normal) | entier 2 4" xfId="2039" xr:uid="{76B67CC6-D20A-41EB-9C14-38FE584AB33C}"/>
    <cellStyle name="tableau | cellule | (normal) | entier 3" xfId="2040" xr:uid="{8BDF07F4-2CF8-4FCD-A312-00425CB91C4B}"/>
    <cellStyle name="tableau | cellule | (normal) | entier 3 2" xfId="2041" xr:uid="{E95DBC72-4113-47FB-9B4C-0263B48FA10D}"/>
    <cellStyle name="tableau | cellule | (normal) | entier 3 3" xfId="2042" xr:uid="{90DEEB98-A09A-4BF2-8036-691A1F9F3B54}"/>
    <cellStyle name="tableau | cellule | (normal) | entier 4" xfId="2043" xr:uid="{8D348BC1-B9D9-459D-A321-69542E5AB2BC}"/>
    <cellStyle name="tableau | cellule | (normal) | entier 4 2" xfId="2044" xr:uid="{A311C678-42FA-436F-943B-7C34E0391243}"/>
    <cellStyle name="tableau | cellule | (normal) | entier 4 3" xfId="2045" xr:uid="{5B50F923-A2EF-4CEE-B77F-F91D978391D0}"/>
    <cellStyle name="tableau | cellule | (normal) | entier 5" xfId="2046" xr:uid="{6B0EF389-AC08-43DE-B354-32574286370B}"/>
    <cellStyle name="tableau | cellule | (normal) | entier 5 2" xfId="2047" xr:uid="{AC67516F-AAC3-4281-BF8F-A51063D0677F}"/>
    <cellStyle name="tableau | cellule | (normal) | entier 5 3" xfId="2048" xr:uid="{E7B211BB-CC4D-4546-BF51-FC881F5830E1}"/>
    <cellStyle name="tableau | cellule | (normal) | entier 6" xfId="2049" xr:uid="{68D98BAB-FA82-4840-900F-22E91613686F}"/>
    <cellStyle name="tableau | cellule | (normal) | entier 7" xfId="2050" xr:uid="{E8BF6EA3-FF50-4D5B-B4D7-6C38CB63822E}"/>
    <cellStyle name="tableau | cellule | (normal) | euro | decimal 1" xfId="2051" xr:uid="{5895B469-189A-4BFB-AA81-57A0DBD770DE}"/>
    <cellStyle name="tableau | cellule | (normal) | euro | decimal 1 2" xfId="2052" xr:uid="{2F5C7311-0892-4782-B06F-4898931C72BC}"/>
    <cellStyle name="tableau | cellule | (normal) | euro | decimal 1 2 2" xfId="2053" xr:uid="{E5F94FD4-CDDD-45F9-90DC-99F26BC92AB7}"/>
    <cellStyle name="tableau | cellule | (normal) | euro | decimal 1 2 2 2" xfId="2054" xr:uid="{DDB84001-5FF1-46AF-B8E6-3B7F274D04BC}"/>
    <cellStyle name="tableau | cellule | (normal) | euro | decimal 1 2 2 3" xfId="2055" xr:uid="{BD4BFBF1-E912-4E09-B888-ABD7EFC3A6B8}"/>
    <cellStyle name="tableau | cellule | (normal) | euro | decimal 1 2 3" xfId="2056" xr:uid="{7EB71F78-CE98-4FFC-85D5-2514B4636F6A}"/>
    <cellStyle name="tableau | cellule | (normal) | euro | decimal 1 2 4" xfId="2057" xr:uid="{824F6AEB-02E3-4D50-A39C-8C0F455F5304}"/>
    <cellStyle name="tableau | cellule | (normal) | euro | decimal 1 3" xfId="2058" xr:uid="{A18FB078-69D6-430B-96FC-36F7BA35E5A4}"/>
    <cellStyle name="tableau | cellule | (normal) | euro | decimal 1 3 2" xfId="2059" xr:uid="{67374D5E-7E46-4623-9C06-27265F28EBFC}"/>
    <cellStyle name="tableau | cellule | (normal) | euro | decimal 1 3 3" xfId="2060" xr:uid="{5E04F1FF-0C6F-420E-9F94-0BBB91572DB6}"/>
    <cellStyle name="tableau | cellule | (normal) | euro | decimal 1 4" xfId="2061" xr:uid="{05F430E8-7227-4E6A-8729-93295C94BA89}"/>
    <cellStyle name="tableau | cellule | (normal) | euro | decimal 1 4 2" xfId="2062" xr:uid="{DEA45DCB-AE32-4F13-9B79-1C3D3BA66AEE}"/>
    <cellStyle name="tableau | cellule | (normal) | euro | decimal 1 4 3" xfId="2063" xr:uid="{EF0D6EBC-9BBC-4CA1-85D8-EF9B4FAD001C}"/>
    <cellStyle name="tableau | cellule | (normal) | euro | decimal 1 5" xfId="2064" xr:uid="{D0B3982D-3BC8-4A5F-9F32-9C38DEB8D4FA}"/>
    <cellStyle name="tableau | cellule | (normal) | euro | decimal 1 5 2" xfId="2065" xr:uid="{9A280BF8-C73F-44DA-862B-88703F5EA943}"/>
    <cellStyle name="tableau | cellule | (normal) | euro | decimal 1 5 3" xfId="2066" xr:uid="{6F8C4922-6E83-4726-8DB5-092E0043F2E3}"/>
    <cellStyle name="tableau | cellule | (normal) | euro | decimal 1 6" xfId="2067" xr:uid="{950CFD35-08E7-4404-B998-6685E6CE5835}"/>
    <cellStyle name="tableau | cellule | (normal) | euro | decimal 1 7" xfId="2068" xr:uid="{25D81CDD-611F-4F2D-AF24-6F8F194C202A}"/>
    <cellStyle name="tableau | cellule | (normal) | euro | decimal 2" xfId="2069" xr:uid="{FE3C77B3-711C-4CD3-A924-7235F9AC9452}"/>
    <cellStyle name="tableau | cellule | (normal) | euro | decimal 2 2" xfId="2070" xr:uid="{206F7E64-0D53-4483-BCB6-DF7C635A88FF}"/>
    <cellStyle name="tableau | cellule | (normal) | euro | decimal 2 2 2" xfId="2071" xr:uid="{3FC10966-1D9C-40D6-B869-85AA6B4344AA}"/>
    <cellStyle name="tableau | cellule | (normal) | euro | decimal 2 2 2 2" xfId="2072" xr:uid="{98803F0B-077D-4EA6-91E0-EE6B24B8D4CD}"/>
    <cellStyle name="tableau | cellule | (normal) | euro | decimal 2 2 2 3" xfId="2073" xr:uid="{551C6CA9-89A0-4CB9-8115-9AD52A2D3E21}"/>
    <cellStyle name="tableau | cellule | (normal) | euro | decimal 2 2 3" xfId="2074" xr:uid="{09A9F0B8-6EDF-4EDA-BDA5-AFC75B6B0C80}"/>
    <cellStyle name="tableau | cellule | (normal) | euro | decimal 2 2 4" xfId="2075" xr:uid="{585EB6F2-94C2-4913-A412-13D67B4E423A}"/>
    <cellStyle name="tableau | cellule | (normal) | euro | decimal 2 3" xfId="2076" xr:uid="{FD9B12B5-7D82-4151-A96B-ECF19976123B}"/>
    <cellStyle name="tableau | cellule | (normal) | euro | decimal 2 3 2" xfId="2077" xr:uid="{DFEE54B2-D856-4DE7-83DF-27F92134C8A5}"/>
    <cellStyle name="tableau | cellule | (normal) | euro | decimal 2 3 3" xfId="2078" xr:uid="{A0A6E9C2-EE02-404C-A023-64D09447D73C}"/>
    <cellStyle name="tableau | cellule | (normal) | euro | decimal 2 4" xfId="2079" xr:uid="{35B95BDD-D065-4A5F-87DA-123C13103025}"/>
    <cellStyle name="tableau | cellule | (normal) | euro | decimal 2 4 2" xfId="2080" xr:uid="{D1EC3F8D-D368-4BD8-821D-3128026C9C14}"/>
    <cellStyle name="tableau | cellule | (normal) | euro | decimal 2 4 3" xfId="2081" xr:uid="{C1CEB569-F9D0-490E-B6B5-00ECCDFBF09C}"/>
    <cellStyle name="tableau | cellule | (normal) | euro | decimal 2 5" xfId="2082" xr:uid="{00730CD8-7231-4A1C-A42C-8F812AF3DB71}"/>
    <cellStyle name="tableau | cellule | (normal) | euro | decimal 2 5 2" xfId="2083" xr:uid="{76B5E78D-FD9F-40CF-84D1-0B1511BA2FA6}"/>
    <cellStyle name="tableau | cellule | (normal) | euro | decimal 2 5 3" xfId="2084" xr:uid="{76B75FA9-1916-4FBB-B2C9-10A3BFEB9176}"/>
    <cellStyle name="tableau | cellule | (normal) | euro | decimal 2 6" xfId="2085" xr:uid="{9535E841-B675-437B-B10F-509184B5A10F}"/>
    <cellStyle name="tableau | cellule | (normal) | euro | decimal 2 7" xfId="2086" xr:uid="{738E974D-EC51-43B0-932A-4D7041CB8410}"/>
    <cellStyle name="tableau | cellule | (normal) | euro | entier" xfId="2087" xr:uid="{407EA32C-C2E9-4B27-A7C5-80B487027B33}"/>
    <cellStyle name="tableau | cellule | (normal) | euro | entier 2" xfId="2088" xr:uid="{9DF712DD-9C34-488A-A3FC-BA4EE466806A}"/>
    <cellStyle name="tableau | cellule | (normal) | euro | entier 2 2" xfId="2089" xr:uid="{CDA43BB8-8554-40D2-953B-E85DA1B3C692}"/>
    <cellStyle name="tableau | cellule | (normal) | euro | entier 2 2 2" xfId="2090" xr:uid="{C271D392-8F2B-4C23-847B-F8CEADF4C906}"/>
    <cellStyle name="tableau | cellule | (normal) | euro | entier 2 2 3" xfId="2091" xr:uid="{F36F84CE-13AD-4E9C-837F-DFF19E546BDB}"/>
    <cellStyle name="tableau | cellule | (normal) | euro | entier 2 3" xfId="2092" xr:uid="{203E9DDC-56C1-45D4-8557-6FDDB1EEDD2C}"/>
    <cellStyle name="tableau | cellule | (normal) | euro | entier 2 4" xfId="2093" xr:uid="{03100217-B4B9-467D-8BBC-5104538D8638}"/>
    <cellStyle name="tableau | cellule | (normal) | euro | entier 3" xfId="2094" xr:uid="{73FEE962-294C-4B7A-BAF8-FC5330F21025}"/>
    <cellStyle name="tableau | cellule | (normal) | euro | entier 3 2" xfId="2095" xr:uid="{3273387F-C697-437D-8D54-B5EAA1135B27}"/>
    <cellStyle name="tableau | cellule | (normal) | euro | entier 3 3" xfId="2096" xr:uid="{D3F8A207-4C6C-410E-9E78-9690A4891C24}"/>
    <cellStyle name="tableau | cellule | (normal) | euro | entier 4" xfId="2097" xr:uid="{B8A9A10B-B361-452C-AFE3-F7B694CFDD97}"/>
    <cellStyle name="tableau | cellule | (normal) | euro | entier 4 2" xfId="2098" xr:uid="{849AD177-89E1-4B9C-91D4-D1CE8041EC57}"/>
    <cellStyle name="tableau | cellule | (normal) | euro | entier 4 3" xfId="2099" xr:uid="{DC0F9CC8-B2FA-49E7-9C24-D0549C553791}"/>
    <cellStyle name="tableau | cellule | (normal) | euro | entier 5" xfId="2100" xr:uid="{E0351839-12D9-4C22-BF5E-C3A2C57CB02C}"/>
    <cellStyle name="tableau | cellule | (normal) | euro | entier 5 2" xfId="2101" xr:uid="{F94BE52F-7EFD-4DD5-94E1-9EA321A0978B}"/>
    <cellStyle name="tableau | cellule | (normal) | euro | entier 5 3" xfId="2102" xr:uid="{E4665DB5-0147-42DB-AA40-37C1B23D5360}"/>
    <cellStyle name="tableau | cellule | (normal) | euro | entier 6" xfId="2103" xr:uid="{98E58127-8DDA-49A6-8AFE-816358C8C0E0}"/>
    <cellStyle name="tableau | cellule | (normal) | euro | entier 7" xfId="2104" xr:uid="{4E4520E1-239A-4C9C-8C58-6F8B31545C5E}"/>
    <cellStyle name="tableau | cellule | (normal) | franc | decimal 1" xfId="2105" xr:uid="{78C068DE-4292-4008-A732-FB7235B58B34}"/>
    <cellStyle name="tableau | cellule | (normal) | franc | decimal 1 2" xfId="2106" xr:uid="{057E0970-2A37-45FA-A53F-588A0FBF7F8B}"/>
    <cellStyle name="tableau | cellule | (normal) | franc | decimal 1 2 2" xfId="2107" xr:uid="{81D167A8-2E0F-4B70-BB6B-B4711D69C33F}"/>
    <cellStyle name="tableau | cellule | (normal) | franc | decimal 1 2 2 2" xfId="2108" xr:uid="{138BF54D-FD59-4491-9780-CA484B024701}"/>
    <cellStyle name="tableau | cellule | (normal) | franc | decimal 1 2 2 3" xfId="2109" xr:uid="{BFD18005-FD7A-4CB7-94AF-56C526BC285D}"/>
    <cellStyle name="tableau | cellule | (normal) | franc | decimal 1 2 3" xfId="2110" xr:uid="{2821ADA4-2258-4D6E-BBAE-7206148CC385}"/>
    <cellStyle name="tableau | cellule | (normal) | franc | decimal 1 2 4" xfId="2111" xr:uid="{49995B69-B7DC-41EE-BCDD-C46635332BAB}"/>
    <cellStyle name="tableau | cellule | (normal) | franc | decimal 1 3" xfId="2112" xr:uid="{505DDB64-24AA-4B77-96FE-6D2CF31DAF36}"/>
    <cellStyle name="tableau | cellule | (normal) | franc | decimal 1 3 2" xfId="2113" xr:uid="{29D2E766-E3D4-4586-B859-81822E2D3D2D}"/>
    <cellStyle name="tableau | cellule | (normal) | franc | decimal 1 3 3" xfId="2114" xr:uid="{AEE94E2F-7779-4B6F-81CF-7185F2D66A48}"/>
    <cellStyle name="tableau | cellule | (normal) | franc | decimal 1 4" xfId="2115" xr:uid="{301CB35A-C989-493E-8C63-4C16E95F743E}"/>
    <cellStyle name="tableau | cellule | (normal) | franc | decimal 1 4 2" xfId="2116" xr:uid="{8EA6B08C-4E92-44A9-87AA-B37F1CE115F8}"/>
    <cellStyle name="tableau | cellule | (normal) | franc | decimal 1 4 3" xfId="2117" xr:uid="{3B667A92-6A9E-471A-886B-2A4014AE76B3}"/>
    <cellStyle name="tableau | cellule | (normal) | franc | decimal 1 5" xfId="2118" xr:uid="{D1660F1F-A8CB-4594-8557-0B5681995677}"/>
    <cellStyle name="tableau | cellule | (normal) | franc | decimal 1 5 2" xfId="2119" xr:uid="{DBEDC407-9457-4295-B63D-CD18DD03C6F3}"/>
    <cellStyle name="tableau | cellule | (normal) | franc | decimal 1 5 3" xfId="2120" xr:uid="{A339CB75-E181-43E5-96D4-B2947345D922}"/>
    <cellStyle name="tableau | cellule | (normal) | franc | decimal 1 6" xfId="2121" xr:uid="{541BBEF7-02EE-4BF1-B543-56F22F7090C9}"/>
    <cellStyle name="tableau | cellule | (normal) | franc | decimal 1 7" xfId="2122" xr:uid="{18E1A594-CAE0-4582-A387-23ACFEF81279}"/>
    <cellStyle name="tableau | cellule | (normal) | franc | decimal 2" xfId="2123" xr:uid="{9C96EB24-2EE0-4448-AD69-69855936D4DB}"/>
    <cellStyle name="tableau | cellule | (normal) | franc | decimal 2 2" xfId="2124" xr:uid="{C2931429-99ED-491A-95CD-C599B4A3836E}"/>
    <cellStyle name="tableau | cellule | (normal) | franc | decimal 2 2 2" xfId="2125" xr:uid="{276934D7-DE00-4ECF-A19C-FC7538D47118}"/>
    <cellStyle name="tableau | cellule | (normal) | franc | decimal 2 2 2 2" xfId="2126" xr:uid="{C8374DBD-80B9-453D-9B2A-F65BEC707FA1}"/>
    <cellStyle name="tableau | cellule | (normal) | franc | decimal 2 2 2 3" xfId="2127" xr:uid="{B0A7CF2B-A636-4508-A9D5-E8C810BFCB99}"/>
    <cellStyle name="tableau | cellule | (normal) | franc | decimal 2 2 3" xfId="2128" xr:uid="{D0C0B9C9-9343-446E-A05D-AA47095FF3A6}"/>
    <cellStyle name="tableau | cellule | (normal) | franc | decimal 2 2 4" xfId="2129" xr:uid="{15FB1520-33A3-4D2E-8CD0-66CDA53C8F76}"/>
    <cellStyle name="tableau | cellule | (normal) | franc | decimal 2 3" xfId="2130" xr:uid="{EA56A1C7-D2EB-4732-B0EF-0665E1E7B1BC}"/>
    <cellStyle name="tableau | cellule | (normal) | franc | decimal 2 3 2" xfId="2131" xr:uid="{A08DE3C9-6ADE-4387-BB8F-19439B304D46}"/>
    <cellStyle name="tableau | cellule | (normal) | franc | decimal 2 3 3" xfId="2132" xr:uid="{592AA6BE-68D7-47D7-8DA0-F71BF95409F9}"/>
    <cellStyle name="tableau | cellule | (normal) | franc | decimal 2 4" xfId="2133" xr:uid="{137D2FA4-BFF5-4714-B962-A64024844F46}"/>
    <cellStyle name="tableau | cellule | (normal) | franc | decimal 2 4 2" xfId="2134" xr:uid="{6EEB67DF-9263-41FC-9441-E03DE13FECAA}"/>
    <cellStyle name="tableau | cellule | (normal) | franc | decimal 2 4 3" xfId="2135" xr:uid="{2AF594D1-F268-4DED-B4E2-77A2119C11AC}"/>
    <cellStyle name="tableau | cellule | (normal) | franc | decimal 2 5" xfId="2136" xr:uid="{04E50036-67E7-46F7-A71A-BA3F103B1F69}"/>
    <cellStyle name="tableau | cellule | (normal) | franc | decimal 2 5 2" xfId="2137" xr:uid="{25345FEF-6C4C-47D8-910F-081A74D736BF}"/>
    <cellStyle name="tableau | cellule | (normal) | franc | decimal 2 5 3" xfId="2138" xr:uid="{D11B7165-99B4-466F-A9F1-5CF496636A50}"/>
    <cellStyle name="tableau | cellule | (normal) | franc | decimal 2 6" xfId="2139" xr:uid="{2988F662-02EC-41DB-ACE9-A94093AACB70}"/>
    <cellStyle name="tableau | cellule | (normal) | franc | decimal 2 7" xfId="2140" xr:uid="{E7ECBF7A-C3B7-4D04-BB13-3E221A7EE28D}"/>
    <cellStyle name="tableau | cellule | (normal) | franc | entier" xfId="2141" xr:uid="{137AC76C-8BF2-4180-9A5C-BEDD4067E5F0}"/>
    <cellStyle name="tableau | cellule | (normal) | franc | entier 2" xfId="2142" xr:uid="{F7C06EBE-5C63-4EA8-BF6E-980381D5FC9A}"/>
    <cellStyle name="tableau | cellule | (normal) | franc | entier 2 2" xfId="2143" xr:uid="{C69C1376-769E-40B2-A6E2-A16E0B1EF4D2}"/>
    <cellStyle name="tableau | cellule | (normal) | franc | entier 2 2 2" xfId="2144" xr:uid="{E69194E6-D708-4FE1-A187-208D32F616DD}"/>
    <cellStyle name="tableau | cellule | (normal) | franc | entier 2 2 3" xfId="2145" xr:uid="{2A4BC955-9525-4B5F-9E77-26964FFD2102}"/>
    <cellStyle name="tableau | cellule | (normal) | franc | entier 2 3" xfId="2146" xr:uid="{C4060899-70AF-4742-905E-3D855CB9F81A}"/>
    <cellStyle name="tableau | cellule | (normal) | franc | entier 2 4" xfId="2147" xr:uid="{F27615D9-98C4-4EC0-BDD4-0E0C5AB25424}"/>
    <cellStyle name="tableau | cellule | (normal) | franc | entier 3" xfId="2148" xr:uid="{BED22AA2-B23F-4BD1-AA60-894E2430D227}"/>
    <cellStyle name="tableau | cellule | (normal) | franc | entier 3 2" xfId="2149" xr:uid="{7D0E87A0-FF8D-495C-B17A-B35599E1F3BF}"/>
    <cellStyle name="tableau | cellule | (normal) | franc | entier 3 3" xfId="2150" xr:uid="{BBF85179-CECC-465F-90EA-4A8253E09AD8}"/>
    <cellStyle name="tableau | cellule | (normal) | franc | entier 4" xfId="2151" xr:uid="{B92F92B8-1D79-4A39-B532-23282FA37018}"/>
    <cellStyle name="tableau | cellule | (normal) | franc | entier 4 2" xfId="2152" xr:uid="{0DCD5F6C-FAF3-4AF3-B038-2623FEAA25FB}"/>
    <cellStyle name="tableau | cellule | (normal) | franc | entier 4 3" xfId="2153" xr:uid="{C90F562E-051C-4A3F-B5BE-B077C78D36A3}"/>
    <cellStyle name="tableau | cellule | (normal) | franc | entier 5" xfId="2154" xr:uid="{12CFEFD7-7D0E-4989-975C-9CB77D6BB686}"/>
    <cellStyle name="tableau | cellule | (normal) | franc | entier 5 2" xfId="2155" xr:uid="{71B33B51-467E-45E2-80F1-DE6DD203BE49}"/>
    <cellStyle name="tableau | cellule | (normal) | franc | entier 5 3" xfId="2156" xr:uid="{ECB60085-DE9A-4CE1-8C0A-B9F63A1EA7DE}"/>
    <cellStyle name="tableau | cellule | (normal) | franc | entier 6" xfId="2157" xr:uid="{E305FC52-A201-4495-BF57-D9C3192FD8A8}"/>
    <cellStyle name="tableau | cellule | (normal) | franc | entier 7" xfId="2158" xr:uid="{93C4093D-D505-42FD-873F-3EE94F9DAD1E}"/>
    <cellStyle name="tableau | cellule | (normal) | pourcentage | decimal 1" xfId="2159" xr:uid="{611475F9-92DA-4321-B1C6-073C008A930E}"/>
    <cellStyle name="tableau | cellule | (normal) | pourcentage | decimal 1 2" xfId="2160" xr:uid="{EA8A27ED-4753-4DF9-8228-CEBC84E2F1DC}"/>
    <cellStyle name="tableau | cellule | (normal) | pourcentage | decimal 1 2 2" xfId="2161" xr:uid="{3839B027-EFFB-4652-9C41-E006D70F5E26}"/>
    <cellStyle name="tableau | cellule | (normal) | pourcentage | decimal 1 2 2 2" xfId="2162" xr:uid="{9302721A-3345-4E48-90CF-BF27AD2EE1FF}"/>
    <cellStyle name="tableau | cellule | (normal) | pourcentage | decimal 1 2 2 3" xfId="2163" xr:uid="{F9A0C1CA-D9D9-4CC5-8884-CD3D2E421D7A}"/>
    <cellStyle name="tableau | cellule | (normal) | pourcentage | decimal 1 2 3" xfId="2164" xr:uid="{CCFCC84C-E42C-4BD1-BB7F-06A08908083E}"/>
    <cellStyle name="tableau | cellule | (normal) | pourcentage | decimal 1 2 4" xfId="2165" xr:uid="{7E75909A-E65F-47A7-B436-D3A65804E5DE}"/>
    <cellStyle name="tableau | cellule | (normal) | pourcentage | decimal 1 3" xfId="2166" xr:uid="{5F9DF8C3-19DD-4945-B0D2-EF55AA0339A4}"/>
    <cellStyle name="tableau | cellule | (normal) | pourcentage | decimal 1 3 2" xfId="2167" xr:uid="{3D754A48-C734-495A-A225-D12023AEEF50}"/>
    <cellStyle name="tableau | cellule | (normal) | pourcentage | decimal 1 3 3" xfId="2168" xr:uid="{A49C137B-8D08-4BD4-857A-28376C2BD609}"/>
    <cellStyle name="tableau | cellule | (normal) | pourcentage | decimal 1 4" xfId="2169" xr:uid="{B2662D19-C224-46AD-B4F7-4B9FBA41F3AA}"/>
    <cellStyle name="tableau | cellule | (normal) | pourcentage | decimal 1 4 2" xfId="2170" xr:uid="{9FE4C396-458F-48DF-ACD1-73EB9B8B4639}"/>
    <cellStyle name="tableau | cellule | (normal) | pourcentage | decimal 1 4 3" xfId="2171" xr:uid="{023CCD4F-1089-46E8-9256-1DD506A7AAE0}"/>
    <cellStyle name="tableau | cellule | (normal) | pourcentage | decimal 1 5" xfId="2172" xr:uid="{B78B63B4-DFB3-45B0-9A94-7ECBF99005A4}"/>
    <cellStyle name="tableau | cellule | (normal) | pourcentage | decimal 1 5 2" xfId="2173" xr:uid="{DE236F1E-4FA8-48A4-B8E2-03487545AE2A}"/>
    <cellStyle name="tableau | cellule | (normal) | pourcentage | decimal 1 5 3" xfId="2174" xr:uid="{6B279410-FCD2-40CF-8E05-474A025C6304}"/>
    <cellStyle name="tableau | cellule | (normal) | pourcentage | decimal 1 6" xfId="2175" xr:uid="{4E55D87C-08DD-4819-8B00-CE33125FA996}"/>
    <cellStyle name="tableau | cellule | (normal) | pourcentage | decimal 1 7" xfId="2176" xr:uid="{B95FFC70-62F8-44DC-A596-0683A37723AD}"/>
    <cellStyle name="tableau | cellule | (normal) | pourcentage | decimal 2" xfId="2177" xr:uid="{E6575588-4D82-4BFE-8D09-07E1B6CECBD9}"/>
    <cellStyle name="tableau | cellule | (normal) | pourcentage | decimal 2 2" xfId="2178" xr:uid="{C6BAC454-4457-4D3E-82C3-2BE1FF03CCE6}"/>
    <cellStyle name="tableau | cellule | (normal) | pourcentage | decimal 2 2 2" xfId="2179" xr:uid="{A15644B8-797D-4503-85D4-FF7E81370E4B}"/>
    <cellStyle name="tableau | cellule | (normal) | pourcentage | decimal 2 2 2 2" xfId="2180" xr:uid="{2CB2694A-9692-4BB0-A2F4-E2ED26BC60EE}"/>
    <cellStyle name="tableau | cellule | (normal) | pourcentage | decimal 2 2 2 3" xfId="2181" xr:uid="{6ED23E00-5EF8-4614-9A23-E76A657663DD}"/>
    <cellStyle name="tableau | cellule | (normal) | pourcentage | decimal 2 2 3" xfId="2182" xr:uid="{B2C0C576-EF57-4C60-B089-7942186BFE21}"/>
    <cellStyle name="tableau | cellule | (normal) | pourcentage | decimal 2 2 4" xfId="2183" xr:uid="{D7F804D4-3149-476B-A4AB-80FF45E70A81}"/>
    <cellStyle name="tableau | cellule | (normal) | pourcentage | decimal 2 3" xfId="2184" xr:uid="{A32BEC97-AE40-497A-A4A4-CFA8029F240D}"/>
    <cellStyle name="tableau | cellule | (normal) | pourcentage | decimal 2 3 2" xfId="2185" xr:uid="{88CABBF6-F572-4C15-824F-96CD0B70D388}"/>
    <cellStyle name="tableau | cellule | (normal) | pourcentage | decimal 2 3 3" xfId="2186" xr:uid="{8F836807-C3AC-4725-A84A-CB13454185A2}"/>
    <cellStyle name="tableau | cellule | (normal) | pourcentage | decimal 2 4" xfId="2187" xr:uid="{588C1B24-76BB-4719-A8C9-024B6885EDB5}"/>
    <cellStyle name="tableau | cellule | (normal) | pourcentage | decimal 2 4 2" xfId="2188" xr:uid="{22603399-B19D-4B9A-9B1E-1B2542624C00}"/>
    <cellStyle name="tableau | cellule | (normal) | pourcentage | decimal 2 4 3" xfId="2189" xr:uid="{3EC0AB4E-BF91-4010-8FFD-F40EEE8F9D81}"/>
    <cellStyle name="tableau | cellule | (normal) | pourcentage | decimal 2 5" xfId="2190" xr:uid="{134FC0A2-AF7A-4B05-B14D-07864CAE91AF}"/>
    <cellStyle name="tableau | cellule | (normal) | pourcentage | decimal 2 5 2" xfId="2191" xr:uid="{B626CC64-798F-494E-856E-55715E3904AF}"/>
    <cellStyle name="tableau | cellule | (normal) | pourcentage | decimal 2 5 3" xfId="2192" xr:uid="{813D5AF8-3440-4158-98C3-D7D5A28809BB}"/>
    <cellStyle name="tableau | cellule | (normal) | pourcentage | decimal 2 6" xfId="2193" xr:uid="{3596ADCF-ACE0-4585-BAFA-100A891E2251}"/>
    <cellStyle name="tableau | cellule | (normal) | pourcentage | decimal 2 7" xfId="2194" xr:uid="{D2E61B44-CAE6-41A7-87B2-9AF856D4B632}"/>
    <cellStyle name="tableau | cellule | (normal) | pourcentage | entier" xfId="2195" xr:uid="{433A2A0D-9D64-43DF-BE76-11FD58BEEE40}"/>
    <cellStyle name="tableau | cellule | (normal) | pourcentage | entier 2" xfId="2196" xr:uid="{F71DBA6B-0B02-4B83-9D82-563E8F1E469E}"/>
    <cellStyle name="tableau | cellule | (normal) | pourcentage | entier 2 2" xfId="2197" xr:uid="{E1DD4C34-FD3A-43D7-BDFD-639483AEE1D6}"/>
    <cellStyle name="tableau | cellule | (normal) | pourcentage | entier 2 2 2" xfId="2198" xr:uid="{E51433D8-0887-4AB0-A8CC-219DB2F4897B}"/>
    <cellStyle name="tableau | cellule | (normal) | pourcentage | entier 2 2 3" xfId="2199" xr:uid="{234E7EF9-E30B-4489-AC37-127096CACF23}"/>
    <cellStyle name="tableau | cellule | (normal) | pourcentage | entier 2 3" xfId="2200" xr:uid="{D712F18A-3E2D-4E30-8AF6-2DEC017C1407}"/>
    <cellStyle name="tableau | cellule | (normal) | pourcentage | entier 2 4" xfId="2201" xr:uid="{46E80E23-D6AD-4F35-BE3D-BF7D9BE545DD}"/>
    <cellStyle name="tableau | cellule | (normal) | pourcentage | entier 3" xfId="2202" xr:uid="{3F758A4A-E692-4C04-87F5-0433DB12372E}"/>
    <cellStyle name="tableau | cellule | (normal) | pourcentage | entier 3 2" xfId="2203" xr:uid="{6115792D-EE3C-4BB5-AEB2-2454A970BBA7}"/>
    <cellStyle name="tableau | cellule | (normal) | pourcentage | entier 3 3" xfId="2204" xr:uid="{CE15A3B5-89BE-4036-B24C-1B709193458A}"/>
    <cellStyle name="tableau | cellule | (normal) | pourcentage | entier 4" xfId="2205" xr:uid="{E4B25246-9368-499C-AD9A-20D128EC2AF0}"/>
    <cellStyle name="tableau | cellule | (normal) | pourcentage | entier 4 2" xfId="2206" xr:uid="{B637BFB6-6CC3-4097-8F34-752A6270CC61}"/>
    <cellStyle name="tableau | cellule | (normal) | pourcentage | entier 4 3" xfId="2207" xr:uid="{6D3BF579-7B51-4F6B-9208-D864B4245CA7}"/>
    <cellStyle name="tableau | cellule | (normal) | pourcentage | entier 5" xfId="2208" xr:uid="{04A5F2A5-FC83-43E3-A0F4-E4F53708E761}"/>
    <cellStyle name="tableau | cellule | (normal) | pourcentage | entier 5 2" xfId="2209" xr:uid="{303B5D25-A7BF-4698-8410-BA66BFCDA738}"/>
    <cellStyle name="tableau | cellule | (normal) | pourcentage | entier 5 3" xfId="2210" xr:uid="{A442157E-EAEF-4DE0-9B30-B33C535AFC5F}"/>
    <cellStyle name="tableau | cellule | (normal) | pourcentage | entier 6" xfId="2211" xr:uid="{81795A5F-62E6-4CA9-A1CD-E99C34F95BF8}"/>
    <cellStyle name="tableau | cellule | (normal) | pourcentage | entier 7" xfId="2212" xr:uid="{2C0243FE-0297-4767-BEBC-B052EC0FD05B}"/>
    <cellStyle name="tableau | cellule | (normal) | standard" xfId="2213" xr:uid="{6B08368F-DD56-451B-9570-0C5F92DD6E78}"/>
    <cellStyle name="tableau | cellule | (normal) | standard 2" xfId="2214" xr:uid="{643E51C6-51B8-4842-88B6-109EAD471B67}"/>
    <cellStyle name="tableau | cellule | (normal) | standard 2 2" xfId="2215" xr:uid="{530FC8E0-5A03-44AF-8C41-E68524E77AEA}"/>
    <cellStyle name="tableau | cellule | (normal) | standard 2 2 2" xfId="2216" xr:uid="{D27FE664-741D-4B6B-B73F-072C0E491D74}"/>
    <cellStyle name="tableau | cellule | (normal) | standard 2 2 3" xfId="2217" xr:uid="{F18BF25C-B7D0-4BE6-85B6-A8D9D3E4D91B}"/>
    <cellStyle name="tableau | cellule | (normal) | standard 2 3" xfId="2218" xr:uid="{C6C30611-A916-4D53-9038-71E1D95B890C}"/>
    <cellStyle name="tableau | cellule | (normal) | standard 2 4" xfId="2219" xr:uid="{D9000883-5C9A-4759-8DB3-D90CCB33A8D2}"/>
    <cellStyle name="tableau | cellule | (normal) | standard 3" xfId="2220" xr:uid="{90087C13-84B1-4144-954C-92BAF2D350BE}"/>
    <cellStyle name="tableau | cellule | (normal) | standard 3 2" xfId="2221" xr:uid="{EAECC1AF-6145-47C8-B283-7EBFF381D198}"/>
    <cellStyle name="tableau | cellule | (normal) | standard 3 3" xfId="2222" xr:uid="{8EAF7174-E980-4945-A5F4-2D1840D12C77}"/>
    <cellStyle name="tableau | cellule | (normal) | standard 4" xfId="2223" xr:uid="{01453E6E-E205-41AA-AF98-B4CC1EA39D3B}"/>
    <cellStyle name="tableau | cellule | (normal) | standard 4 2" xfId="2224" xr:uid="{E7D17BE0-8CA4-4A30-812B-709744F6CFC3}"/>
    <cellStyle name="tableau | cellule | (normal) | standard 4 3" xfId="2225" xr:uid="{7EDEAA58-671A-4931-94A3-48E8FD8F5B10}"/>
    <cellStyle name="tableau | cellule | (normal) | standard 5" xfId="2226" xr:uid="{C41FFD87-037A-47E5-968D-3873C94CA553}"/>
    <cellStyle name="tableau | cellule | (normal) | standard 5 2" xfId="2227" xr:uid="{664CB32C-F629-4410-9763-23A0EB45D4B6}"/>
    <cellStyle name="tableau | cellule | (normal) | standard 5 3" xfId="2228" xr:uid="{125E263E-5A5E-4E7F-ABBA-FB0B3D43BD43}"/>
    <cellStyle name="tableau | cellule | (normal) | standard 6" xfId="2229" xr:uid="{9A179503-529E-49C6-87BE-49024AF75DA9}"/>
    <cellStyle name="tableau | cellule | (normal) | standard 7" xfId="2230" xr:uid="{97F03796-0A2A-45A5-947B-6159CD0BA03E}"/>
    <cellStyle name="tableau | cellule | (normal) | texte" xfId="2231" xr:uid="{0D83F917-6818-4508-935B-7772D8ED1B38}"/>
    <cellStyle name="tableau | cellule | (normal) | texte 2" xfId="2232" xr:uid="{C91FE7C7-E640-4BFB-95A7-0D85EEB267FB}"/>
    <cellStyle name="tableau | cellule | (normal) | texte 2 2" xfId="2233" xr:uid="{566828AF-6289-4489-A810-40FB65E6CFA9}"/>
    <cellStyle name="tableau | cellule | (normal) | texte 2 2 2" xfId="2234" xr:uid="{6252F134-C649-423B-BB31-5D2B509DCF9C}"/>
    <cellStyle name="tableau | cellule | (normal) | texte 2 2 3" xfId="2235" xr:uid="{C27A019B-154E-470D-B276-5CB449EB281E}"/>
    <cellStyle name="tableau | cellule | (normal) | texte 2 3" xfId="2236" xr:uid="{2111A1A1-4136-4789-8EA6-5FFA9848B52B}"/>
    <cellStyle name="tableau | cellule | (normal) | texte 2 4" xfId="2237" xr:uid="{88192638-4759-4373-8179-65DCC1CD3301}"/>
    <cellStyle name="tableau | cellule | (normal) | texte 3" xfId="2238" xr:uid="{3F0A1D6B-58DB-434C-8314-67EFE1CB8228}"/>
    <cellStyle name="tableau | cellule | (normal) | texte 3 2" xfId="2239" xr:uid="{BC910F0D-E5F9-4992-A457-61FFE2ED7FD8}"/>
    <cellStyle name="tableau | cellule | (normal) | texte 3 3" xfId="2240" xr:uid="{58510FFC-1E47-456E-9600-263A70249C46}"/>
    <cellStyle name="tableau | cellule | (normal) | texte 4" xfId="2241" xr:uid="{DA695AA2-5768-4683-ADCD-45E3D5C3B2FD}"/>
    <cellStyle name="tableau | cellule | (normal) | texte 4 2" xfId="2242" xr:uid="{DCD24276-4BE1-404A-BCDD-AB402433AAE3}"/>
    <cellStyle name="tableau | cellule | (normal) | texte 4 3" xfId="2243" xr:uid="{8D0AC837-D419-44C7-B786-739F6FD6CEBF}"/>
    <cellStyle name="tableau | cellule | (normal) | texte 5" xfId="2244" xr:uid="{6B22CFE0-ED12-4007-A46B-84792B6B8346}"/>
    <cellStyle name="tableau | cellule | (normal) | texte 5 2" xfId="2245" xr:uid="{9708CF73-75AA-4575-A069-450CE3BA27E3}"/>
    <cellStyle name="tableau | cellule | (normal) | texte 5 3" xfId="2246" xr:uid="{3AE8F663-0694-49C3-86D6-A02857F18463}"/>
    <cellStyle name="tableau | cellule | (normal) | texte 6" xfId="2247" xr:uid="{5B3E0953-5EAE-427E-8F17-3F08CD359E08}"/>
    <cellStyle name="tableau | cellule | (normal) | texte 7" xfId="2248" xr:uid="{597224D5-9B23-4CC1-A09B-243C3E37B20E}"/>
    <cellStyle name="tableau | cellule | (total) | decimal 1" xfId="2249" xr:uid="{0A012DEA-6AE1-4942-8D82-EE23245B3AAA}"/>
    <cellStyle name="tableau | cellule | (total) | decimal 1 2" xfId="2250" xr:uid="{90818A94-8FAF-42B5-80B5-39AA59BD5125}"/>
    <cellStyle name="tableau | cellule | (total) | decimal 1 2 2" xfId="2251" xr:uid="{18828741-E22F-47F6-868A-C837DF466247}"/>
    <cellStyle name="tableau | cellule | (total) | decimal 1 2 3" xfId="2252" xr:uid="{993864CA-E6FE-4C2F-B033-C3E88DE1DBA3}"/>
    <cellStyle name="tableau | cellule | (total) | decimal 1 3" xfId="2253" xr:uid="{D0897F01-C8F3-4AD9-B9C4-B3C92110A640}"/>
    <cellStyle name="tableau | cellule | (total) | decimal 1 3 2" xfId="2254" xr:uid="{A5BED242-6A9E-4F02-8828-862A4C18F37D}"/>
    <cellStyle name="tableau | cellule | (total) | decimal 1 3 3" xfId="2255" xr:uid="{44520B0E-6E53-47DE-8C5C-E09988D6505E}"/>
    <cellStyle name="tableau | cellule | (total) | decimal 1 4" xfId="2256" xr:uid="{821A6B6A-C805-4CC1-A802-C4FE605C1F2F}"/>
    <cellStyle name="tableau | cellule | (total) | decimal 1 4 2" xfId="2257" xr:uid="{8383CE89-0087-4EB9-A063-2046AF28DE10}"/>
    <cellStyle name="tableau | cellule | (total) | decimal 1 4 3" xfId="2258" xr:uid="{02732A7E-2D8D-4EA4-BFEC-2726FDA77B37}"/>
    <cellStyle name="tableau | cellule | (total) | decimal 1 5" xfId="2259" xr:uid="{9C4B1FFC-D49E-4F5B-B137-5A96ABA8DB82}"/>
    <cellStyle name="tableau | cellule | (total) | decimal 1 5 2" xfId="2260" xr:uid="{884B9B5D-7313-4379-9566-0D28DB86DD38}"/>
    <cellStyle name="tableau | cellule | (total) | decimal 1 5 3" xfId="2261" xr:uid="{76227C3B-2877-46A1-9B3A-3398BB6D13A2}"/>
    <cellStyle name="tableau | cellule | (total) | decimal 1 6" xfId="2262" xr:uid="{23D043EB-82C3-4823-92F5-53FDF1CE4022}"/>
    <cellStyle name="tableau | cellule | (total) | decimal 1 7" xfId="2263" xr:uid="{CA4A3C3E-5C15-4AAC-9902-65327CDF3F07}"/>
    <cellStyle name="tableau | cellule | (total) | decimal 2" xfId="2264" xr:uid="{29B75556-A56C-47D0-8674-CBEDF7EF6FCF}"/>
    <cellStyle name="tableau | cellule | (total) | decimal 2 2" xfId="2265" xr:uid="{2092D5A8-ADD8-4EA0-AB02-3A5E7CFFD037}"/>
    <cellStyle name="tableau | cellule | (total) | decimal 2 2 2" xfId="2266" xr:uid="{2743D02E-5C04-410E-A787-240548535900}"/>
    <cellStyle name="tableau | cellule | (total) | decimal 2 2 3" xfId="2267" xr:uid="{037DD5C6-BF98-4600-AA05-1E40A3A3C0B3}"/>
    <cellStyle name="tableau | cellule | (total) | decimal 2 3" xfId="2268" xr:uid="{9FB65503-9954-466B-8953-660647971663}"/>
    <cellStyle name="tableau | cellule | (total) | decimal 2 3 2" xfId="2269" xr:uid="{95D5C07C-188D-48CE-8855-D68DD26BB5D5}"/>
    <cellStyle name="tableau | cellule | (total) | decimal 2 3 3" xfId="2270" xr:uid="{22EE0266-F493-4A18-99C4-81C8BB5FA93D}"/>
    <cellStyle name="tableau | cellule | (total) | decimal 2 4" xfId="2271" xr:uid="{D5F52EC8-2E5E-4C50-B4E7-27A858B3BF7A}"/>
    <cellStyle name="tableau | cellule | (total) | decimal 2 4 2" xfId="2272" xr:uid="{444157DD-6FB8-4603-9B4E-8141266D136A}"/>
    <cellStyle name="tableau | cellule | (total) | decimal 2 4 3" xfId="2273" xr:uid="{2BE46BA7-51AE-443D-B5C4-0F504DDB44E2}"/>
    <cellStyle name="tableau | cellule | (total) | decimal 2 5" xfId="2274" xr:uid="{E4E79833-D378-48B1-B136-9CFBACE557A8}"/>
    <cellStyle name="tableau | cellule | (total) | decimal 2 5 2" xfId="2275" xr:uid="{DD07263F-938A-4042-80CD-ECEE617DDA50}"/>
    <cellStyle name="tableau | cellule | (total) | decimal 2 5 3" xfId="2276" xr:uid="{F5B589C2-A9E4-4B7C-81BB-A8A295CE31C9}"/>
    <cellStyle name="tableau | cellule | (total) | decimal 2 6" xfId="2277" xr:uid="{6EF318A5-E571-4D4C-82DE-8D302A1993EF}"/>
    <cellStyle name="tableau | cellule | (total) | decimal 2 7" xfId="2278" xr:uid="{1BABE77A-AE84-4298-A2AA-0B3FEB1043C5}"/>
    <cellStyle name="tableau | cellule | (total) | decimal 3" xfId="2279" xr:uid="{51269E14-2555-42E3-927E-66CBB8641989}"/>
    <cellStyle name="tableau | cellule | (total) | decimal 3 2" xfId="2280" xr:uid="{3296D436-7D9B-44B7-8D6C-C03A22784EA0}"/>
    <cellStyle name="tableau | cellule | (total) | decimal 3 2 2" xfId="2281" xr:uid="{0EF25971-6B95-492A-BD32-516945C9F4D9}"/>
    <cellStyle name="tableau | cellule | (total) | decimal 3 2 3" xfId="2282" xr:uid="{33EC5A00-7E7B-466B-9421-107BAF90243B}"/>
    <cellStyle name="tableau | cellule | (total) | decimal 3 3" xfId="2283" xr:uid="{949CB6D9-1DA2-492E-9CFD-8375DA389497}"/>
    <cellStyle name="tableau | cellule | (total) | decimal 3 3 2" xfId="2284" xr:uid="{11A5EA9D-908F-4492-80DC-03E06C3808F7}"/>
    <cellStyle name="tableau | cellule | (total) | decimal 3 3 3" xfId="2285" xr:uid="{3727851F-6918-4AE1-9807-28A790A429CF}"/>
    <cellStyle name="tableau | cellule | (total) | decimal 3 4" xfId="2286" xr:uid="{2CAA2EB0-69FA-47F9-9D2D-B5AAD177D636}"/>
    <cellStyle name="tableau | cellule | (total) | decimal 3 4 2" xfId="2287" xr:uid="{37EB40BC-3709-4760-935F-F52F3D9595B1}"/>
    <cellStyle name="tableau | cellule | (total) | decimal 3 4 3" xfId="2288" xr:uid="{9E277DFB-C02F-431D-A818-C973C5A1035E}"/>
    <cellStyle name="tableau | cellule | (total) | decimal 3 5" xfId="2289" xr:uid="{CCEA981B-C3AE-419A-9381-D747F07E5B2A}"/>
    <cellStyle name="tableau | cellule | (total) | decimal 3 5 2" xfId="2290" xr:uid="{FFACBC54-CE83-4619-9575-DAFAD328B451}"/>
    <cellStyle name="tableau | cellule | (total) | decimal 3 5 3" xfId="2291" xr:uid="{A654E41F-663C-43B8-B581-9B4D08DB32D6}"/>
    <cellStyle name="tableau | cellule | (total) | decimal 3 6" xfId="2292" xr:uid="{9EA54358-BA1D-44E6-8C08-83020CFD17DA}"/>
    <cellStyle name="tableau | cellule | (total) | decimal 3 7" xfId="2293" xr:uid="{D3F66D1D-23D7-4FE9-B0A4-BE09E2D2464B}"/>
    <cellStyle name="tableau | cellule | (total) | decimal 4" xfId="2294" xr:uid="{5C578230-58B5-49BE-AB9F-39D5D03B0D0D}"/>
    <cellStyle name="tableau | cellule | (total) | decimal 4 2" xfId="2295" xr:uid="{BFD6FB73-0A31-4916-98BD-CB7CE9CE21DF}"/>
    <cellStyle name="tableau | cellule | (total) | decimal 4 2 2" xfId="2296" xr:uid="{7746AB00-B92E-498D-A144-8F242D49C795}"/>
    <cellStyle name="tableau | cellule | (total) | decimal 4 2 3" xfId="2297" xr:uid="{0F11E8BF-402A-47DC-882F-58C7292CFF15}"/>
    <cellStyle name="tableau | cellule | (total) | decimal 4 3" xfId="2298" xr:uid="{87AFB225-4A54-4993-B70E-89E0774A1982}"/>
    <cellStyle name="tableau | cellule | (total) | decimal 4 3 2" xfId="2299" xr:uid="{32ACB9AB-58CF-4795-A00D-BCCFB406D049}"/>
    <cellStyle name="tableau | cellule | (total) | decimal 4 3 3" xfId="2300" xr:uid="{58887A26-4743-43E1-AF5C-FC0380E01869}"/>
    <cellStyle name="tableau | cellule | (total) | decimal 4 4" xfId="2301" xr:uid="{B19E3E99-6632-4C56-B65D-64F2553ACF4A}"/>
    <cellStyle name="tableau | cellule | (total) | decimal 4 4 2" xfId="2302" xr:uid="{EDCE1994-C75D-4176-A159-E1FE2ED04B34}"/>
    <cellStyle name="tableau | cellule | (total) | decimal 4 4 3" xfId="2303" xr:uid="{B9AD56DC-2FF7-4A15-ADC3-F2460DB7C558}"/>
    <cellStyle name="tableau | cellule | (total) | decimal 4 5" xfId="2304" xr:uid="{0F34A170-4491-448F-86AB-C28C6920329B}"/>
    <cellStyle name="tableau | cellule | (total) | decimal 4 5 2" xfId="2305" xr:uid="{28C5D569-19FD-4C8C-9A69-60931739A60D}"/>
    <cellStyle name="tableau | cellule | (total) | decimal 4 5 3" xfId="2306" xr:uid="{358BB7D2-7E66-48A0-876C-39ADF8207785}"/>
    <cellStyle name="tableau | cellule | (total) | decimal 4 6" xfId="2307" xr:uid="{65E4F919-7F15-4A99-AA92-293C5BCFC61C}"/>
    <cellStyle name="tableau | cellule | (total) | decimal 4 7" xfId="2308" xr:uid="{29291B9A-3182-463B-BF96-30BDE850B41E}"/>
    <cellStyle name="tableau | cellule | (total) | entier" xfId="2309" xr:uid="{D2F700C5-EDD2-4018-8ADD-10E5182A061A}"/>
    <cellStyle name="tableau | cellule | (total) | entier 2" xfId="2310" xr:uid="{14B16E29-24A1-47E3-9F5E-721C08132F0C}"/>
    <cellStyle name="tableau | cellule | (total) | entier 2 2" xfId="2311" xr:uid="{28C7303E-73CA-4B83-8E51-40C181A02310}"/>
    <cellStyle name="tableau | cellule | (total) | entier 2 3" xfId="2312" xr:uid="{83843D3C-28BB-438A-B577-989EE0DBC53B}"/>
    <cellStyle name="tableau | cellule | (total) | entier 3" xfId="2313" xr:uid="{0DC22524-1EAD-47A9-BFBB-8D6F470FA87A}"/>
    <cellStyle name="tableau | cellule | (total) | entier 3 2" xfId="2314" xr:uid="{E3FA8656-67E2-40DF-8D6E-01487F05E09A}"/>
    <cellStyle name="tableau | cellule | (total) | entier 3 3" xfId="2315" xr:uid="{181B9845-28AB-4F8C-ACD4-07D597D0C702}"/>
    <cellStyle name="tableau | cellule | (total) | entier 4" xfId="2316" xr:uid="{B57B207C-F27E-4D4F-AD3B-415EFF3BE7B1}"/>
    <cellStyle name="tableau | cellule | (total) | entier 4 2" xfId="2317" xr:uid="{FCA19224-C512-4ECD-8263-A25E1D576DBD}"/>
    <cellStyle name="tableau | cellule | (total) | entier 4 3" xfId="2318" xr:uid="{1A35C101-A127-43C4-813C-80B79731258C}"/>
    <cellStyle name="tableau | cellule | (total) | entier 5" xfId="2319" xr:uid="{D351DFA6-C5C0-4440-B832-85932FE574DB}"/>
    <cellStyle name="tableau | cellule | (total) | entier 5 2" xfId="2320" xr:uid="{4801B63E-74BF-4D18-8B1D-D28C32D6F19D}"/>
    <cellStyle name="tableau | cellule | (total) | entier 5 3" xfId="2321" xr:uid="{67AF3E6B-7850-45C8-A749-38BED67EA2D5}"/>
    <cellStyle name="tableau | cellule | (total) | entier 6" xfId="2322" xr:uid="{429A650C-A249-4B2F-85A5-D2A855656F90}"/>
    <cellStyle name="tableau | cellule | (total) | entier 7" xfId="2323" xr:uid="{2A371E67-9890-45E3-9C88-0E41274B65FC}"/>
    <cellStyle name="tableau | cellule | (total) | euro | decimal 1" xfId="2324" xr:uid="{44AA240B-9CC6-42EB-ABA8-72B37DE5119B}"/>
    <cellStyle name="tableau | cellule | (total) | euro | decimal 1 2" xfId="2325" xr:uid="{BEAE032E-23B7-43E5-A29A-FDC7DC07060B}"/>
    <cellStyle name="tableau | cellule | (total) | euro | decimal 1 2 2" xfId="2326" xr:uid="{EC08CC45-A29C-4D94-BA86-491A0B1AB9CA}"/>
    <cellStyle name="tableau | cellule | (total) | euro | decimal 1 2 3" xfId="2327" xr:uid="{80A6DF61-F2B1-40BA-9684-2761A8C586C2}"/>
    <cellStyle name="tableau | cellule | (total) | euro | decimal 1 3" xfId="2328" xr:uid="{C50CC893-F7C7-44CF-A139-25BACBB8366E}"/>
    <cellStyle name="tableau | cellule | (total) | euro | decimal 1 3 2" xfId="2329" xr:uid="{E5219EEE-26BC-48CB-BA7E-521A2B065953}"/>
    <cellStyle name="tableau | cellule | (total) | euro | decimal 1 3 3" xfId="2330" xr:uid="{887ED629-3A8F-4E80-99E9-C438FC9F86E5}"/>
    <cellStyle name="tableau | cellule | (total) | euro | decimal 1 4" xfId="2331" xr:uid="{7DFC1472-AA32-4C62-B143-36CC2A4CE1EF}"/>
    <cellStyle name="tableau | cellule | (total) | euro | decimal 1 4 2" xfId="2332" xr:uid="{187D11A9-AC6E-4C78-A766-40E67D53D1D9}"/>
    <cellStyle name="tableau | cellule | (total) | euro | decimal 1 4 3" xfId="2333" xr:uid="{B4DA90AD-B764-4A42-B06B-7C4F72BD3C2B}"/>
    <cellStyle name="tableau | cellule | (total) | euro | decimal 1 5" xfId="2334" xr:uid="{39F8F89F-0893-498A-B217-B506BB734CD5}"/>
    <cellStyle name="tableau | cellule | (total) | euro | decimal 1 5 2" xfId="2335" xr:uid="{63D765FC-1FDC-425B-ADFE-2C097ED0A7E8}"/>
    <cellStyle name="tableau | cellule | (total) | euro | decimal 1 5 3" xfId="2336" xr:uid="{B324DE29-DFD9-4349-8EDF-45E8311798E5}"/>
    <cellStyle name="tableau | cellule | (total) | euro | decimal 1 6" xfId="2337" xr:uid="{AFD5A5B7-B3BB-4748-8B5A-87241925F1BF}"/>
    <cellStyle name="tableau | cellule | (total) | euro | decimal 1 7" xfId="2338" xr:uid="{051B3815-BD5E-4503-B7AD-B94D2CAA446A}"/>
    <cellStyle name="tableau | cellule | (total) | euro | decimal 2" xfId="2339" xr:uid="{32CDC540-3EF0-4001-A848-742801258AD8}"/>
    <cellStyle name="tableau | cellule | (total) | euro | decimal 2 2" xfId="2340" xr:uid="{4ACC4442-6BFA-459D-A95A-645E8186F106}"/>
    <cellStyle name="tableau | cellule | (total) | euro | decimal 2 2 2" xfId="2341" xr:uid="{5234B435-424B-453D-A386-75DEB450FA01}"/>
    <cellStyle name="tableau | cellule | (total) | euro | decimal 2 2 3" xfId="2342" xr:uid="{5A168FFF-A030-4493-A252-4F8D119B4676}"/>
    <cellStyle name="tableau | cellule | (total) | euro | decimal 2 3" xfId="2343" xr:uid="{F6BCF0A2-1E6F-49B5-9241-D3FF4CC26676}"/>
    <cellStyle name="tableau | cellule | (total) | euro | decimal 2 3 2" xfId="2344" xr:uid="{2A3CA01E-41AC-40FC-BD52-AF4EE40B38C8}"/>
    <cellStyle name="tableau | cellule | (total) | euro | decimal 2 3 3" xfId="2345" xr:uid="{97E82353-4FDB-4EAC-9715-7B532E1F9851}"/>
    <cellStyle name="tableau | cellule | (total) | euro | decimal 2 4" xfId="2346" xr:uid="{A3DAD769-BAFD-4772-A27D-A21B6E60EC66}"/>
    <cellStyle name="tableau | cellule | (total) | euro | decimal 2 4 2" xfId="2347" xr:uid="{2F6E8CCD-0F1B-4063-ACBB-12BADDC8A51B}"/>
    <cellStyle name="tableau | cellule | (total) | euro | decimal 2 4 3" xfId="2348" xr:uid="{FD69E454-599C-438E-AB0D-ECBBA0408B77}"/>
    <cellStyle name="tableau | cellule | (total) | euro | decimal 2 5" xfId="2349" xr:uid="{DFBF12D5-E92B-4E11-B9EF-404882BD6DEE}"/>
    <cellStyle name="tableau | cellule | (total) | euro | decimal 2 5 2" xfId="2350" xr:uid="{3EADF304-6B76-4FF1-AE6D-A44EA297BDBF}"/>
    <cellStyle name="tableau | cellule | (total) | euro | decimal 2 5 3" xfId="2351" xr:uid="{C90DEA7C-321B-4D8F-AC7D-9639E002CEB3}"/>
    <cellStyle name="tableau | cellule | (total) | euro | decimal 2 6" xfId="2352" xr:uid="{A4F7E9C1-1F2C-4A64-B809-359C7D29AA7F}"/>
    <cellStyle name="tableau | cellule | (total) | euro | decimal 2 7" xfId="2353" xr:uid="{A0A8324B-FEB9-40D4-8619-9985907A89A7}"/>
    <cellStyle name="tableau | cellule | (total) | euro | entier" xfId="2354" xr:uid="{ECC55946-C19C-45F8-991E-CF8429E112C9}"/>
    <cellStyle name="tableau | cellule | (total) | euro | entier 2" xfId="2355" xr:uid="{A9A15556-2370-48EA-85BB-11E489EA8BD6}"/>
    <cellStyle name="tableau | cellule | (total) | euro | entier 2 2" xfId="2356" xr:uid="{C2A91DEF-C1A3-4C60-B9B2-283C11C5B0AD}"/>
    <cellStyle name="tableau | cellule | (total) | euro | entier 2 3" xfId="2357" xr:uid="{04CDAF8F-2BF3-41DE-9BA6-4C23C70F2912}"/>
    <cellStyle name="tableau | cellule | (total) | euro | entier 3" xfId="2358" xr:uid="{6D48E278-D861-472A-8331-E31F691606A0}"/>
    <cellStyle name="tableau | cellule | (total) | euro | entier 3 2" xfId="2359" xr:uid="{4F86BF8D-C3E2-4462-8095-E718B81E4F1F}"/>
    <cellStyle name="tableau | cellule | (total) | euro | entier 3 3" xfId="2360" xr:uid="{741E97C0-CC3E-4CDC-A1BB-16F9C117B7E6}"/>
    <cellStyle name="tableau | cellule | (total) | euro | entier 4" xfId="2361" xr:uid="{29653416-4939-49DE-BDEF-6341405EDC73}"/>
    <cellStyle name="tableau | cellule | (total) | euro | entier 4 2" xfId="2362" xr:uid="{C65C14EB-61B4-49C8-A2AF-A887B074BEC7}"/>
    <cellStyle name="tableau | cellule | (total) | euro | entier 4 3" xfId="2363" xr:uid="{E7C5A8C4-0C62-4B78-88B0-760621BED56D}"/>
    <cellStyle name="tableau | cellule | (total) | euro | entier 5" xfId="2364" xr:uid="{C2FC2529-9B79-457D-9AB9-F9709C0A79C7}"/>
    <cellStyle name="tableau | cellule | (total) | euro | entier 5 2" xfId="2365" xr:uid="{0D55CB99-B56D-40F8-AC04-75F5C229967F}"/>
    <cellStyle name="tableau | cellule | (total) | euro | entier 5 3" xfId="2366" xr:uid="{9BF10ECD-C3DB-4BC3-9D72-BFA9FF414329}"/>
    <cellStyle name="tableau | cellule | (total) | euro | entier 6" xfId="2367" xr:uid="{7A4D420F-13D8-444E-B3B0-E04A2CF0C114}"/>
    <cellStyle name="tableau | cellule | (total) | euro | entier 7" xfId="2368" xr:uid="{B89297EB-F847-4EF6-96DA-F73342959846}"/>
    <cellStyle name="tableau | cellule | (total) | franc | decimal 1" xfId="2369" xr:uid="{78C626CD-A004-4C06-A007-2C30A7D51F6B}"/>
    <cellStyle name="tableau | cellule | (total) | franc | decimal 1 2" xfId="2370" xr:uid="{95ADE75C-C014-4627-9A86-B4A38AF4EDA4}"/>
    <cellStyle name="tableau | cellule | (total) | franc | decimal 1 2 2" xfId="2371" xr:uid="{91517401-28C1-4884-A65E-BD64B4A3841F}"/>
    <cellStyle name="tableau | cellule | (total) | franc | decimal 1 2 3" xfId="2372" xr:uid="{ABEBA219-5238-49DD-B3BE-AD78337000FC}"/>
    <cellStyle name="tableau | cellule | (total) | franc | decimal 1 3" xfId="2373" xr:uid="{00C958C5-88B7-4216-905B-79A2DA675804}"/>
    <cellStyle name="tableau | cellule | (total) | franc | decimal 1 3 2" xfId="2374" xr:uid="{F767D90E-76FA-4BA9-AE6D-178897B59DB8}"/>
    <cellStyle name="tableau | cellule | (total) | franc | decimal 1 3 3" xfId="2375" xr:uid="{942F2485-5F9C-45B8-BA4C-504B03211E5C}"/>
    <cellStyle name="tableau | cellule | (total) | franc | decimal 1 4" xfId="2376" xr:uid="{E50DCB59-9C22-4532-915D-65A7226260EE}"/>
    <cellStyle name="tableau | cellule | (total) | franc | decimal 1 4 2" xfId="2377" xr:uid="{9121A84A-6CE7-4DD0-9735-A87D852C554E}"/>
    <cellStyle name="tableau | cellule | (total) | franc | decimal 1 4 3" xfId="2378" xr:uid="{BE935964-2714-4454-85E3-A697C7915087}"/>
    <cellStyle name="tableau | cellule | (total) | franc | decimal 1 5" xfId="2379" xr:uid="{D1E2F6C7-58C3-4D6C-80F0-0CA7D29BF92C}"/>
    <cellStyle name="tableau | cellule | (total) | franc | decimal 1 5 2" xfId="2380" xr:uid="{B968DA7D-90B6-4557-A630-A66AB1031CF1}"/>
    <cellStyle name="tableau | cellule | (total) | franc | decimal 1 5 3" xfId="2381" xr:uid="{F839786D-42FB-4FC9-BEEE-12360A8A18EC}"/>
    <cellStyle name="tableau | cellule | (total) | franc | decimal 1 6" xfId="2382" xr:uid="{1C274B8C-01AE-4A3A-BEBD-21CEFA35FE22}"/>
    <cellStyle name="tableau | cellule | (total) | franc | decimal 1 7" xfId="2383" xr:uid="{7B16EFC2-7335-46AD-9AF9-EC9293657E92}"/>
    <cellStyle name="tableau | cellule | (total) | franc | decimal 2" xfId="2384" xr:uid="{B2461B40-B74C-4D89-8F20-0514C6ADA41C}"/>
    <cellStyle name="tableau | cellule | (total) | franc | decimal 2 2" xfId="2385" xr:uid="{698A13E5-8809-4C67-BFD8-5F12FF77094B}"/>
    <cellStyle name="tableau | cellule | (total) | franc | decimal 2 2 2" xfId="2386" xr:uid="{FCCDC7E9-6D13-49B4-8CD1-F79E53020DFD}"/>
    <cellStyle name="tableau | cellule | (total) | franc | decimal 2 2 3" xfId="2387" xr:uid="{D03071F1-A5E2-4011-8051-A23F1D5AF6E1}"/>
    <cellStyle name="tableau | cellule | (total) | franc | decimal 2 3" xfId="2388" xr:uid="{333DBBBC-EA82-4F5A-B064-6091ABF82459}"/>
    <cellStyle name="tableau | cellule | (total) | franc | decimal 2 3 2" xfId="2389" xr:uid="{73580EAF-8C7D-408B-83C2-B2A2AC338465}"/>
    <cellStyle name="tableau | cellule | (total) | franc | decimal 2 3 3" xfId="2390" xr:uid="{206DC4CE-BFF8-46CE-87FA-D6EA29E0F85A}"/>
    <cellStyle name="tableau | cellule | (total) | franc | decimal 2 4" xfId="2391" xr:uid="{997F2B7B-4509-485E-A18B-48BBCE74C5A1}"/>
    <cellStyle name="tableau | cellule | (total) | franc | decimal 2 4 2" xfId="2392" xr:uid="{C41D8999-F0AB-4350-920B-31A06975B62B}"/>
    <cellStyle name="tableau | cellule | (total) | franc | decimal 2 4 3" xfId="2393" xr:uid="{1DD47DA1-A05D-45C8-B45E-E03526F186B9}"/>
    <cellStyle name="tableau | cellule | (total) | franc | decimal 2 5" xfId="2394" xr:uid="{8FA7E080-2149-44ED-9E36-0B5DA2C8E6F1}"/>
    <cellStyle name="tableau | cellule | (total) | franc | decimal 2 5 2" xfId="2395" xr:uid="{884D5DD6-8CAC-4C17-906D-E7DB8EA325B1}"/>
    <cellStyle name="tableau | cellule | (total) | franc | decimal 2 5 3" xfId="2396" xr:uid="{E8A21496-348E-487A-995B-FC5EE10D3E05}"/>
    <cellStyle name="tableau | cellule | (total) | franc | decimal 2 6" xfId="2397" xr:uid="{2F220CD3-6104-4BE9-A3C1-F1B28D2AD14D}"/>
    <cellStyle name="tableau | cellule | (total) | franc | decimal 2 7" xfId="2398" xr:uid="{BB94B737-22AE-4CA2-B542-AF93A52D9C3A}"/>
    <cellStyle name="tableau | cellule | (total) | franc | entier" xfId="2399" xr:uid="{DCAF5603-7F7F-4B6F-AF52-8070339D071C}"/>
    <cellStyle name="tableau | cellule | (total) | franc | entier 2" xfId="2400" xr:uid="{09B89C7C-8A84-4F0B-B53B-F7F56AE5C2CB}"/>
    <cellStyle name="tableau | cellule | (total) | franc | entier 2 2" xfId="2401" xr:uid="{7EC002DD-0253-491E-9BC5-C31D55A00FDC}"/>
    <cellStyle name="tableau | cellule | (total) | franc | entier 2 3" xfId="2402" xr:uid="{EB12B848-E1AE-461A-820E-2598FCB2611C}"/>
    <cellStyle name="tableau | cellule | (total) | franc | entier 3" xfId="2403" xr:uid="{468FE826-D60A-4B78-AB03-EEE5127B48E0}"/>
    <cellStyle name="tableau | cellule | (total) | franc | entier 3 2" xfId="2404" xr:uid="{CABDAA5E-23BB-49AD-AA79-1F073ABF2720}"/>
    <cellStyle name="tableau | cellule | (total) | franc | entier 3 3" xfId="2405" xr:uid="{F3F7D302-7E05-4E51-9F92-167EF8F8AB2F}"/>
    <cellStyle name="tableau | cellule | (total) | franc | entier 4" xfId="2406" xr:uid="{D6024E95-22E4-4957-8DA0-FE974AE64763}"/>
    <cellStyle name="tableau | cellule | (total) | franc | entier 4 2" xfId="2407" xr:uid="{55DC3DC9-B996-408F-939F-1E2DA8C0F2BE}"/>
    <cellStyle name="tableau | cellule | (total) | franc | entier 4 3" xfId="2408" xr:uid="{00C05562-6186-43BE-A014-FDE796F8BC16}"/>
    <cellStyle name="tableau | cellule | (total) | franc | entier 5" xfId="2409" xr:uid="{FAEF126A-8C85-48D8-83AF-D7185980E5FD}"/>
    <cellStyle name="tableau | cellule | (total) | franc | entier 5 2" xfId="2410" xr:uid="{0A173509-14FD-4F23-944C-AD65CAB1DE0F}"/>
    <cellStyle name="tableau | cellule | (total) | franc | entier 5 3" xfId="2411" xr:uid="{64D33BAD-DA7A-441A-870F-059AF7D3377C}"/>
    <cellStyle name="tableau | cellule | (total) | franc | entier 6" xfId="2412" xr:uid="{0BFB83EF-E08A-4364-95A3-76570F83C36B}"/>
    <cellStyle name="tableau | cellule | (total) | franc | entier 7" xfId="2413" xr:uid="{C9815679-D663-4AA9-9C46-4E6A81A3A40B}"/>
    <cellStyle name="tableau | cellule | (total) | pourcentage | decimal 1" xfId="2414" xr:uid="{46C7DDD6-1446-42E5-8520-5F9B77516AEA}"/>
    <cellStyle name="tableau | cellule | (total) | pourcentage | decimal 1 2" xfId="2415" xr:uid="{745687FD-9E64-48F3-A094-98E2093C5734}"/>
    <cellStyle name="tableau | cellule | (total) | pourcentage | decimal 1 2 2" xfId="2416" xr:uid="{9B39B650-0E5B-44B8-8AAE-A37519A03972}"/>
    <cellStyle name="tableau | cellule | (total) | pourcentage | decimal 1 2 3" xfId="2417" xr:uid="{9CF12A33-4BF2-4572-82F2-3265B4CF5B6D}"/>
    <cellStyle name="tableau | cellule | (total) | pourcentage | decimal 1 3" xfId="2418" xr:uid="{A9CBB6F9-17E2-43BF-A329-A20303E9F534}"/>
    <cellStyle name="tableau | cellule | (total) | pourcentage | decimal 1 3 2" xfId="2419" xr:uid="{37A6B617-1765-4F2A-918E-C5F083011A82}"/>
    <cellStyle name="tableau | cellule | (total) | pourcentage | decimal 1 3 3" xfId="2420" xr:uid="{EBBCC588-3094-4417-9F66-7822F1A87B95}"/>
    <cellStyle name="tableau | cellule | (total) | pourcentage | decimal 1 4" xfId="2421" xr:uid="{F11E8907-A536-4E4C-BC81-F8D44BA62887}"/>
    <cellStyle name="tableau | cellule | (total) | pourcentage | decimal 1 4 2" xfId="2422" xr:uid="{B45E04B0-1803-4530-BF60-9BB0BF242CDD}"/>
    <cellStyle name="tableau | cellule | (total) | pourcentage | decimal 1 4 3" xfId="2423" xr:uid="{88437203-1DCA-46DC-858E-3BD4E3E8D176}"/>
    <cellStyle name="tableau | cellule | (total) | pourcentage | decimal 1 5" xfId="2424" xr:uid="{1F4CEA55-CCCE-49E8-B58B-890963016C67}"/>
    <cellStyle name="tableau | cellule | (total) | pourcentage | decimal 1 5 2" xfId="2425" xr:uid="{7A7F0390-6F15-45A5-8687-A860EF469F55}"/>
    <cellStyle name="tableau | cellule | (total) | pourcentage | decimal 1 5 3" xfId="2426" xr:uid="{7A10C7D3-BA35-4770-A6CD-BA02B6483AD2}"/>
    <cellStyle name="tableau | cellule | (total) | pourcentage | decimal 1 6" xfId="2427" xr:uid="{54FEE712-5511-42A2-AF97-E80E3B21AE76}"/>
    <cellStyle name="tableau | cellule | (total) | pourcentage | decimal 1 7" xfId="2428" xr:uid="{47E5A740-F513-4BA5-BE8D-3E37B3C90428}"/>
    <cellStyle name="tableau | cellule | (total) | pourcentage | decimal 2" xfId="2429" xr:uid="{752C91B1-4DA8-468B-A22B-325D176B408F}"/>
    <cellStyle name="tableau | cellule | (total) | pourcentage | decimal 2 2" xfId="2430" xr:uid="{B5DC7000-0B19-483E-97E5-CF98B4E26051}"/>
    <cellStyle name="tableau | cellule | (total) | pourcentage | decimal 2 2 2" xfId="2431" xr:uid="{661790FD-9AB7-43E7-B5EF-F1017CC39916}"/>
    <cellStyle name="tableau | cellule | (total) | pourcentage | decimal 2 2 3" xfId="2432" xr:uid="{90DB14F1-B0FB-4B1A-B8A6-8B9E7A3CD80A}"/>
    <cellStyle name="tableau | cellule | (total) | pourcentage | decimal 2 3" xfId="2433" xr:uid="{EED82F05-4CBB-4F49-A3E0-407EFE04FF8F}"/>
    <cellStyle name="tableau | cellule | (total) | pourcentage | decimal 2 3 2" xfId="2434" xr:uid="{CDBAB701-A54E-4485-83A4-20E2FBC1F3D4}"/>
    <cellStyle name="tableau | cellule | (total) | pourcentage | decimal 2 3 3" xfId="2435" xr:uid="{8D876626-91D4-4C5E-B81B-CC1EAFCC259E}"/>
    <cellStyle name="tableau | cellule | (total) | pourcentage | decimal 2 4" xfId="2436" xr:uid="{F81EB26F-B42C-41C0-8708-B251DCA3EF99}"/>
    <cellStyle name="tableau | cellule | (total) | pourcentage | decimal 2 4 2" xfId="2437" xr:uid="{422EA9C9-DB14-49DA-8392-04DCDD5E42D3}"/>
    <cellStyle name="tableau | cellule | (total) | pourcentage | decimal 2 4 3" xfId="2438" xr:uid="{4299C900-7164-4CA4-9B73-20BF575D244A}"/>
    <cellStyle name="tableau | cellule | (total) | pourcentage | decimal 2 5" xfId="2439" xr:uid="{C2AEBC3E-FE29-4C3C-B278-F278CD9DBC15}"/>
    <cellStyle name="tableau | cellule | (total) | pourcentage | decimal 2 5 2" xfId="2440" xr:uid="{650C4280-698B-42BD-AEE9-AD3FE4ABCEE4}"/>
    <cellStyle name="tableau | cellule | (total) | pourcentage | decimal 2 5 3" xfId="2441" xr:uid="{5EC230CB-80D7-4B90-B18B-A565E2E86D83}"/>
    <cellStyle name="tableau | cellule | (total) | pourcentage | decimal 2 6" xfId="2442" xr:uid="{8FB94A88-6A52-443E-80E9-10ADD8465955}"/>
    <cellStyle name="tableau | cellule | (total) | pourcentage | decimal 2 7" xfId="2443" xr:uid="{3F1981C3-A4E3-4D76-BDC9-2E0B6D60744B}"/>
    <cellStyle name="tableau | cellule | (total) | pourcentage | entier" xfId="2444" xr:uid="{DD2AB3A7-E479-431E-93D5-18A0C2841692}"/>
    <cellStyle name="tableau | cellule | (total) | pourcentage | entier 2" xfId="2445" xr:uid="{7FE7D745-82E9-4266-BABC-0F0C536D262F}"/>
    <cellStyle name="tableau | cellule | (total) | pourcentage | entier 2 2" xfId="2446" xr:uid="{CD2C02B6-064B-494D-A853-04F188F516A8}"/>
    <cellStyle name="tableau | cellule | (total) | pourcentage | entier 2 3" xfId="2447" xr:uid="{DE2A7CEB-4C5B-485A-995E-2A0E0E92B015}"/>
    <cellStyle name="tableau | cellule | (total) | pourcentage | entier 3" xfId="2448" xr:uid="{32A3138B-132F-463D-9994-7FD7E338C1B5}"/>
    <cellStyle name="tableau | cellule | (total) | pourcentage | entier 3 2" xfId="2449" xr:uid="{630599EC-E204-4D70-BDD3-8E522A74ADB4}"/>
    <cellStyle name="tableau | cellule | (total) | pourcentage | entier 3 3" xfId="2450" xr:uid="{5C180D1B-39E0-425C-92B0-E2E516770E33}"/>
    <cellStyle name="tableau | cellule | (total) | pourcentage | entier 4" xfId="2451" xr:uid="{030D37FE-8F6B-4B44-82FB-710F969D2CD6}"/>
    <cellStyle name="tableau | cellule | (total) | pourcentage | entier 4 2" xfId="2452" xr:uid="{C8BAF19A-FA28-48C7-8F87-30F616A57516}"/>
    <cellStyle name="tableau | cellule | (total) | pourcentage | entier 4 3" xfId="2453" xr:uid="{3EB36FAC-8457-44F4-8878-713C42517113}"/>
    <cellStyle name="tableau | cellule | (total) | pourcentage | entier 5" xfId="2454" xr:uid="{694E0129-2913-4D68-893F-DBACCB3C912A}"/>
    <cellStyle name="tableau | cellule | (total) | pourcentage | entier 5 2" xfId="2455" xr:uid="{86A77336-E4EB-428A-A0A4-FE1D85E6FACE}"/>
    <cellStyle name="tableau | cellule | (total) | pourcentage | entier 5 3" xfId="2456" xr:uid="{1C079B00-B440-4F4E-BEAA-1FDBDE460881}"/>
    <cellStyle name="tableau | cellule | (total) | pourcentage | entier 6" xfId="2457" xr:uid="{177664DD-4231-40F1-941C-EE0BD70BCB8D}"/>
    <cellStyle name="tableau | cellule | (total) | pourcentage | entier 7" xfId="2458" xr:uid="{8BE9501F-87C4-4D87-9A31-99B95C51B561}"/>
    <cellStyle name="tableau | cellule | (total) | standard" xfId="2459" xr:uid="{AAF9C97E-5BC5-4B49-85A2-9A14BC167C26}"/>
    <cellStyle name="tableau | cellule | (total) | standard 2" xfId="2460" xr:uid="{EDD0DBDE-E1CF-4A23-9057-5B3AB166CCDD}"/>
    <cellStyle name="tableau | cellule | (total) | standard 2 2" xfId="2461" xr:uid="{0E222C05-5477-4E55-BE31-E7A2FE0D9075}"/>
    <cellStyle name="tableau | cellule | (total) | standard 2 3" xfId="2462" xr:uid="{6380A35D-EB2B-44EB-9BAE-52C0892DBF02}"/>
    <cellStyle name="tableau | cellule | (total) | standard 3" xfId="2463" xr:uid="{C637C73A-D6E7-4BCC-A05C-EDFE1F3954E8}"/>
    <cellStyle name="tableau | cellule | (total) | standard 3 2" xfId="2464" xr:uid="{E90E4426-CC16-4F64-99A4-B9F4546A5501}"/>
    <cellStyle name="tableau | cellule | (total) | standard 3 3" xfId="2465" xr:uid="{CF2BCEB5-9CF0-4D0D-A28B-6A0804D819D3}"/>
    <cellStyle name="tableau | cellule | (total) | standard 4" xfId="2466" xr:uid="{A050C039-A32E-4F07-A880-FBC41BD154B2}"/>
    <cellStyle name="tableau | cellule | (total) | standard 4 2" xfId="2467" xr:uid="{E98A9850-87C6-47D9-A472-E432B134FFB5}"/>
    <cellStyle name="tableau | cellule | (total) | standard 4 3" xfId="2468" xr:uid="{00EA88DE-854B-43D6-AAA9-E4C0AA0C14F4}"/>
    <cellStyle name="tableau | cellule | (total) | standard 5" xfId="2469" xr:uid="{DFA7ED75-6807-4113-8538-56AD13CA076A}"/>
    <cellStyle name="tableau | cellule | (total) | standard 5 2" xfId="2470" xr:uid="{27A9ED52-9194-4197-A633-ED3F6246A513}"/>
    <cellStyle name="tableau | cellule | (total) | standard 5 3" xfId="2471" xr:uid="{CD92D494-C929-4FC1-B91A-77941A032B1A}"/>
    <cellStyle name="tableau | cellule | (total) | standard 6" xfId="2472" xr:uid="{FA4C773B-C585-4375-B4C8-853EF2274D3C}"/>
    <cellStyle name="tableau | cellule | (total) | standard 7" xfId="2473" xr:uid="{3B4FEFE9-EB6A-4544-BA36-82C8B5E31CA5}"/>
    <cellStyle name="tableau | cellule | (total) | texte" xfId="2474" xr:uid="{486B9789-8E49-468C-8904-52CE24D7D0B6}"/>
    <cellStyle name="tableau | cellule | (total) | texte 2" xfId="2475" xr:uid="{F7858F74-A9B2-4CCB-9804-5BF2635B4B0C}"/>
    <cellStyle name="tableau | cellule | (total) | texte 2 2" xfId="2476" xr:uid="{2774F9C8-0E47-47F2-95B4-37B7C2D4B86F}"/>
    <cellStyle name="tableau | cellule | (total) | texte 2 3" xfId="2477" xr:uid="{A7CE443F-7165-4030-9459-0EBC6B056743}"/>
    <cellStyle name="tableau | cellule | (total) | texte 3" xfId="2478" xr:uid="{600EC773-E164-4075-B882-31E2C0E7DE3A}"/>
    <cellStyle name="tableau | cellule | (total) | texte 3 2" xfId="2479" xr:uid="{7544DF42-C191-4C5B-91BD-8261F634F277}"/>
    <cellStyle name="tableau | cellule | (total) | texte 3 3" xfId="2480" xr:uid="{AE5C753E-0CAE-45D1-9DAC-A533379CB095}"/>
    <cellStyle name="tableau | cellule | (total) | texte 4" xfId="2481" xr:uid="{EE2F0463-5101-4594-A387-C74C0A0161C9}"/>
    <cellStyle name="tableau | cellule | (total) | texte 4 2" xfId="2482" xr:uid="{EF0B6B09-724C-4EED-9A0C-351B82097879}"/>
    <cellStyle name="tableau | cellule | (total) | texte 4 3" xfId="2483" xr:uid="{A0F7EA4D-110F-4A42-8FD8-6D7CAB8063B7}"/>
    <cellStyle name="tableau | cellule | (total) | texte 5" xfId="2484" xr:uid="{CA72091D-09DF-4454-A03E-E8474D3FBCD7}"/>
    <cellStyle name="tableau | cellule | (total) | texte 5 2" xfId="2485" xr:uid="{2367EDD7-4D02-44F1-B432-DD9DF4514715}"/>
    <cellStyle name="tableau | cellule | (total) | texte 5 3" xfId="2486" xr:uid="{AE3AA5C4-0B49-4E7C-891D-ABE717FA368E}"/>
    <cellStyle name="tableau | cellule | (total) | texte 6" xfId="2487" xr:uid="{F97883AE-A4E4-453B-AA5A-6C0A96BCE865}"/>
    <cellStyle name="tableau | cellule | (total) | texte 7" xfId="2488" xr:uid="{3713FEA0-DAF3-408D-9387-F52B6E5D1B85}"/>
    <cellStyle name="tableau | cellule | normal | decimal 1" xfId="2489" xr:uid="{2CDAFA84-7831-4435-81A2-0E6DEF38F39D}"/>
    <cellStyle name="tableau | cellule | normal | decimal 1 2" xfId="2490" xr:uid="{39B3F5C6-DB18-4EBB-9594-45616922FD35}"/>
    <cellStyle name="tableau | cellule | normal | decimal 1 2 2" xfId="2491" xr:uid="{2F5F596B-898B-48FC-A2F6-A5D0410A6A35}"/>
    <cellStyle name="tableau | cellule | normal | decimal 1 2 2 2" xfId="2492" xr:uid="{707A4D42-0466-4A1E-8361-0AB934C5978B}"/>
    <cellStyle name="tableau | cellule | normal | decimal 1 2 2 3" xfId="2493" xr:uid="{D25557F5-41FF-4084-AE8F-0D0E1BD68251}"/>
    <cellStyle name="tableau | cellule | normal | decimal 1 2 3" xfId="2494" xr:uid="{F2745828-CB19-40BB-9971-560D5CF3EFFF}"/>
    <cellStyle name="tableau | cellule | normal | decimal 1 2 3 2" xfId="2495" xr:uid="{5AF625B2-5F46-4D8F-A89E-8B404111C802}"/>
    <cellStyle name="tableau | cellule | normal | decimal 1 2 3 3" xfId="2496" xr:uid="{4FF8C6A7-0938-41DF-B526-75FE44ABFBE8}"/>
    <cellStyle name="tableau | cellule | normal | decimal 1 2 4" xfId="2497" xr:uid="{B3BDF3F9-063E-438F-B4AD-ED408FB5C8D8}"/>
    <cellStyle name="tableau | cellule | normal | decimal 1 2 5" xfId="2498" xr:uid="{162FE51E-3EC1-4D1A-8EEC-0121886D6AA9}"/>
    <cellStyle name="tableau | cellule | normal | decimal 1 3" xfId="2499" xr:uid="{72C33571-5895-49FC-904B-A9084ECC6BAC}"/>
    <cellStyle name="tableau | cellule | normal | decimal 1 3 2" xfId="2500" xr:uid="{6ADA27A3-FE39-45D9-82D8-3DB1B4C16E2A}"/>
    <cellStyle name="tableau | cellule | normal | decimal 1 3 2 2" xfId="2501" xr:uid="{D924F47D-0F0D-47A0-B20E-636DBE9D468A}"/>
    <cellStyle name="tableau | cellule | normal | decimal 1 3 2 3" xfId="2502" xr:uid="{6782E4A9-CB5B-4EFF-A330-131C7C2CBB64}"/>
    <cellStyle name="tableau | cellule | normal | decimal 1 3 3" xfId="2503" xr:uid="{50E4714D-E4AC-4937-8DC0-78A89905C17B}"/>
    <cellStyle name="tableau | cellule | normal | decimal 1 3 4" xfId="2504" xr:uid="{C19F2EAE-4402-4AED-B9DA-A4C860E08457}"/>
    <cellStyle name="tableau | cellule | normal | decimal 1 4" xfId="2505" xr:uid="{7A636513-C1F9-4340-A057-F66DB60FA365}"/>
    <cellStyle name="tableau | cellule | normal | decimal 1 4 2" xfId="2506" xr:uid="{0C09D38A-5CE8-4897-A49E-9A35C90EED25}"/>
    <cellStyle name="tableau | cellule | normal | decimal 1 4 3" xfId="2507" xr:uid="{52B9CCE6-98B9-496E-9AD8-C42899E8E697}"/>
    <cellStyle name="tableau | cellule | normal | decimal 1 5" xfId="2508" xr:uid="{E70DD4F7-F22E-4FF5-B6E3-FF9359C4D456}"/>
    <cellStyle name="tableau | cellule | normal | decimal 1 5 2" xfId="2509" xr:uid="{4C0F05F2-EDA4-4F46-9255-26534368E044}"/>
    <cellStyle name="tableau | cellule | normal | decimal 1 5 3" xfId="2510" xr:uid="{D17616DB-276D-48CE-AA99-2D340576651C}"/>
    <cellStyle name="tableau | cellule | normal | decimal 1 6" xfId="2511" xr:uid="{C96D9089-B8F4-41EB-BB03-9912B3B25A98}"/>
    <cellStyle name="tableau | cellule | normal | decimal 1 7" xfId="2512" xr:uid="{959D07CE-A73E-45DB-86DC-702F8CCA136E}"/>
    <cellStyle name="tableau | cellule | normal | decimal 2" xfId="2513" xr:uid="{82FF0B50-DA0F-4C5F-B61A-0A5D507EE8EE}"/>
    <cellStyle name="tableau | cellule | normal | decimal 2 2" xfId="2514" xr:uid="{CF836C2B-3E8B-4C15-8DCA-4FBD2E71337C}"/>
    <cellStyle name="tableau | cellule | normal | decimal 2 2 2" xfId="2515" xr:uid="{B2B16CA4-57E0-4078-A6D9-0BC24957C392}"/>
    <cellStyle name="tableau | cellule | normal | decimal 2 2 2 2" xfId="2516" xr:uid="{76BDF248-79D6-4F2C-9E7C-EBAF4D06361C}"/>
    <cellStyle name="tableau | cellule | normal | decimal 2 2 2 3" xfId="2517" xr:uid="{CB66D75C-F805-436B-8F96-5B0D4EBB950D}"/>
    <cellStyle name="tableau | cellule | normal | decimal 2 2 3" xfId="2518" xr:uid="{29738678-6E6A-4618-BF14-69F7A7CE0195}"/>
    <cellStyle name="tableau | cellule | normal | decimal 2 2 4" xfId="2519" xr:uid="{8E212B38-94FA-41ED-8479-82E6CF5439BC}"/>
    <cellStyle name="tableau | cellule | normal | decimal 2 3" xfId="2520" xr:uid="{480E74A8-BDCB-416B-AA89-573894EEA680}"/>
    <cellStyle name="tableau | cellule | normal | decimal 2 3 2" xfId="2521" xr:uid="{ABCD2623-5F01-4BFC-B427-68D445B32A4C}"/>
    <cellStyle name="tableau | cellule | normal | decimal 2 3 3" xfId="2522" xr:uid="{0D60DFBC-1B91-4909-9D67-75D750048A88}"/>
    <cellStyle name="tableau | cellule | normal | decimal 2 4" xfId="2523" xr:uid="{9CBE1FE9-A371-47C9-917A-B77E64D4FC67}"/>
    <cellStyle name="tableau | cellule | normal | decimal 2 4 2" xfId="2524" xr:uid="{D0A35911-DCF4-45D2-AA48-527D99F3D9A2}"/>
    <cellStyle name="tableau | cellule | normal | decimal 2 4 3" xfId="2525" xr:uid="{EACE7331-E946-4F59-ABD2-EC522B770919}"/>
    <cellStyle name="tableau | cellule | normal | decimal 2 5" xfId="2526" xr:uid="{B9E7072B-3509-4833-91AD-E9511AE314CD}"/>
    <cellStyle name="tableau | cellule | normal | decimal 2 5 2" xfId="2527" xr:uid="{16162BF3-C9A2-4ACB-ABA6-28C64103A1DF}"/>
    <cellStyle name="tableau | cellule | normal | decimal 2 5 3" xfId="2528" xr:uid="{B3945079-FC4B-4F5A-9715-3C642CCB6DFA}"/>
    <cellStyle name="tableau | cellule | normal | decimal 2 6" xfId="2529" xr:uid="{8F5484C3-982C-42B3-ABD8-131C99E0990C}"/>
    <cellStyle name="tableau | cellule | normal | decimal 2 7" xfId="2530" xr:uid="{B76FF706-62E5-4E7D-82F4-57A3D9E49A47}"/>
    <cellStyle name="tableau | cellule | normal | decimal 3" xfId="2531" xr:uid="{46AA1807-5A15-4A54-B0CC-68AADB572009}"/>
    <cellStyle name="tableau | cellule | normal | decimal 3 2" xfId="2532" xr:uid="{675B8425-ED37-4CCB-AA7E-F4EEE60B589F}"/>
    <cellStyle name="tableau | cellule | normal | decimal 3 2 2" xfId="2533" xr:uid="{9879AE00-479F-417B-8F78-8BE9D682823D}"/>
    <cellStyle name="tableau | cellule | normal | decimal 3 2 2 2" xfId="2534" xr:uid="{DC5EC0CE-E05E-465F-9222-7600C113C469}"/>
    <cellStyle name="tableau | cellule | normal | decimal 3 2 2 3" xfId="2535" xr:uid="{A96B3080-8DDD-4E31-A4FE-61C0C4E4FAAB}"/>
    <cellStyle name="tableau | cellule | normal | decimal 3 2 3" xfId="2536" xr:uid="{1AF84ED0-9EFB-4573-9037-CD91C750A7B1}"/>
    <cellStyle name="tableau | cellule | normal | decimal 3 2 4" xfId="2537" xr:uid="{6AA17CA4-285E-4D99-A48E-B598BFA6393A}"/>
    <cellStyle name="tableau | cellule | normal | decimal 3 3" xfId="2538" xr:uid="{E59972E3-CB15-4BAC-8D3A-B487C7CEE7D1}"/>
    <cellStyle name="tableau | cellule | normal | decimal 3 3 2" xfId="2539" xr:uid="{D98CFE11-BE18-49EC-9A13-313F45CFCD5E}"/>
    <cellStyle name="tableau | cellule | normal | decimal 3 3 3" xfId="2540" xr:uid="{504D7D6E-7AEF-47EC-AF5B-E85CC6C5B428}"/>
    <cellStyle name="tableau | cellule | normal | decimal 3 4" xfId="2541" xr:uid="{F2A313EA-A23A-4E5C-AE8C-67A97D0C946F}"/>
    <cellStyle name="tableau | cellule | normal | decimal 3 4 2" xfId="2542" xr:uid="{AA3D9CD8-6E03-480B-8989-E41BC9C00E4D}"/>
    <cellStyle name="tableau | cellule | normal | decimal 3 4 3" xfId="2543" xr:uid="{667AB8DB-B776-4F2A-B13D-CA6528ABC059}"/>
    <cellStyle name="tableau | cellule | normal | decimal 3 5" xfId="2544" xr:uid="{C4612ACD-81D0-44CD-8388-3EFFCEA828A1}"/>
    <cellStyle name="tableau | cellule | normal | decimal 3 5 2" xfId="2545" xr:uid="{6C5156AB-6CAF-44D0-AFCE-4CC29BC9BEC9}"/>
    <cellStyle name="tableau | cellule | normal | decimal 3 5 3" xfId="2546" xr:uid="{06FCF634-E423-4C48-90D3-63EB74B0F0DD}"/>
    <cellStyle name="tableau | cellule | normal | decimal 3 6" xfId="2547" xr:uid="{B0FC130B-FEE8-43DD-8540-BCD08D115229}"/>
    <cellStyle name="tableau | cellule | normal | decimal 3 7" xfId="2548" xr:uid="{F0497568-81A9-4CF4-8EC8-8001C852BDEA}"/>
    <cellStyle name="tableau | cellule | normal | decimal 4" xfId="2549" xr:uid="{DDDC6717-7D77-4E0B-8C68-0035D66B59FD}"/>
    <cellStyle name="tableau | cellule | normal | decimal 4 2" xfId="2550" xr:uid="{A6E3EA08-FB5D-4E8F-AFB7-8CC6732A1D97}"/>
    <cellStyle name="tableau | cellule | normal | decimal 4 2 2" xfId="2551" xr:uid="{764E30DA-DEFB-4EBA-AD01-EEC645D8D283}"/>
    <cellStyle name="tableau | cellule | normal | decimal 4 2 2 2" xfId="2552" xr:uid="{CAFAAA44-1E8D-4A6C-80A2-21ED0B26B798}"/>
    <cellStyle name="tableau | cellule | normal | decimal 4 2 2 3" xfId="2553" xr:uid="{9967D4B9-5BD9-40DD-99C5-F83510D290EB}"/>
    <cellStyle name="tableau | cellule | normal | decimal 4 2 3" xfId="2554" xr:uid="{91E7ED75-86B0-475E-9169-85C6620DE2BD}"/>
    <cellStyle name="tableau | cellule | normal | decimal 4 2 4" xfId="2555" xr:uid="{DAD401EE-1D75-485B-A115-CFCAC7240B44}"/>
    <cellStyle name="tableau | cellule | normal | decimal 4 3" xfId="2556" xr:uid="{6CB84512-487A-432F-A1C7-8442F593FE0F}"/>
    <cellStyle name="tableau | cellule | normal | decimal 4 3 2" xfId="2557" xr:uid="{567CC68E-96FE-4206-8CEA-6BC2A4203C53}"/>
    <cellStyle name="tableau | cellule | normal | decimal 4 3 3" xfId="2558" xr:uid="{4013996A-7C92-4EEC-A871-7527034F0E44}"/>
    <cellStyle name="tableau | cellule | normal | decimal 4 4" xfId="2559" xr:uid="{5F9B3E88-1FDE-4B20-9307-225714BA98CF}"/>
    <cellStyle name="tableau | cellule | normal | decimal 4 4 2" xfId="2560" xr:uid="{530FED3E-2013-4B58-8E3D-33409611643D}"/>
    <cellStyle name="tableau | cellule | normal | decimal 4 4 3" xfId="2561" xr:uid="{20FCDE76-31D7-4741-8B5D-DFB83F6C52F1}"/>
    <cellStyle name="tableau | cellule | normal | decimal 4 5" xfId="2562" xr:uid="{34944C30-DB4D-409F-93FD-CB9869895C3D}"/>
    <cellStyle name="tableau | cellule | normal | decimal 4 5 2" xfId="2563" xr:uid="{03716325-BDEE-49AD-8C14-E34F303C90A8}"/>
    <cellStyle name="tableau | cellule | normal | decimal 4 5 3" xfId="2564" xr:uid="{3F5341AA-A6EB-4975-AA8D-A88097A1EA69}"/>
    <cellStyle name="tableau | cellule | normal | decimal 4 6" xfId="2565" xr:uid="{1E41330D-0A3E-47E1-92D0-A3B1561F820B}"/>
    <cellStyle name="tableau | cellule | normal | decimal 4 7" xfId="2566" xr:uid="{0A8E1733-623D-4456-9CE0-DBE03E2F5B71}"/>
    <cellStyle name="tableau | cellule | normal | entier" xfId="2567" xr:uid="{E6B938CA-671D-4F0E-98DC-B0639FF9DB8A}"/>
    <cellStyle name="tableau | cellule | normal | entier 2" xfId="2568" xr:uid="{7C557F20-4A99-4861-821B-2570A427A7FA}"/>
    <cellStyle name="tableau | cellule | normal | entier 2 2" xfId="2569" xr:uid="{0AB73B03-2857-40BB-B39F-EEA56FD93563}"/>
    <cellStyle name="tableau | cellule | normal | entier 2 2 2" xfId="2570" xr:uid="{96DF3886-CD80-4B19-BA4E-26FB39F2B01B}"/>
    <cellStyle name="tableau | cellule | normal | entier 2 2 3" xfId="2571" xr:uid="{792F2E37-5A08-4F72-B610-C5D31C566C0C}"/>
    <cellStyle name="tableau | cellule | normal | entier 2 3" xfId="2572" xr:uid="{E2D42AB2-57FC-45FD-B9C8-E56BBB60E529}"/>
    <cellStyle name="tableau | cellule | normal | entier 2 4" xfId="2573" xr:uid="{8A0D6624-3E9C-49A8-ACB6-C1E21A1570C1}"/>
    <cellStyle name="tableau | cellule | normal | entier 3" xfId="2574" xr:uid="{588E79BA-B5E9-4CC2-BB64-A9ACE659C960}"/>
    <cellStyle name="tableau | cellule | normal | entier 3 2" xfId="2575" xr:uid="{70A488DE-9E2E-4D8D-8CB0-D5D5A81E4408}"/>
    <cellStyle name="tableau | cellule | normal | entier 3 3" xfId="2576" xr:uid="{C0999A2B-B2D3-403C-96E5-896C47462332}"/>
    <cellStyle name="tableau | cellule | normal | entier 4" xfId="2577" xr:uid="{7C647BF4-DFB8-438B-AB86-DB881AF25FFD}"/>
    <cellStyle name="tableau | cellule | normal | entier 4 2" xfId="2578" xr:uid="{C8367B27-6B2C-4A1A-AD22-9498204A291E}"/>
    <cellStyle name="tableau | cellule | normal | entier 4 3" xfId="2579" xr:uid="{416EFD93-AC64-492C-B4B6-4201E7121096}"/>
    <cellStyle name="tableau | cellule | normal | entier 5" xfId="2580" xr:uid="{86435C92-A77E-42C5-A695-7971EC9F01B9}"/>
    <cellStyle name="tableau | cellule | normal | entier 5 2" xfId="2581" xr:uid="{341FEAD6-06E7-4DB0-8878-18B2867EA3A1}"/>
    <cellStyle name="tableau | cellule | normal | entier 5 3" xfId="2582" xr:uid="{A012BC87-CA4C-4ABF-A990-AD8B8459E19A}"/>
    <cellStyle name="tableau | cellule | normal | entier 6" xfId="2583" xr:uid="{4C4EAD62-EC27-42E9-99AF-BF3E86AC577B}"/>
    <cellStyle name="tableau | cellule | normal | entier 7" xfId="2584" xr:uid="{A585EF3F-B3F8-40FD-A29C-9D9849E23C1F}"/>
    <cellStyle name="tableau | cellule | normal | euro | decimal 1" xfId="2585" xr:uid="{1F0E0A7D-3028-4E33-B1A7-B43FDA456E3E}"/>
    <cellStyle name="tableau | cellule | normal | euro | decimal 1 2" xfId="2586" xr:uid="{35FCDEE0-AD4F-4B42-963C-F740B7D33958}"/>
    <cellStyle name="tableau | cellule | normal | euro | decimal 1 2 2" xfId="2587" xr:uid="{A9F141F0-4F01-41E3-81C1-A3B8D81568AE}"/>
    <cellStyle name="tableau | cellule | normal | euro | decimal 1 2 2 2" xfId="2588" xr:uid="{B9B4C4F6-BD5B-45C4-B67C-925438A85B13}"/>
    <cellStyle name="tableau | cellule | normal | euro | decimal 1 2 2 3" xfId="2589" xr:uid="{20AAA172-4959-421B-83B8-F609D6C3BF73}"/>
    <cellStyle name="tableau | cellule | normal | euro | decimal 1 2 3" xfId="2590" xr:uid="{7933C364-3CE7-49E1-9A01-B7A2B200C7DE}"/>
    <cellStyle name="tableau | cellule | normal | euro | decimal 1 2 4" xfId="2591" xr:uid="{4B05D913-7D87-4771-8C3A-CB474FD6BBDC}"/>
    <cellStyle name="tableau | cellule | normal | euro | decimal 1 3" xfId="2592" xr:uid="{95F700B6-2884-4628-A84E-EB7B68AE2C70}"/>
    <cellStyle name="tableau | cellule | normal | euro | decimal 1 3 2" xfId="2593" xr:uid="{96E15EA8-CCE4-4F9F-92C3-754B8CA2672E}"/>
    <cellStyle name="tableau | cellule | normal | euro | decimal 1 3 3" xfId="2594" xr:uid="{38B16BE2-DB59-4A32-A599-95575D0CD28A}"/>
    <cellStyle name="tableau | cellule | normal | euro | decimal 1 4" xfId="2595" xr:uid="{E4D4F820-F632-4AC4-A897-A2A3E456D705}"/>
    <cellStyle name="tableau | cellule | normal | euro | decimal 1 4 2" xfId="2596" xr:uid="{E16D4F76-24EC-40CC-8525-5CB0D4C6791C}"/>
    <cellStyle name="tableau | cellule | normal | euro | decimal 1 4 3" xfId="2597" xr:uid="{EAA11B00-9A81-42E0-8398-38D9E7C1D424}"/>
    <cellStyle name="tableau | cellule | normal | euro | decimal 1 5" xfId="2598" xr:uid="{80618C79-D435-49EE-9645-1C58150E69E2}"/>
    <cellStyle name="tableau | cellule | normal | euro | decimal 1 5 2" xfId="2599" xr:uid="{D9D1B942-CB8B-4A89-9C39-6BDA8B71CE05}"/>
    <cellStyle name="tableau | cellule | normal | euro | decimal 1 5 3" xfId="2600" xr:uid="{E64A566A-473A-4615-AE00-E63150E2FFE9}"/>
    <cellStyle name="tableau | cellule | normal | euro | decimal 1 6" xfId="2601" xr:uid="{99C271FF-7CD9-48ED-BF68-8BCC3FB75CA9}"/>
    <cellStyle name="tableau | cellule | normal | euro | decimal 1 7" xfId="2602" xr:uid="{0570877B-C106-45D1-8130-C1467DF88850}"/>
    <cellStyle name="tableau | cellule | normal | euro | decimal 2" xfId="2603" xr:uid="{DBBD3289-A2BA-4325-AC06-B444F9084B45}"/>
    <cellStyle name="tableau | cellule | normal | euro | decimal 2 2" xfId="2604" xr:uid="{B6CAF912-C2D4-498E-A3C7-AF5268C1BD41}"/>
    <cellStyle name="tableau | cellule | normal | euro | decimal 2 2 2" xfId="2605" xr:uid="{8014A72D-BF32-463B-B149-1B3AC9951CF7}"/>
    <cellStyle name="tableau | cellule | normal | euro | decimal 2 2 2 2" xfId="2606" xr:uid="{37DBB6C4-4EE9-4AF4-AB57-E0464BE67C30}"/>
    <cellStyle name="tableau | cellule | normal | euro | decimal 2 2 2 3" xfId="2607" xr:uid="{48A0F16D-2349-4EA4-8602-FEA45634CF60}"/>
    <cellStyle name="tableau | cellule | normal | euro | decimal 2 2 3" xfId="2608" xr:uid="{B554FB91-1464-42EE-B723-5F30881202D6}"/>
    <cellStyle name="tableau | cellule | normal | euro | decimal 2 2 4" xfId="2609" xr:uid="{487C5A76-DFE7-477A-928C-B6C0C1C4BF50}"/>
    <cellStyle name="tableau | cellule | normal | euro | decimal 2 3" xfId="2610" xr:uid="{FADB6147-BABD-48F6-B845-FC218339467C}"/>
    <cellStyle name="tableau | cellule | normal | euro | decimal 2 3 2" xfId="2611" xr:uid="{BCB04D02-9B7A-4EF1-AA4A-3C76873A5113}"/>
    <cellStyle name="tableau | cellule | normal | euro | decimal 2 3 3" xfId="2612" xr:uid="{FC5EF9CF-A39B-49A7-A0C2-490A8F9A81C6}"/>
    <cellStyle name="tableau | cellule | normal | euro | decimal 2 4" xfId="2613" xr:uid="{0887B1D3-B50A-4915-B591-8B5CB21D8D53}"/>
    <cellStyle name="tableau | cellule | normal | euro | decimal 2 4 2" xfId="2614" xr:uid="{446224AE-AB1F-4FEB-BA7B-54400F0B5D9B}"/>
    <cellStyle name="tableau | cellule | normal | euro | decimal 2 4 3" xfId="2615" xr:uid="{72EE691F-6A06-44E7-B37B-C6F4E9F62382}"/>
    <cellStyle name="tableau | cellule | normal | euro | decimal 2 5" xfId="2616" xr:uid="{2511C4EE-C6A9-41DB-B085-6635DA708A4A}"/>
    <cellStyle name="tableau | cellule | normal | euro | decimal 2 5 2" xfId="2617" xr:uid="{8C293C17-CFC6-4448-BFED-79F1FBDD0054}"/>
    <cellStyle name="tableau | cellule | normal | euro | decimal 2 5 3" xfId="2618" xr:uid="{1BEA5A46-B383-40A0-9027-34AE31D46D92}"/>
    <cellStyle name="tableau | cellule | normal | euro | decimal 2 6" xfId="2619" xr:uid="{FB8A63F9-CE4E-4436-AC5E-0FAD224FCEC7}"/>
    <cellStyle name="tableau | cellule | normal | euro | decimal 2 7" xfId="2620" xr:uid="{E3DB6804-726B-405A-B504-F80018FD1EE0}"/>
    <cellStyle name="tableau | cellule | normal | euro | entier" xfId="2621" xr:uid="{D2C34B08-173B-4C03-AD8A-4C2A258F958C}"/>
    <cellStyle name="tableau | cellule | normal | euro | entier 2" xfId="2622" xr:uid="{4917E5B2-FD62-4DCC-A31A-BAEE7C4345BD}"/>
    <cellStyle name="tableau | cellule | normal | euro | entier 2 2" xfId="2623" xr:uid="{572C3DC7-A25F-4AA4-A3EF-536CC547318C}"/>
    <cellStyle name="tableau | cellule | normal | euro | entier 2 2 2" xfId="2624" xr:uid="{D6745AAE-E26B-4133-883D-AEAB8D385951}"/>
    <cellStyle name="tableau | cellule | normal | euro | entier 2 2 3" xfId="2625" xr:uid="{343514FD-D1A2-4E28-84C5-7DA611562A11}"/>
    <cellStyle name="tableau | cellule | normal | euro | entier 2 3" xfId="2626" xr:uid="{55028970-DC26-4741-86AD-F99ABFA799BA}"/>
    <cellStyle name="tableau | cellule | normal | euro | entier 2 4" xfId="2627" xr:uid="{0E722FF4-7D53-49DD-AFD8-7E02CB3C391E}"/>
    <cellStyle name="tableau | cellule | normal | euro | entier 3" xfId="2628" xr:uid="{9F340A6B-AB91-4AFE-A74E-D557F678A947}"/>
    <cellStyle name="tableau | cellule | normal | euro | entier 3 2" xfId="2629" xr:uid="{1564A805-109E-49F3-A581-DD02C82A3629}"/>
    <cellStyle name="tableau | cellule | normal | euro | entier 3 3" xfId="2630" xr:uid="{26F931C4-E16C-4F78-94CF-C20298DF3391}"/>
    <cellStyle name="tableau | cellule | normal | euro | entier 4" xfId="2631" xr:uid="{672D6A01-CAA7-4415-8884-A6B0CA38E024}"/>
    <cellStyle name="tableau | cellule | normal | euro | entier 4 2" xfId="2632" xr:uid="{A7B8FCB7-1516-43CF-8B14-9B566700EA21}"/>
    <cellStyle name="tableau | cellule | normal | euro | entier 4 3" xfId="2633" xr:uid="{D4935A22-5673-4892-ACCE-DBC67CB84477}"/>
    <cellStyle name="tableau | cellule | normal | euro | entier 5" xfId="2634" xr:uid="{C19625E1-7AFF-4C47-9E2B-DE51951205AD}"/>
    <cellStyle name="tableau | cellule | normal | euro | entier 5 2" xfId="2635" xr:uid="{5B3B8993-7566-42F9-A94E-1E47828507C5}"/>
    <cellStyle name="tableau | cellule | normal | euro | entier 5 3" xfId="2636" xr:uid="{F65DB6FD-9EDB-42EE-8B69-7DF8AA310772}"/>
    <cellStyle name="tableau | cellule | normal | euro | entier 6" xfId="2637" xr:uid="{7D69F524-CCCC-4D02-8C27-FEDDA737B7D1}"/>
    <cellStyle name="tableau | cellule | normal | euro | entier 7" xfId="2638" xr:uid="{47B810A0-0C6E-40B1-8F95-CF6C1A136357}"/>
    <cellStyle name="tableau | cellule | normal | franc | decimal 1" xfId="2639" xr:uid="{AFD25809-35BC-4B1E-96F6-2C950C1B8980}"/>
    <cellStyle name="tableau | cellule | normal | franc | decimal 1 2" xfId="2640" xr:uid="{8A72A0C2-BE30-4949-9DD2-305278C97ABF}"/>
    <cellStyle name="tableau | cellule | normal | franc | decimal 1 2 2" xfId="2641" xr:uid="{47C1C9E9-023B-40EF-9498-28A0D56B0825}"/>
    <cellStyle name="tableau | cellule | normal | franc | decimal 1 2 2 2" xfId="2642" xr:uid="{27D5D73E-CC81-4E79-964A-22BDEC80299D}"/>
    <cellStyle name="tableau | cellule | normal | franc | decimal 1 2 2 3" xfId="2643" xr:uid="{4DD9CC5C-1D66-464C-84B1-3CA321BBB268}"/>
    <cellStyle name="tableau | cellule | normal | franc | decimal 1 2 3" xfId="2644" xr:uid="{BCBCE7CB-345F-4A94-96FA-C1DC2259745C}"/>
    <cellStyle name="tableau | cellule | normal | franc | decimal 1 2 4" xfId="2645" xr:uid="{E0B025CC-95E1-40C8-A591-7C370D3AC384}"/>
    <cellStyle name="tableau | cellule | normal | franc | decimal 1 3" xfId="2646" xr:uid="{9D9F5135-D4A6-4C06-8462-DED6B509BAC6}"/>
    <cellStyle name="tableau | cellule | normal | franc | decimal 1 3 2" xfId="2647" xr:uid="{F5347CDD-2839-4C0B-8591-3729BCCE7B7D}"/>
    <cellStyle name="tableau | cellule | normal | franc | decimal 1 3 3" xfId="2648" xr:uid="{061548C4-AA79-4269-A2B1-485E16D45DD5}"/>
    <cellStyle name="tableau | cellule | normal | franc | decimal 1 4" xfId="2649" xr:uid="{D2BD515B-EFB1-4065-BFFC-7A4387813750}"/>
    <cellStyle name="tableau | cellule | normal | franc | decimal 1 4 2" xfId="2650" xr:uid="{BD35C083-E34F-4711-BFD5-D1B0311A13EE}"/>
    <cellStyle name="tableau | cellule | normal | franc | decimal 1 4 3" xfId="2651" xr:uid="{9641C90C-2BB0-4CAA-B816-648579AAE0D7}"/>
    <cellStyle name="tableau | cellule | normal | franc | decimal 1 5" xfId="2652" xr:uid="{CA23BF44-7D1A-4A73-A0F7-C64E0BC8D47D}"/>
    <cellStyle name="tableau | cellule | normal | franc | decimal 1 5 2" xfId="2653" xr:uid="{B344D7DA-AD5A-4F04-B233-864C82248C4E}"/>
    <cellStyle name="tableau | cellule | normal | franc | decimal 1 5 3" xfId="2654" xr:uid="{C827D51F-D44C-42DE-A813-4D725C2B9062}"/>
    <cellStyle name="tableau | cellule | normal | franc | decimal 1 6" xfId="2655" xr:uid="{0E65E65B-F63C-4BC3-AF48-46017F536F67}"/>
    <cellStyle name="tableau | cellule | normal | franc | decimal 1 7" xfId="2656" xr:uid="{3EC9F689-49F7-4FB7-BF05-D6ACB26A6EB6}"/>
    <cellStyle name="tableau | cellule | normal | franc | decimal 2" xfId="2657" xr:uid="{0578D3BA-0B20-493C-A017-22815F1FA381}"/>
    <cellStyle name="tableau | cellule | normal | franc | decimal 2 2" xfId="2658" xr:uid="{E30FFD43-5B51-48AE-B24B-F97F4CC50124}"/>
    <cellStyle name="tableau | cellule | normal | franc | decimal 2 2 2" xfId="2659" xr:uid="{2670D268-DCEC-405A-A087-1E5DDF097FA9}"/>
    <cellStyle name="tableau | cellule | normal | franc | decimal 2 2 2 2" xfId="2660" xr:uid="{BAE918E6-5804-46AD-BDA6-EB791373BCDE}"/>
    <cellStyle name="tableau | cellule | normal | franc | decimal 2 2 2 3" xfId="2661" xr:uid="{3DAD0284-CE51-485D-B64C-4BFD494D7971}"/>
    <cellStyle name="tableau | cellule | normal | franc | decimal 2 2 3" xfId="2662" xr:uid="{CE23CA6C-42DF-4445-A34D-9A0F31426ADB}"/>
    <cellStyle name="tableau | cellule | normal | franc | decimal 2 2 4" xfId="2663" xr:uid="{822009BA-3D9F-456F-951C-FB2ADC2190C9}"/>
    <cellStyle name="tableau | cellule | normal | franc | decimal 2 3" xfId="2664" xr:uid="{512476A9-FE0C-4E3E-85D7-97D2BDFF327A}"/>
    <cellStyle name="tableau | cellule | normal | franc | decimal 2 3 2" xfId="2665" xr:uid="{4C4823F8-00F8-466A-9C51-DD98BF6F2892}"/>
    <cellStyle name="tableau | cellule | normal | franc | decimal 2 3 3" xfId="2666" xr:uid="{E2FC4209-4A6A-4EB6-9515-EFCC02B2411F}"/>
    <cellStyle name="tableau | cellule | normal | franc | decimal 2 4" xfId="2667" xr:uid="{949D0E61-27D2-4E68-8160-E57A08FD847F}"/>
    <cellStyle name="tableau | cellule | normal | franc | decimal 2 4 2" xfId="2668" xr:uid="{7EABEAED-245B-4813-8436-9B1FC751A637}"/>
    <cellStyle name="tableau | cellule | normal | franc | decimal 2 4 3" xfId="2669" xr:uid="{1A17090C-0481-4BCD-B91D-76B181E8BE7D}"/>
    <cellStyle name="tableau | cellule | normal | franc | decimal 2 5" xfId="2670" xr:uid="{1C74F1CE-1411-4D5E-8A20-AB297422F642}"/>
    <cellStyle name="tableau | cellule | normal | franc | decimal 2 5 2" xfId="2671" xr:uid="{755A327E-5677-4D9E-817F-0ABBDD4CCA9B}"/>
    <cellStyle name="tableau | cellule | normal | franc | decimal 2 5 3" xfId="2672" xr:uid="{72BE437C-259E-4F60-8302-21D4C6F9D92B}"/>
    <cellStyle name="tableau | cellule | normal | franc | decimal 2 6" xfId="2673" xr:uid="{51D57DC1-7434-45BA-923A-660675A8F354}"/>
    <cellStyle name="tableau | cellule | normal | franc | decimal 2 7" xfId="2674" xr:uid="{EF329095-8C38-43A2-8FEF-FC0AD4F726EB}"/>
    <cellStyle name="tableau | cellule | normal | franc | entier" xfId="2675" xr:uid="{FB4E57D0-A077-48CA-972D-A255F23EA08C}"/>
    <cellStyle name="tableau | cellule | normal | franc | entier 2" xfId="2676" xr:uid="{A3D17B22-5383-4776-B0A7-3E4A62DA5E0D}"/>
    <cellStyle name="tableau | cellule | normal | franc | entier 2 2" xfId="2677" xr:uid="{A5AB012A-7F0B-4305-AB8E-338F89D95B36}"/>
    <cellStyle name="tableau | cellule | normal | franc | entier 2 2 2" xfId="2678" xr:uid="{31446000-3CE7-4258-8304-3761F52D63A9}"/>
    <cellStyle name="tableau | cellule | normal | franc | entier 2 2 3" xfId="2679" xr:uid="{EF8E1B10-5027-44F0-B05D-0DC5F3EEADCE}"/>
    <cellStyle name="tableau | cellule | normal | franc | entier 2 3" xfId="2680" xr:uid="{22D2F0A1-139F-41E1-B6AA-F9ED7DAA3678}"/>
    <cellStyle name="tableau | cellule | normal | franc | entier 2 4" xfId="2681" xr:uid="{86985196-0B84-413B-8A69-53D898AFD82F}"/>
    <cellStyle name="tableau | cellule | normal | franc | entier 3" xfId="2682" xr:uid="{00B10A52-C8D9-47EC-8436-B56597BD0953}"/>
    <cellStyle name="tableau | cellule | normal | franc | entier 3 2" xfId="2683" xr:uid="{AC4D63EE-6093-46B4-A5CB-C13F3D1D8D2D}"/>
    <cellStyle name="tableau | cellule | normal | franc | entier 3 3" xfId="2684" xr:uid="{BDD1BA65-1622-4231-B757-2325BE06E559}"/>
    <cellStyle name="tableau | cellule | normal | franc | entier 4" xfId="2685" xr:uid="{D0BD33EB-0750-43CF-A58C-488D5487D06C}"/>
    <cellStyle name="tableau | cellule | normal | franc | entier 4 2" xfId="2686" xr:uid="{9575765F-1CE2-44A1-822C-E7BF3DAC4E16}"/>
    <cellStyle name="tableau | cellule | normal | franc | entier 4 3" xfId="2687" xr:uid="{CC8F6B67-11CD-4ADF-86A7-A704F044B50F}"/>
    <cellStyle name="tableau | cellule | normal | franc | entier 5" xfId="2688" xr:uid="{1D743F68-B30E-4B1B-B7A7-25D4CB3740E8}"/>
    <cellStyle name="tableau | cellule | normal | franc | entier 5 2" xfId="2689" xr:uid="{2A874760-7E71-425B-8C4B-D9D60A0E4030}"/>
    <cellStyle name="tableau | cellule | normal | franc | entier 5 3" xfId="2690" xr:uid="{69FF9332-5751-4C79-9616-B62C3DA6718E}"/>
    <cellStyle name="tableau | cellule | normal | franc | entier 6" xfId="2691" xr:uid="{2E902894-B184-4542-802C-EFA26423A29C}"/>
    <cellStyle name="tableau | cellule | normal | franc | entier 7" xfId="2692" xr:uid="{DF53AD22-E02B-4B62-86DB-8148E22316C2}"/>
    <cellStyle name="tableau | cellule | normal | pourcentage | decimal 1" xfId="2693" xr:uid="{4E24C01C-DBFE-470F-8B8D-064F2F783495}"/>
    <cellStyle name="tableau | cellule | normal | pourcentage | decimal 1 2" xfId="2694" xr:uid="{7CCEFB26-DCFA-4246-A146-AFF6B34B13FA}"/>
    <cellStyle name="tableau | cellule | normal | pourcentage | decimal 1 2 2" xfId="2695" xr:uid="{A70A87DA-A966-41EB-9D9C-1954795D685B}"/>
    <cellStyle name="tableau | cellule | normal | pourcentage | decimal 1 2 2 2" xfId="2696" xr:uid="{A855EE0C-E96F-439A-A149-DEAA91BFA592}"/>
    <cellStyle name="tableau | cellule | normal | pourcentage | decimal 1 2 2 3" xfId="2697" xr:uid="{651EBD5B-4A44-4FDE-B7CE-923874B22385}"/>
    <cellStyle name="tableau | cellule | normal | pourcentage | decimal 1 2 3" xfId="2698" xr:uid="{65EDE10C-4CF4-4CFC-8805-62A020CDCCF6}"/>
    <cellStyle name="tableau | cellule | normal | pourcentage | decimal 1 2 4" xfId="2699" xr:uid="{7F58D868-D8CB-4A41-BAA4-51F45B0B39ED}"/>
    <cellStyle name="tableau | cellule | normal | pourcentage | decimal 1 3" xfId="2700" xr:uid="{B7611402-9E1B-41A3-8251-3B511236977C}"/>
    <cellStyle name="tableau | cellule | normal | pourcentage | decimal 1 3 2" xfId="2701" xr:uid="{397E0FD7-1ED1-4AC4-8888-B00995A01C42}"/>
    <cellStyle name="tableau | cellule | normal | pourcentage | decimal 1 3 3" xfId="2702" xr:uid="{8AE31953-D058-4630-8E4C-8E50893456C1}"/>
    <cellStyle name="tableau | cellule | normal | pourcentage | decimal 1 4" xfId="2703" xr:uid="{7A804EAD-B906-4B05-B62A-35A63A5FFB3D}"/>
    <cellStyle name="tableau | cellule | normal | pourcentage | decimal 1 4 2" xfId="2704" xr:uid="{C82E89D8-5E82-446D-9C4D-DF6A8B11AF4D}"/>
    <cellStyle name="tableau | cellule | normal | pourcentage | decimal 1 4 3" xfId="2705" xr:uid="{6BF1BD3D-4416-494D-AB69-C376408162A1}"/>
    <cellStyle name="tableau | cellule | normal | pourcentage | decimal 1 5" xfId="2706" xr:uid="{44F11217-E551-45FB-BD42-AACF1964D31B}"/>
    <cellStyle name="tableau | cellule | normal | pourcentage | decimal 1 5 2" xfId="2707" xr:uid="{7E54D97D-D7B5-418D-ADAB-3EA77D662A63}"/>
    <cellStyle name="tableau | cellule | normal | pourcentage | decimal 1 5 3" xfId="2708" xr:uid="{C2D74245-D3C9-4BC1-B477-63C41964EDD2}"/>
    <cellStyle name="tableau | cellule | normal | pourcentage | decimal 1 6" xfId="2709" xr:uid="{C854FBCC-912C-4D30-A9DD-150F5825BE5F}"/>
    <cellStyle name="tableau | cellule | normal | pourcentage | decimal 1 7" xfId="2710" xr:uid="{2EC44D76-1EE3-41C0-A7AC-F758241E5440}"/>
    <cellStyle name="tableau | cellule | normal | pourcentage | decimal 2" xfId="2711" xr:uid="{229E89B0-5308-4B55-AE3F-51CD369C58EA}"/>
    <cellStyle name="tableau | cellule | normal | pourcentage | decimal 2 2" xfId="2712" xr:uid="{DD1E2752-65FF-4DA0-B993-81C845E6BBE6}"/>
    <cellStyle name="tableau | cellule | normal | pourcentage | decimal 2 2 2" xfId="2713" xr:uid="{9BF675C3-E27C-465F-AC75-15D25C5DF9D8}"/>
    <cellStyle name="tableau | cellule | normal | pourcentage | decimal 2 2 2 2" xfId="2714" xr:uid="{C6137DD8-8A7E-4B83-8ABA-89F743B7460B}"/>
    <cellStyle name="tableau | cellule | normal | pourcentage | decimal 2 2 2 3" xfId="2715" xr:uid="{F90518AE-AF3F-4742-BE1B-4CAADFE51357}"/>
    <cellStyle name="tableau | cellule | normal | pourcentage | decimal 2 2 3" xfId="2716" xr:uid="{FFE5AB5E-AB0B-484C-B9F4-971649927151}"/>
    <cellStyle name="tableau | cellule | normal | pourcentage | decimal 2 2 4" xfId="2717" xr:uid="{0921F791-BB21-40A1-BBE2-8CA2DD87714B}"/>
    <cellStyle name="tableau | cellule | normal | pourcentage | decimal 2 3" xfId="2718" xr:uid="{96CB19E3-1C81-4CC3-A243-E9DA4F69738F}"/>
    <cellStyle name="tableau | cellule | normal | pourcentage | decimal 2 3 2" xfId="2719" xr:uid="{97C840A1-E07E-40AF-B7CF-7E9A210F31F1}"/>
    <cellStyle name="tableau | cellule | normal | pourcentage | decimal 2 3 3" xfId="2720" xr:uid="{04459A42-54FC-4162-B257-7EEA1DB2A5CC}"/>
    <cellStyle name="tableau | cellule | normal | pourcentage | decimal 2 4" xfId="2721" xr:uid="{DD8C483E-E255-4CF8-82A0-F9FC2D86B297}"/>
    <cellStyle name="tableau | cellule | normal | pourcentage | decimal 2 4 2" xfId="2722" xr:uid="{B5D27494-1DA0-4372-B8F7-2FC71380BD65}"/>
    <cellStyle name="tableau | cellule | normal | pourcentage | decimal 2 4 3" xfId="2723" xr:uid="{74C2DD82-0F98-4416-8990-748F9D36DD5A}"/>
    <cellStyle name="tableau | cellule | normal | pourcentage | decimal 2 5" xfId="2724" xr:uid="{ADD9EBC8-47E9-4533-8D8A-5618C794F06F}"/>
    <cellStyle name="tableau | cellule | normal | pourcentage | decimal 2 5 2" xfId="2725" xr:uid="{D389D107-32F5-41AB-9455-D09B7CB0AB29}"/>
    <cellStyle name="tableau | cellule | normal | pourcentage | decimal 2 5 3" xfId="2726" xr:uid="{6175A64C-3866-4450-B1DB-967FEACA504F}"/>
    <cellStyle name="tableau | cellule | normal | pourcentage | decimal 2 6" xfId="2727" xr:uid="{E8746157-E0A9-42BF-8058-7D9125444E19}"/>
    <cellStyle name="tableau | cellule | normal | pourcentage | decimal 2 7" xfId="2728" xr:uid="{AAA399C3-9217-47DA-828B-54712F8C4E06}"/>
    <cellStyle name="tableau | cellule | normal | pourcentage | entier" xfId="2729" xr:uid="{A90A7AD3-63F9-4AE3-BF58-268D7AEBEC92}"/>
    <cellStyle name="tableau | cellule | normal | pourcentage | entier 2" xfId="2730" xr:uid="{85B843EC-ECBF-4136-B80F-3E82EA545046}"/>
    <cellStyle name="tableau | cellule | normal | pourcentage | entier 2 2" xfId="2731" xr:uid="{D744E874-C9E6-4B4A-BA8F-17648E99E73A}"/>
    <cellStyle name="tableau | cellule | normal | pourcentage | entier 2 2 2" xfId="2732" xr:uid="{6F55D05B-9C69-4087-8F53-F71347B3CEA5}"/>
    <cellStyle name="tableau | cellule | normal | pourcentage | entier 2 2 3" xfId="2733" xr:uid="{946605EA-7F82-4798-B1E6-2064AC8A72B3}"/>
    <cellStyle name="tableau | cellule | normal | pourcentage | entier 2 3" xfId="2734" xr:uid="{9BC87FAC-905C-4570-A8F2-F2A3A540BE8C}"/>
    <cellStyle name="tableau | cellule | normal | pourcentage | entier 2 4" xfId="2735" xr:uid="{12155CEF-2685-4E6E-BD9F-1E013F0B1869}"/>
    <cellStyle name="tableau | cellule | normal | pourcentage | entier 3" xfId="2736" xr:uid="{DA5D9020-04CE-4E61-B90C-D5F5BB26BF11}"/>
    <cellStyle name="tableau | cellule | normal | pourcentage | entier 3 2" xfId="2737" xr:uid="{7BB49B2F-6058-4F45-B76E-FF94C84919F6}"/>
    <cellStyle name="tableau | cellule | normal | pourcentage | entier 3 3" xfId="2738" xr:uid="{FA582272-E840-4AA2-B52E-081BCEAE840F}"/>
    <cellStyle name="tableau | cellule | normal | pourcentage | entier 4" xfId="2739" xr:uid="{C6C571A8-EFCF-42EC-BF17-AC47F26B5555}"/>
    <cellStyle name="tableau | cellule | normal | pourcentage | entier 4 2" xfId="2740" xr:uid="{0C1B35F3-C397-4A8F-8D21-B4025E0DAF76}"/>
    <cellStyle name="tableau | cellule | normal | pourcentage | entier 4 3" xfId="2741" xr:uid="{8C9658AE-E1C9-4ED2-8F8E-9733392FC459}"/>
    <cellStyle name="tableau | cellule | normal | pourcentage | entier 5" xfId="2742" xr:uid="{E6548063-2CAE-417A-AD69-C8089CDD4DA8}"/>
    <cellStyle name="tableau | cellule | normal | pourcentage | entier 5 2" xfId="2743" xr:uid="{F275A89D-4EF5-46BD-B962-BEEA80E537C1}"/>
    <cellStyle name="tableau | cellule | normal | pourcentage | entier 5 3" xfId="2744" xr:uid="{FD6B0C6D-F207-41A1-A9E7-9714957E5839}"/>
    <cellStyle name="tableau | cellule | normal | pourcentage | entier 6" xfId="2745" xr:uid="{32C43401-6B3E-4CB7-B387-AAFB998A838E}"/>
    <cellStyle name="tableau | cellule | normal | pourcentage | entier 7" xfId="2746" xr:uid="{8932CAAC-5B36-4EAD-9A1E-2080561D5DA3}"/>
    <cellStyle name="tableau | cellule | normal | standard" xfId="2747" xr:uid="{84CB9C00-1DFD-4C23-A9B8-56A5AF94C001}"/>
    <cellStyle name="tableau | cellule | normal | standard 2" xfId="2748" xr:uid="{D65068D2-2EB1-4A1A-84E9-C716F1CF349A}"/>
    <cellStyle name="tableau | cellule | normal | standard 2 2" xfId="2749" xr:uid="{634911D1-374A-41B1-B636-73ADB20D3A56}"/>
    <cellStyle name="tableau | cellule | normal | standard 2 2 2" xfId="2750" xr:uid="{CE4BA120-778F-48A3-812D-2D7F1822DEBC}"/>
    <cellStyle name="tableau | cellule | normal | standard 2 2 3" xfId="2751" xr:uid="{275ADB32-B612-4D49-AA79-24750516F0B9}"/>
    <cellStyle name="tableau | cellule | normal | standard 2 3" xfId="2752" xr:uid="{C91219D2-5CC1-4509-9A2E-B102D9571F08}"/>
    <cellStyle name="tableau | cellule | normal | standard 2 4" xfId="2753" xr:uid="{16954C13-6E81-4FD1-BC0F-C6E879C8C31A}"/>
    <cellStyle name="tableau | cellule | normal | standard 3" xfId="2754" xr:uid="{A27B5B48-46B5-4E9A-8E10-1F772E189F3B}"/>
    <cellStyle name="tableau | cellule | normal | standard 3 2" xfId="2755" xr:uid="{03CA3671-D13F-4174-BC66-A96E71DB1C9D}"/>
    <cellStyle name="tableau | cellule | normal | standard 3 3" xfId="2756" xr:uid="{245FBBCB-F6F2-4ED1-ACC1-B2B597D829A3}"/>
    <cellStyle name="tableau | cellule | normal | standard 4" xfId="2757" xr:uid="{361D030A-7CEB-492C-804E-7278B81F4A1A}"/>
    <cellStyle name="tableau | cellule | normal | standard 4 2" xfId="2758" xr:uid="{DD2119CF-1E8E-4856-B9E2-3AAB9F4D8967}"/>
    <cellStyle name="tableau | cellule | normal | standard 4 3" xfId="2759" xr:uid="{5EBA33A8-626B-4B3B-80A5-71614C72AD95}"/>
    <cellStyle name="tableau | cellule | normal | standard 5" xfId="2760" xr:uid="{29936E76-8660-49D2-BFA8-609A71B2ED7E}"/>
    <cellStyle name="tableau | cellule | normal | standard 5 2" xfId="2761" xr:uid="{A5928C26-43DE-4E7B-8D7D-2E11FACF4C51}"/>
    <cellStyle name="tableau | cellule | normal | standard 5 3" xfId="2762" xr:uid="{FCA544BC-BF69-4484-B308-8BD9AAC36FAD}"/>
    <cellStyle name="tableau | cellule | normal | standard 6" xfId="2763" xr:uid="{081F5680-6FF5-4BC5-9EC2-6056F8542C7D}"/>
    <cellStyle name="tableau | cellule | normal | standard 7" xfId="2764" xr:uid="{A4CAD56E-89B9-4CEB-9607-4EBC145FDC29}"/>
    <cellStyle name="tableau | cellule | normal | texte" xfId="2765" xr:uid="{A8F632A9-B54A-4C94-92A7-F53BD923CDAA}"/>
    <cellStyle name="tableau | cellule | normal | texte 2" xfId="2766" xr:uid="{8247DFA3-A1F1-4CB6-A15E-3E145B9B6AB7}"/>
    <cellStyle name="tableau | cellule | normal | texte 2 2" xfId="2767" xr:uid="{4E0DA8B1-A74B-4941-936B-A6863BC4F078}"/>
    <cellStyle name="tableau | cellule | normal | texte 2 2 2" xfId="2768" xr:uid="{AA91D396-C04B-4EC4-B41E-214A3569FEBA}"/>
    <cellStyle name="tableau | cellule | normal | texte 2 2 3" xfId="2769" xr:uid="{32B269FA-82DD-4A77-8393-3F62CC620C33}"/>
    <cellStyle name="tableau | cellule | normal | texte 2 3" xfId="2770" xr:uid="{DAD67573-54D7-4499-A4B0-19F21BFDAC5E}"/>
    <cellStyle name="tableau | cellule | normal | texte 2 4" xfId="2771" xr:uid="{FCBA4798-ACAD-460B-80B5-BD9217AD2031}"/>
    <cellStyle name="tableau | cellule | normal | texte 3" xfId="2772" xr:uid="{E73F9E84-486E-42BD-B465-77BFF4906266}"/>
    <cellStyle name="tableau | cellule | normal | texte 3 2" xfId="2773" xr:uid="{95E22748-E581-4E5F-B640-E96C6AD37882}"/>
    <cellStyle name="tableau | cellule | normal | texte 3 3" xfId="2774" xr:uid="{6875C7F3-3155-4D6E-A1D5-70E1C3070FED}"/>
    <cellStyle name="tableau | cellule | normal | texte 4" xfId="2775" xr:uid="{CBDF0E72-3C2B-4E56-B4D8-D4B516031865}"/>
    <cellStyle name="tableau | cellule | normal | texte 4 2" xfId="2776" xr:uid="{619BD6AC-51C4-4AAD-9646-5F9061C9BF2D}"/>
    <cellStyle name="tableau | cellule | normal | texte 4 3" xfId="2777" xr:uid="{E16041D6-5E2C-454E-BB96-4F42CE7F1F9B}"/>
    <cellStyle name="tableau | cellule | normal | texte 5" xfId="2778" xr:uid="{3C386B7D-2465-462E-9B90-DD117A4C7A82}"/>
    <cellStyle name="tableau | cellule | normal | texte 5 2" xfId="2779" xr:uid="{D43952ED-85B1-44FD-BC75-97ED2797B1D3}"/>
    <cellStyle name="tableau | cellule | normal | texte 5 3" xfId="2780" xr:uid="{3D211D6B-4CAE-44E8-BBD7-2E374028E853}"/>
    <cellStyle name="tableau | cellule | normal | texte 6" xfId="2781" xr:uid="{F7ADF86E-21A2-4431-A132-0D0B240672C8}"/>
    <cellStyle name="tableau | cellule | normal | texte 7" xfId="2782" xr:uid="{45544CEB-63C8-438D-9CBB-3BA5D574B2EE}"/>
    <cellStyle name="tableau | cellule | total | decimal 1" xfId="2783" xr:uid="{662EBCCB-A55E-4425-BAAE-E948440AD215}"/>
    <cellStyle name="tableau | cellule | total | decimal 1 2" xfId="2784" xr:uid="{246F9BA8-244A-4469-96DD-6BC0F850A0DE}"/>
    <cellStyle name="tableau | cellule | total | decimal 1 2 2" xfId="2785" xr:uid="{E2A40C34-245C-4F20-82B5-101AC787AA0D}"/>
    <cellStyle name="tableau | cellule | total | decimal 1 2 2 2" xfId="2786" xr:uid="{F99E97C7-0727-46BF-962A-57CE94798E2D}"/>
    <cellStyle name="tableau | cellule | total | decimal 1 2 2 3" xfId="2787" xr:uid="{36E5DCFF-F7BD-4537-A7BE-AA77133DBBED}"/>
    <cellStyle name="tableau | cellule | total | decimal 1 2 3" xfId="2788" xr:uid="{A4B594DB-EF45-48F4-A8CF-EF5B71DDDB09}"/>
    <cellStyle name="tableau | cellule | total | decimal 1 2 3 2" xfId="2789" xr:uid="{8922604F-DB01-49DB-8056-020ABCA5176F}"/>
    <cellStyle name="tableau | cellule | total | decimal 1 2 3 3" xfId="2790" xr:uid="{991815FD-2D3B-4BB6-96F2-B6D46A15CC67}"/>
    <cellStyle name="tableau | cellule | total | decimal 1 2 4" xfId="2791" xr:uid="{54DD0102-4F64-45F4-8DFC-1ED99378FD83}"/>
    <cellStyle name="tableau | cellule | total | decimal 1 2 5" xfId="2792" xr:uid="{D36B47B5-F7F2-4C99-AA9E-0013D5C1D9DD}"/>
    <cellStyle name="tableau | cellule | total | decimal 1 3" xfId="2793" xr:uid="{BE716CDF-8752-4FBC-9046-D22EB12FCB2D}"/>
    <cellStyle name="tableau | cellule | total | decimal 1 3 2" xfId="2794" xr:uid="{A2E44B89-0B56-4F28-9FCD-6ACF53893C5F}"/>
    <cellStyle name="tableau | cellule | total | decimal 1 3 2 2" xfId="2795" xr:uid="{7C14FE33-9860-4B2A-87E6-B66CF82E7C3D}"/>
    <cellStyle name="tableau | cellule | total | decimal 1 3 2 3" xfId="2796" xr:uid="{54F738F2-E65E-40DF-9DCB-E727FF9DC2CB}"/>
    <cellStyle name="tableau | cellule | total | decimal 1 3 3" xfId="2797" xr:uid="{0A3470A8-9A1F-441B-AEE0-F414AF61AF7B}"/>
    <cellStyle name="tableau | cellule | total | decimal 1 3 4" xfId="2798" xr:uid="{F846B7E9-E734-4462-9AE2-9C666D48E79E}"/>
    <cellStyle name="tableau | cellule | total | decimal 1 4" xfId="2799" xr:uid="{EBA0831A-F5E4-4F4C-B30B-1415BA4E7187}"/>
    <cellStyle name="tableau | cellule | total | decimal 1 4 2" xfId="2800" xr:uid="{DCE51149-2F2A-4E08-AC6E-A817C3095E05}"/>
    <cellStyle name="tableau | cellule | total | decimal 1 4 3" xfId="2801" xr:uid="{6EF3EECA-BDA1-4767-9717-28EEB2ED8FA2}"/>
    <cellStyle name="tableau | cellule | total | decimal 1 5" xfId="2802" xr:uid="{1BBE2B01-BAE5-4CF7-8952-01E323340E70}"/>
    <cellStyle name="tableau | cellule | total | decimal 1 5 2" xfId="2803" xr:uid="{444EFBA9-013A-4BDC-8357-2FBB60816C06}"/>
    <cellStyle name="tableau | cellule | total | decimal 1 5 3" xfId="2804" xr:uid="{8FE1B7C1-806F-438F-BC0A-E287EC437DB9}"/>
    <cellStyle name="tableau | cellule | total | decimal 1 6" xfId="2805" xr:uid="{116691FB-97E5-480B-8608-5BF7E954D320}"/>
    <cellStyle name="tableau | cellule | total | decimal 1 7" xfId="2806" xr:uid="{D36B68FD-547B-42E8-BF2A-35170DC8F539}"/>
    <cellStyle name="tableau | cellule | total | decimal 2" xfId="2807" xr:uid="{62DC14A6-AECF-4F04-917C-4615E971C932}"/>
    <cellStyle name="tableau | cellule | total | decimal 2 2" xfId="2808" xr:uid="{2FEF2381-B70E-4D95-A1CA-F209D67C025D}"/>
    <cellStyle name="tableau | cellule | total | decimal 2 2 2" xfId="2809" xr:uid="{0B353349-6638-48EA-9A71-C6E983244944}"/>
    <cellStyle name="tableau | cellule | total | decimal 2 2 2 2" xfId="2810" xr:uid="{1DA8ECF3-0D6F-49D5-A4DF-B05BC6692F48}"/>
    <cellStyle name="tableau | cellule | total | decimal 2 2 2 3" xfId="2811" xr:uid="{BBF67C75-0378-488E-9A29-C0E6A870BD70}"/>
    <cellStyle name="tableau | cellule | total | decimal 2 2 3" xfId="2812" xr:uid="{7C1DCF0D-C47E-4DAD-A4CF-F980A38CD8E7}"/>
    <cellStyle name="tableau | cellule | total | decimal 2 2 4" xfId="2813" xr:uid="{84030A7F-76F8-4AC0-9A2F-0DD292AB6927}"/>
    <cellStyle name="tableau | cellule | total | decimal 2 3" xfId="2814" xr:uid="{028664C1-2E42-4AA6-B1DC-4270C20C151B}"/>
    <cellStyle name="tableau | cellule | total | decimal 2 3 2" xfId="2815" xr:uid="{2D80B563-23E4-43D6-AA7C-A1999E62907B}"/>
    <cellStyle name="tableau | cellule | total | decimal 2 3 3" xfId="2816" xr:uid="{528D65A0-42DD-4BC8-A7A6-BCA038218AE3}"/>
    <cellStyle name="tableau | cellule | total | decimal 2 4" xfId="2817" xr:uid="{CC835281-DD74-4536-99C7-724A59B7F3B9}"/>
    <cellStyle name="tableau | cellule | total | decimal 2 4 2" xfId="2818" xr:uid="{A6F65847-41BC-4013-9B8F-D42A207FB665}"/>
    <cellStyle name="tableau | cellule | total | decimal 2 4 3" xfId="2819" xr:uid="{72BFFA78-2E55-4201-8EA2-EAF9BB2C6136}"/>
    <cellStyle name="tableau | cellule | total | decimal 2 5" xfId="2820" xr:uid="{0B849D56-1175-4CFC-A355-F47C3CA6DA36}"/>
    <cellStyle name="tableau | cellule | total | decimal 2 5 2" xfId="2821" xr:uid="{58ED47FE-255B-4DC1-9F9C-B66992DFC755}"/>
    <cellStyle name="tableau | cellule | total | decimal 2 5 3" xfId="2822" xr:uid="{FD723CB8-595B-4A5D-8277-5D55EE8D9542}"/>
    <cellStyle name="tableau | cellule | total | decimal 2 6" xfId="2823" xr:uid="{790EB425-3156-4FA5-8F72-46A036E91F3A}"/>
    <cellStyle name="tableau | cellule | total | decimal 2 7" xfId="2824" xr:uid="{DECFDC7C-3358-4BB7-9D56-E94523215DE7}"/>
    <cellStyle name="tableau | cellule | total | decimal 3" xfId="2825" xr:uid="{02041D5B-CF02-47D3-82F7-F104C1E03A28}"/>
    <cellStyle name="tableau | cellule | total | decimal 3 2" xfId="2826" xr:uid="{324FB443-E4AA-41B0-A8CC-B5DFEBCC50CD}"/>
    <cellStyle name="tableau | cellule | total | decimal 3 2 2" xfId="2827" xr:uid="{3642ACA6-1F04-4182-9A45-35A908853AD7}"/>
    <cellStyle name="tableau | cellule | total | decimal 3 2 2 2" xfId="2828" xr:uid="{CF8D3759-EA9B-4495-9A62-3ACBD90468F2}"/>
    <cellStyle name="tableau | cellule | total | decimal 3 2 2 3" xfId="2829" xr:uid="{C2046C20-2F07-44EF-B1A8-67B0482EFB97}"/>
    <cellStyle name="tableau | cellule | total | decimal 3 2 3" xfId="2830" xr:uid="{C93AF75A-80AA-4255-BBB8-A13522A2B06D}"/>
    <cellStyle name="tableau | cellule | total | decimal 3 2 4" xfId="2831" xr:uid="{5C8449EF-A8AD-45FB-8DA7-323C69825341}"/>
    <cellStyle name="tableau | cellule | total | decimal 3 3" xfId="2832" xr:uid="{1FB05AD0-9203-4E9A-972D-CD259A50E8EC}"/>
    <cellStyle name="tableau | cellule | total | decimal 3 3 2" xfId="2833" xr:uid="{0DBDFE9C-E049-4850-B40F-4601559327C1}"/>
    <cellStyle name="tableau | cellule | total | decimal 3 3 3" xfId="2834" xr:uid="{7B3A9957-2D94-4A74-A765-FCDFB612125B}"/>
    <cellStyle name="tableau | cellule | total | decimal 3 4" xfId="2835" xr:uid="{E1596FD3-96C7-4D7B-9EB3-BCF74730F4B3}"/>
    <cellStyle name="tableau | cellule | total | decimal 3 4 2" xfId="2836" xr:uid="{EC586389-5194-461B-893A-CF308F7321A6}"/>
    <cellStyle name="tableau | cellule | total | decimal 3 4 3" xfId="2837" xr:uid="{0385458F-A909-4DBE-B5EC-148769D6F9FE}"/>
    <cellStyle name="tableau | cellule | total | decimal 3 5" xfId="2838" xr:uid="{DBB42C74-C27B-4490-AF0D-D46C64FFB8C1}"/>
    <cellStyle name="tableau | cellule | total | decimal 3 5 2" xfId="2839" xr:uid="{1C4D04E2-1669-45AD-8867-7822EA2869A3}"/>
    <cellStyle name="tableau | cellule | total | decimal 3 5 3" xfId="2840" xr:uid="{3A9825C7-DB4A-4F58-91C2-0FBD9AABAC06}"/>
    <cellStyle name="tableau | cellule | total | decimal 3 6" xfId="2841" xr:uid="{FDE8CB84-E4D6-47FB-A376-CC986FD3DBCD}"/>
    <cellStyle name="tableau | cellule | total | decimal 3 7" xfId="2842" xr:uid="{DEF628A0-0A5C-4731-838A-CEC5F74E1E6D}"/>
    <cellStyle name="tableau | cellule | total | decimal 4" xfId="2843" xr:uid="{659F92C1-1FA3-4A5C-9B0A-5B05DA253419}"/>
    <cellStyle name="tableau | cellule | total | decimal 4 2" xfId="2844" xr:uid="{0CC76BFC-501C-48B1-AD78-326DBC2B9A55}"/>
    <cellStyle name="tableau | cellule | total | decimal 4 2 2" xfId="2845" xr:uid="{46FE451D-8D90-4F2E-858E-0CF999AF5000}"/>
    <cellStyle name="tableau | cellule | total | decimal 4 2 2 2" xfId="2846" xr:uid="{E0B265C6-312B-4CEF-8AD0-7B4CDE02E87D}"/>
    <cellStyle name="tableau | cellule | total | decimal 4 2 2 3" xfId="2847" xr:uid="{4DA99F96-990E-4862-B829-6A922A6D2B0F}"/>
    <cellStyle name="tableau | cellule | total | decimal 4 2 3" xfId="2848" xr:uid="{D75D8FBB-93AA-4C78-962C-3ABA8296F942}"/>
    <cellStyle name="tableau | cellule | total | decimal 4 2 4" xfId="2849" xr:uid="{FE6D875D-F043-4830-A66A-C96CE179E01E}"/>
    <cellStyle name="tableau | cellule | total | decimal 4 3" xfId="2850" xr:uid="{EA575A26-54A5-4FCD-8CD4-54BF85D2B8FB}"/>
    <cellStyle name="tableau | cellule | total | decimal 4 3 2" xfId="2851" xr:uid="{B2019DF7-93A7-4041-96EB-5B5403709DB1}"/>
    <cellStyle name="tableau | cellule | total | decimal 4 3 3" xfId="2852" xr:uid="{A2D15483-A176-4668-9423-910F923EB2BE}"/>
    <cellStyle name="tableau | cellule | total | decimal 4 4" xfId="2853" xr:uid="{DC3A4A5F-E239-4F8A-82BF-578999206B1E}"/>
    <cellStyle name="tableau | cellule | total | decimal 4 4 2" xfId="2854" xr:uid="{709D3533-1EBA-4F55-922D-33CC7F16DACC}"/>
    <cellStyle name="tableau | cellule | total | decimal 4 4 3" xfId="2855" xr:uid="{6EBEC0D9-EC6F-4FC2-B466-D448D22C26A9}"/>
    <cellStyle name="tableau | cellule | total | decimal 4 5" xfId="2856" xr:uid="{48B8DB0D-BF33-43BB-8F61-8B9F601BF368}"/>
    <cellStyle name="tableau | cellule | total | decimal 4 5 2" xfId="2857" xr:uid="{66E250E4-2D6F-46E5-97E2-42C9F0A99799}"/>
    <cellStyle name="tableau | cellule | total | decimal 4 5 3" xfId="2858" xr:uid="{CB450586-0E8E-4FCB-A6DC-7BB11E79E17C}"/>
    <cellStyle name="tableau | cellule | total | decimal 4 6" xfId="2859" xr:uid="{59CAF8C9-738D-4637-ADEB-1E29F0A92A08}"/>
    <cellStyle name="tableau | cellule | total | decimal 4 7" xfId="2860" xr:uid="{30051D3F-698A-43C4-A56E-0A04E5BB5592}"/>
    <cellStyle name="tableau | cellule | total | entier" xfId="2861" xr:uid="{B96917AF-62F3-4857-BD39-B664B57CEDAA}"/>
    <cellStyle name="tableau | cellule | total | entier 2" xfId="2862" xr:uid="{54274C00-580A-4FCE-BB7E-A35BB1185D87}"/>
    <cellStyle name="tableau | cellule | total | entier 2 2" xfId="2863" xr:uid="{5A20F84E-540B-4271-95FB-FD0F35879659}"/>
    <cellStyle name="tableau | cellule | total | entier 2 2 2" xfId="2864" xr:uid="{7645FE17-23E0-4115-93BB-AE14441EF45C}"/>
    <cellStyle name="tableau | cellule | total | entier 2 2 3" xfId="2865" xr:uid="{6D3678B7-AC5E-495C-BCA4-2EE3AADBEA80}"/>
    <cellStyle name="tableau | cellule | total | entier 2 3" xfId="2866" xr:uid="{C1AE4AA0-543B-4DB2-ABDD-32585190A1B7}"/>
    <cellStyle name="tableau | cellule | total | entier 2 4" xfId="2867" xr:uid="{D5787867-F457-44FD-A8D6-F9FF639ACF16}"/>
    <cellStyle name="tableau | cellule | total | entier 3" xfId="2868" xr:uid="{15321C42-B113-4B06-97FB-682F581EB508}"/>
    <cellStyle name="tableau | cellule | total | entier 3 2" xfId="2869" xr:uid="{4AB428B9-D7B3-47B0-A14D-A5658035D862}"/>
    <cellStyle name="tableau | cellule | total | entier 3 3" xfId="2870" xr:uid="{3C73BADD-53CE-42B2-81CA-25C61CDE27E4}"/>
    <cellStyle name="tableau | cellule | total | entier 4" xfId="2871" xr:uid="{63F48122-A786-4499-B848-80C989E927A1}"/>
    <cellStyle name="tableau | cellule | total | entier 4 2" xfId="2872" xr:uid="{13D5CE86-729F-4C5C-80CA-AC99EC5427E5}"/>
    <cellStyle name="tableau | cellule | total | entier 4 3" xfId="2873" xr:uid="{8E353D63-76A5-4633-96CD-E5604C7F680E}"/>
    <cellStyle name="tableau | cellule | total | entier 5" xfId="2874" xr:uid="{5488689E-5988-41CD-B8FC-F32F8AFD872F}"/>
    <cellStyle name="tableau | cellule | total | entier 5 2" xfId="2875" xr:uid="{A408B285-007E-40C7-82C1-2936E02F6740}"/>
    <cellStyle name="tableau | cellule | total | entier 5 3" xfId="2876" xr:uid="{68751576-01D6-4869-8A56-ABC698FDE1D4}"/>
    <cellStyle name="tableau | cellule | total | entier 6" xfId="2877" xr:uid="{BF7401F7-EEAD-4556-B46E-8450E6719AE9}"/>
    <cellStyle name="tableau | cellule | total | entier 7" xfId="2878" xr:uid="{69855D8E-6773-4163-816D-25A4CEC37461}"/>
    <cellStyle name="tableau | cellule | total | euro | decimal 1" xfId="2879" xr:uid="{2F202537-55CC-49D9-96AB-879C34173A8D}"/>
    <cellStyle name="tableau | cellule | total | euro | decimal 1 2" xfId="2880" xr:uid="{144C94D8-1FFA-4791-9681-C4E7B867C583}"/>
    <cellStyle name="tableau | cellule | total | euro | decimal 1 2 2" xfId="2881" xr:uid="{955AFB5C-9ECF-499B-90FF-6F9595F27D4A}"/>
    <cellStyle name="tableau | cellule | total | euro | decimal 1 2 2 2" xfId="2882" xr:uid="{24BE6427-D9FD-4DAE-905D-02384ED096BC}"/>
    <cellStyle name="tableau | cellule | total | euro | decimal 1 2 2 3" xfId="2883" xr:uid="{31C199DC-E5E9-4F92-A48A-D112388A1626}"/>
    <cellStyle name="tableau | cellule | total | euro | decimal 1 2 3" xfId="2884" xr:uid="{D92C1AF2-5DD7-4625-9168-05B864D46C95}"/>
    <cellStyle name="tableau | cellule | total | euro | decimal 1 2 4" xfId="2885" xr:uid="{87CEC6B1-81B7-4AE9-B5C9-BEABE6107ACB}"/>
    <cellStyle name="tableau | cellule | total | euro | decimal 1 3" xfId="2886" xr:uid="{4286154A-A718-4A87-AF9C-C8BC5D9E2C8F}"/>
    <cellStyle name="tableau | cellule | total | euro | decimal 1 3 2" xfId="2887" xr:uid="{7A67BF6A-5C90-49EC-8997-09D086287F24}"/>
    <cellStyle name="tableau | cellule | total | euro | decimal 1 3 3" xfId="2888" xr:uid="{F5B7B954-06D6-442F-A2FD-939461DC3E69}"/>
    <cellStyle name="tableau | cellule | total | euro | decimal 1 4" xfId="2889" xr:uid="{E4D3724E-1B00-48E1-9D2E-41F15BA02AE2}"/>
    <cellStyle name="tableau | cellule | total | euro | decimal 1 4 2" xfId="2890" xr:uid="{9571003C-7393-42A4-98EA-DB4CD7E90799}"/>
    <cellStyle name="tableau | cellule | total | euro | decimal 1 4 3" xfId="2891" xr:uid="{5697B54E-5AB3-4BA4-8F78-76D6F1BD57F9}"/>
    <cellStyle name="tableau | cellule | total | euro | decimal 1 5" xfId="2892" xr:uid="{7A7A5E0D-F78A-43E6-B771-E19DB89A7F6F}"/>
    <cellStyle name="tableau | cellule | total | euro | decimal 1 5 2" xfId="2893" xr:uid="{0100472C-D081-43F9-8F13-09E838CCB966}"/>
    <cellStyle name="tableau | cellule | total | euro | decimal 1 5 3" xfId="2894" xr:uid="{238CE2C1-DEF5-40D6-85D4-CEA97FFADC49}"/>
    <cellStyle name="tableau | cellule | total | euro | decimal 1 6" xfId="2895" xr:uid="{37EF99E8-560C-4CA3-BFA2-2FA0038CA9EE}"/>
    <cellStyle name="tableau | cellule | total | euro | decimal 1 7" xfId="2896" xr:uid="{3A0D133F-122A-4206-8E6A-F794060D9F7C}"/>
    <cellStyle name="tableau | cellule | total | euro | decimal 2" xfId="2897" xr:uid="{4BE0B6E5-3D77-4498-A65C-C495B9D6B49B}"/>
    <cellStyle name="tableau | cellule | total | euro | decimal 2 2" xfId="2898" xr:uid="{8232C036-B1E6-43F1-9FDD-55B7A47BD6F1}"/>
    <cellStyle name="tableau | cellule | total | euro | decimal 2 2 2" xfId="2899" xr:uid="{E7E2016F-E074-47E3-9F28-5BE79F2522EC}"/>
    <cellStyle name="tableau | cellule | total | euro | decimal 2 2 2 2" xfId="2900" xr:uid="{C48E1AD6-2319-4805-8960-048E735D4AE5}"/>
    <cellStyle name="tableau | cellule | total | euro | decimal 2 2 2 3" xfId="2901" xr:uid="{382AA997-779D-4D7E-AAFF-E97B319590F8}"/>
    <cellStyle name="tableau | cellule | total | euro | decimal 2 2 3" xfId="2902" xr:uid="{9646A0E5-EE9D-4E9F-ADCB-908D140F8D81}"/>
    <cellStyle name="tableau | cellule | total | euro | decimal 2 2 4" xfId="2903" xr:uid="{1323D455-0BAE-45A5-8562-E5868B52DB2F}"/>
    <cellStyle name="tableau | cellule | total | euro | decimal 2 3" xfId="2904" xr:uid="{0A502981-6243-4ECF-970A-56A86C9B724D}"/>
    <cellStyle name="tableau | cellule | total | euro | decimal 2 3 2" xfId="2905" xr:uid="{1AD2440F-1084-477E-84B4-184183771C0E}"/>
    <cellStyle name="tableau | cellule | total | euro | decimal 2 3 3" xfId="2906" xr:uid="{0C9DEE67-31FD-488D-B3B6-BE375860FF91}"/>
    <cellStyle name="tableau | cellule | total | euro | decimal 2 4" xfId="2907" xr:uid="{11200C3D-2E88-4CEF-994B-CDAE4BFB527A}"/>
    <cellStyle name="tableau | cellule | total | euro | decimal 2 4 2" xfId="2908" xr:uid="{4B5EFA6D-CD7D-433C-9F15-648C12E89B1A}"/>
    <cellStyle name="tableau | cellule | total | euro | decimal 2 4 3" xfId="2909" xr:uid="{FE197A5A-170F-4031-A949-1A5662EA5F2D}"/>
    <cellStyle name="tableau | cellule | total | euro | decimal 2 5" xfId="2910" xr:uid="{78A91B1B-2489-44E9-AE22-362AF32B1719}"/>
    <cellStyle name="tableau | cellule | total | euro | decimal 2 5 2" xfId="2911" xr:uid="{A28FA57D-B66E-4F3D-8886-3933D31160D5}"/>
    <cellStyle name="tableau | cellule | total | euro | decimal 2 5 3" xfId="2912" xr:uid="{45F6B018-9F65-451C-A20C-73D643FCA250}"/>
    <cellStyle name="tableau | cellule | total | euro | decimal 2 6" xfId="2913" xr:uid="{964AA827-9639-4481-915E-AF0C0B90618A}"/>
    <cellStyle name="tableau | cellule | total | euro | decimal 2 7" xfId="2914" xr:uid="{B218FED6-84B0-403E-B9B3-64BBB29E95C7}"/>
    <cellStyle name="tableau | cellule | total | euro | entier" xfId="2915" xr:uid="{3B46AC4E-6A92-4768-8C37-A8DCC06880E1}"/>
    <cellStyle name="tableau | cellule | total | euro | entier 2" xfId="2916" xr:uid="{3AF1AF4E-B748-489C-B757-3F9ACC216044}"/>
    <cellStyle name="tableau | cellule | total | euro | entier 2 2" xfId="2917" xr:uid="{AD59D0A2-6C2E-44CB-94AA-039E0A4F14C7}"/>
    <cellStyle name="tableau | cellule | total | euro | entier 2 2 2" xfId="2918" xr:uid="{D5D465BC-F9E3-4482-904E-39897591364A}"/>
    <cellStyle name="tableau | cellule | total | euro | entier 2 2 3" xfId="2919" xr:uid="{4D780414-5365-45A8-B9BF-A9F6A71F3DCA}"/>
    <cellStyle name="tableau | cellule | total | euro | entier 2 3" xfId="2920" xr:uid="{A36061A3-5405-4F5C-A916-C6A2EA828DEC}"/>
    <cellStyle name="tableau | cellule | total | euro | entier 2 4" xfId="2921" xr:uid="{9FE80AA5-86C1-4A27-A3E5-30A6ACFF77A3}"/>
    <cellStyle name="tableau | cellule | total | euro | entier 3" xfId="2922" xr:uid="{08059341-C1B4-4353-BA0D-6AABD1D39F19}"/>
    <cellStyle name="tableau | cellule | total | euro | entier 3 2" xfId="2923" xr:uid="{2B6A1622-A86E-4A1A-900F-0D61E8FA086D}"/>
    <cellStyle name="tableau | cellule | total | euro | entier 3 3" xfId="2924" xr:uid="{FD8E97E4-093C-466D-A989-B51C5AC2AF0C}"/>
    <cellStyle name="tableau | cellule | total | euro | entier 4" xfId="2925" xr:uid="{AC430A54-E177-462A-AD32-FC60B5E2BFEF}"/>
    <cellStyle name="tableau | cellule | total | euro | entier 4 2" xfId="2926" xr:uid="{407261DA-9397-49E7-B389-5C36343D7AC7}"/>
    <cellStyle name="tableau | cellule | total | euro | entier 4 3" xfId="2927" xr:uid="{C205D99E-18B1-4102-92D2-FC0DB75020CC}"/>
    <cellStyle name="tableau | cellule | total | euro | entier 5" xfId="2928" xr:uid="{2D5498E3-E734-46BA-8F1E-C0FD584846E2}"/>
    <cellStyle name="tableau | cellule | total | euro | entier 5 2" xfId="2929" xr:uid="{526FBAED-BC94-4577-BEED-5D3D8D178D1E}"/>
    <cellStyle name="tableau | cellule | total | euro | entier 5 3" xfId="2930" xr:uid="{420D017B-DF3E-46E1-A8F8-F485B89F8792}"/>
    <cellStyle name="tableau | cellule | total | euro | entier 6" xfId="2931" xr:uid="{58F417C8-D349-4B65-AACF-A219BBFCD405}"/>
    <cellStyle name="tableau | cellule | total | euro | entier 7" xfId="2932" xr:uid="{90E31B58-DC10-4974-B344-B78C3CAAE139}"/>
    <cellStyle name="tableau | cellule | total | franc | decimal 1" xfId="2933" xr:uid="{A75A32F6-B3FE-4E3B-8BA6-941AC8C14517}"/>
    <cellStyle name="tableau | cellule | total | franc | decimal 1 2" xfId="2934" xr:uid="{3B4098CA-32D3-4A0D-BA2A-6FC20ADAD836}"/>
    <cellStyle name="tableau | cellule | total | franc | decimal 1 2 2" xfId="2935" xr:uid="{EFA1D35C-8EE5-4760-A560-736FACAF1CBE}"/>
    <cellStyle name="tableau | cellule | total | franc | decimal 1 2 2 2" xfId="2936" xr:uid="{5AAD88C9-1C1A-45CC-B7F2-EDE446311254}"/>
    <cellStyle name="tableau | cellule | total | franc | decimal 1 2 2 3" xfId="2937" xr:uid="{63D9022C-5FBD-4938-B7CA-F8443E77C544}"/>
    <cellStyle name="tableau | cellule | total | franc | decimal 1 2 3" xfId="2938" xr:uid="{E381305A-16A3-4D59-B08A-9FB1BC6497F2}"/>
    <cellStyle name="tableau | cellule | total | franc | decimal 1 2 4" xfId="2939" xr:uid="{8D097655-67B6-48DE-9136-29454E5E2283}"/>
    <cellStyle name="tableau | cellule | total | franc | decimal 1 3" xfId="2940" xr:uid="{1360479B-BD97-4C44-B34C-5A6A33F7464B}"/>
    <cellStyle name="tableau | cellule | total | franc | decimal 1 3 2" xfId="2941" xr:uid="{1277FFE8-E0C4-4B50-AC27-6FDDE0F64AF8}"/>
    <cellStyle name="tableau | cellule | total | franc | decimal 1 3 3" xfId="2942" xr:uid="{12ABD264-5713-457A-B632-A9ED2C9DB8F4}"/>
    <cellStyle name="tableau | cellule | total | franc | decimal 1 4" xfId="2943" xr:uid="{C2CE9C5E-CEA5-4EDC-8472-7250C696B1D8}"/>
    <cellStyle name="tableau | cellule | total | franc | decimal 1 4 2" xfId="2944" xr:uid="{3E972E4B-4C48-45DD-B05D-EBF3C9CD167B}"/>
    <cellStyle name="tableau | cellule | total | franc | decimal 1 4 3" xfId="2945" xr:uid="{5A312B1A-E606-49E6-B936-C9449FD55E5F}"/>
    <cellStyle name="tableau | cellule | total | franc | decimal 1 5" xfId="2946" xr:uid="{F1ED0A06-DFBA-4C21-933A-D6704C87B3A8}"/>
    <cellStyle name="tableau | cellule | total | franc | decimal 1 5 2" xfId="2947" xr:uid="{E7785D02-D913-4CC2-B54D-E2C8C7732FF3}"/>
    <cellStyle name="tableau | cellule | total | franc | decimal 1 5 3" xfId="2948" xr:uid="{A3023641-5D0B-4B3D-A9FE-47783CCA3884}"/>
    <cellStyle name="tableau | cellule | total | franc | decimal 1 6" xfId="2949" xr:uid="{B1A5DEA6-4A03-4AA7-8508-3A01858F47C8}"/>
    <cellStyle name="tableau | cellule | total | franc | decimal 1 7" xfId="2950" xr:uid="{67AC8E6B-8A3F-496E-B9C8-C9C936BFCFDA}"/>
    <cellStyle name="tableau | cellule | total | franc | decimal 2" xfId="2951" xr:uid="{EAB0A86B-5323-4641-855D-4834176567A6}"/>
    <cellStyle name="tableau | cellule | total | franc | decimal 2 2" xfId="2952" xr:uid="{2676E698-3F6E-4949-AE26-33F8A2A293AE}"/>
    <cellStyle name="tableau | cellule | total | franc | decimal 2 2 2" xfId="2953" xr:uid="{355B120E-72CB-4085-A116-4F57EF9B3B01}"/>
    <cellStyle name="tableau | cellule | total | franc | decimal 2 2 2 2" xfId="2954" xr:uid="{F5F7239A-5E74-4D3A-BCC9-D3B944974070}"/>
    <cellStyle name="tableau | cellule | total | franc | decimal 2 2 2 3" xfId="2955" xr:uid="{978B3F35-3183-4D57-94C1-E43014C2CFCB}"/>
    <cellStyle name="tableau | cellule | total | franc | decimal 2 2 3" xfId="2956" xr:uid="{93A2FBCD-B5FA-456D-9445-55EF113874F4}"/>
    <cellStyle name="tableau | cellule | total | franc | decimal 2 2 4" xfId="2957" xr:uid="{30D6F812-7207-4E86-A843-6B227536DF91}"/>
    <cellStyle name="tableau | cellule | total | franc | decimal 2 3" xfId="2958" xr:uid="{FB872E19-4E39-48AC-B81D-DACCFFB40555}"/>
    <cellStyle name="tableau | cellule | total | franc | decimal 2 3 2" xfId="2959" xr:uid="{9114074F-77BF-4AE7-8779-69B25F7FC414}"/>
    <cellStyle name="tableau | cellule | total | franc | decimal 2 3 3" xfId="2960" xr:uid="{9ABB6D43-AC3E-49D0-B083-5354B0A082FB}"/>
    <cellStyle name="tableau | cellule | total | franc | decimal 2 4" xfId="2961" xr:uid="{26B1535E-2BE3-49DB-BE44-E63C15873506}"/>
    <cellStyle name="tableau | cellule | total | franc | decimal 2 4 2" xfId="2962" xr:uid="{BF8D1824-0567-4751-9930-6D4563EC4E23}"/>
    <cellStyle name="tableau | cellule | total | franc | decimal 2 4 3" xfId="2963" xr:uid="{46C04596-18BB-4CC1-8DB2-8834CD41C339}"/>
    <cellStyle name="tableau | cellule | total | franc | decimal 2 5" xfId="2964" xr:uid="{FC110AE2-DB11-47A9-B1A2-80D041641B00}"/>
    <cellStyle name="tableau | cellule | total | franc | decimal 2 5 2" xfId="2965" xr:uid="{DEA91D84-4ECA-47F1-A58F-417366B3005F}"/>
    <cellStyle name="tableau | cellule | total | franc | decimal 2 5 3" xfId="2966" xr:uid="{C47CA7BE-03D5-45F3-8EAC-6904301A962F}"/>
    <cellStyle name="tableau | cellule | total | franc | decimal 2 6" xfId="2967" xr:uid="{B4BFDE86-A298-4E41-82F2-BD52D71158BE}"/>
    <cellStyle name="tableau | cellule | total | franc | decimal 2 7" xfId="2968" xr:uid="{F3563FDD-4D2A-4030-812F-F8B54C7C3E39}"/>
    <cellStyle name="tableau | cellule | total | franc | entier" xfId="2969" xr:uid="{7CAC3617-AC24-4C32-98AC-25928B77C3B8}"/>
    <cellStyle name="tableau | cellule | total | franc | entier 2" xfId="2970" xr:uid="{BACB0B5F-C193-4BFC-9733-0C7F286FC970}"/>
    <cellStyle name="tableau | cellule | total | franc | entier 2 2" xfId="2971" xr:uid="{A6892ECA-2989-4C82-B59B-E426C024F812}"/>
    <cellStyle name="tableau | cellule | total | franc | entier 2 2 2" xfId="2972" xr:uid="{001271CE-7552-40E3-AF31-900924C77473}"/>
    <cellStyle name="tableau | cellule | total | franc | entier 2 2 3" xfId="2973" xr:uid="{AEEB14D0-94F2-4559-A922-23316543AC9D}"/>
    <cellStyle name="tableau | cellule | total | franc | entier 2 3" xfId="2974" xr:uid="{CEB2A99E-9394-4F44-9443-1F7D87FA3A0F}"/>
    <cellStyle name="tableau | cellule | total | franc | entier 2 4" xfId="2975" xr:uid="{B2D9A58A-39C2-4484-ABA8-BD4427CDCC7A}"/>
    <cellStyle name="tableau | cellule | total | franc | entier 3" xfId="2976" xr:uid="{0A854583-3CDD-4D89-BFC9-7F9D76F72A25}"/>
    <cellStyle name="tableau | cellule | total | franc | entier 3 2" xfId="2977" xr:uid="{D2DB8484-A50E-4CE0-99E7-AC30C0BF26D3}"/>
    <cellStyle name="tableau | cellule | total | franc | entier 3 3" xfId="2978" xr:uid="{4E54067D-E05E-44CC-9C51-B26B6792975A}"/>
    <cellStyle name="tableau | cellule | total | franc | entier 4" xfId="2979" xr:uid="{7560B3A3-5A93-4322-97DD-971F31A3F3A5}"/>
    <cellStyle name="tableau | cellule | total | franc | entier 4 2" xfId="2980" xr:uid="{9439AF7F-0153-4734-82D2-FDD9F8154A33}"/>
    <cellStyle name="tableau | cellule | total | franc | entier 4 3" xfId="2981" xr:uid="{775027EC-8BFC-4E4B-9D89-6C8344ED0C6F}"/>
    <cellStyle name="tableau | cellule | total | franc | entier 5" xfId="2982" xr:uid="{D954670D-4E76-4D82-BA2E-F73D3D39D35C}"/>
    <cellStyle name="tableau | cellule | total | franc | entier 5 2" xfId="2983" xr:uid="{BE70C543-F25F-468E-BA07-EE0F5F71C36E}"/>
    <cellStyle name="tableau | cellule | total | franc | entier 5 3" xfId="2984" xr:uid="{C843BAA2-F35C-425C-9060-8AA7DD06921E}"/>
    <cellStyle name="tableau | cellule | total | franc | entier 6" xfId="2985" xr:uid="{19A19111-48B3-4923-B750-81DD5B6C11AA}"/>
    <cellStyle name="tableau | cellule | total | franc | entier 7" xfId="2986" xr:uid="{B40FB9B8-620C-433B-A1DD-924C3A613D79}"/>
    <cellStyle name="tableau | cellule | total | pourcentage | decimal 1" xfId="2987" xr:uid="{55240CB6-2F4B-45EF-98DD-83FCE6017DE7}"/>
    <cellStyle name="tableau | cellule | total | pourcentage | decimal 1 2" xfId="2988" xr:uid="{69807FB6-0865-49BA-8E3D-4A4D6CC19188}"/>
    <cellStyle name="tableau | cellule | total | pourcentage | decimal 1 2 2" xfId="2989" xr:uid="{C5B9866F-071F-4CD1-AEBD-F94D05B09DD4}"/>
    <cellStyle name="tableau | cellule | total | pourcentage | decimal 1 2 2 2" xfId="2990" xr:uid="{C0C6E850-F074-4132-825F-D0FF365D4624}"/>
    <cellStyle name="tableau | cellule | total | pourcentage | decimal 1 2 2 3" xfId="2991" xr:uid="{E2796648-07E6-4B1D-9CB4-6CA1C65B1D2B}"/>
    <cellStyle name="tableau | cellule | total | pourcentage | decimal 1 2 3" xfId="2992" xr:uid="{94529007-7015-44F9-99BC-47DDB8BB420F}"/>
    <cellStyle name="tableau | cellule | total | pourcentage | decimal 1 2 4" xfId="2993" xr:uid="{A823909B-10F1-47FF-86C0-14134262ACBE}"/>
    <cellStyle name="tableau | cellule | total | pourcentage | decimal 1 3" xfId="2994" xr:uid="{F9619F7C-2AA4-4642-8F53-72DEF47CBC72}"/>
    <cellStyle name="tableau | cellule | total | pourcentage | decimal 1 3 2" xfId="2995" xr:uid="{CE836B42-C1D1-4477-A801-929117D45894}"/>
    <cellStyle name="tableau | cellule | total | pourcentage | decimal 1 3 3" xfId="2996" xr:uid="{75F9CBBA-6D17-4F0B-A0C0-1ACD58DA1EEE}"/>
    <cellStyle name="tableau | cellule | total | pourcentage | decimal 1 4" xfId="2997" xr:uid="{C8C00D18-9050-46D9-84E9-C3369929C40F}"/>
    <cellStyle name="tableau | cellule | total | pourcentage | decimal 1 4 2" xfId="2998" xr:uid="{9D76CC39-AF9E-479C-A8BD-4165C97FBE87}"/>
    <cellStyle name="tableau | cellule | total | pourcentage | decimal 1 4 3" xfId="2999" xr:uid="{7E7BDAD9-07BE-47EA-A1EF-F8385176556A}"/>
    <cellStyle name="tableau | cellule | total | pourcentage | decimal 1 5" xfId="3000" xr:uid="{1166615D-4110-473C-A6ED-514B6D36E34A}"/>
    <cellStyle name="tableau | cellule | total | pourcentage | decimal 1 5 2" xfId="3001" xr:uid="{4A21A630-C6DB-4539-ABDD-2ACC5196B51A}"/>
    <cellStyle name="tableau | cellule | total | pourcentage | decimal 1 5 3" xfId="3002" xr:uid="{2ABDAD20-D971-4F73-BCE4-42EB14A37511}"/>
    <cellStyle name="tableau | cellule | total | pourcentage | decimal 1 6" xfId="3003" xr:uid="{2E96D757-7872-4647-8625-04A3237AE69C}"/>
    <cellStyle name="tableau | cellule | total | pourcentage | decimal 1 7" xfId="3004" xr:uid="{042277BF-EF34-4F52-B302-5C2288BD7106}"/>
    <cellStyle name="tableau | cellule | total | pourcentage | decimal 2" xfId="3005" xr:uid="{D9BE2A18-16CA-4FBD-A38B-ED9F72D95D31}"/>
    <cellStyle name="tableau | cellule | total | pourcentage | decimal 2 2" xfId="3006" xr:uid="{D18160EF-E45A-42F2-88A5-6E328E71629D}"/>
    <cellStyle name="tableau | cellule | total | pourcentage | decimal 2 2 2" xfId="3007" xr:uid="{23DBF814-9271-43B0-BE84-3FBC15F4C430}"/>
    <cellStyle name="tableau | cellule | total | pourcentage | decimal 2 2 2 2" xfId="3008" xr:uid="{A113E9EC-1CE4-4B83-8B4E-4596FC832B93}"/>
    <cellStyle name="tableau | cellule | total | pourcentage | decimal 2 2 2 3" xfId="3009" xr:uid="{BA772E46-EBA7-48E7-8F78-B5CECCBB28D9}"/>
    <cellStyle name="tableau | cellule | total | pourcentage | decimal 2 2 3" xfId="3010" xr:uid="{80DBA571-FEA5-4F0D-9F4E-DCD06940C540}"/>
    <cellStyle name="tableau | cellule | total | pourcentage | decimal 2 2 4" xfId="3011" xr:uid="{DC24B50D-DCE4-4D9D-9F76-E108022F0A55}"/>
    <cellStyle name="tableau | cellule | total | pourcentage | decimal 2 3" xfId="3012" xr:uid="{C7F80543-7734-499D-A818-7B2279EEB9D1}"/>
    <cellStyle name="tableau | cellule | total | pourcentage | decimal 2 3 2" xfId="3013" xr:uid="{04FAD6E8-675C-4DB3-80A5-EC55B18EDF9E}"/>
    <cellStyle name="tableau | cellule | total | pourcentage | decimal 2 3 3" xfId="3014" xr:uid="{490A8C87-C115-4B6D-BC98-94728E5DA262}"/>
    <cellStyle name="tableau | cellule | total | pourcentage | decimal 2 4" xfId="3015" xr:uid="{49DDC985-44F3-4F6B-A7D4-34D4E845EBF6}"/>
    <cellStyle name="tableau | cellule | total | pourcentage | decimal 2 4 2" xfId="3016" xr:uid="{A922C0B2-170B-4E1D-A836-B78F6C999295}"/>
    <cellStyle name="tableau | cellule | total | pourcentage | decimal 2 4 3" xfId="3017" xr:uid="{87735132-D88D-438A-BE8A-A619E5635F3C}"/>
    <cellStyle name="tableau | cellule | total | pourcentage | decimal 2 5" xfId="3018" xr:uid="{FBB5CB20-9715-4A85-99D8-A4D2C1E6708D}"/>
    <cellStyle name="tableau | cellule | total | pourcentage | decimal 2 5 2" xfId="3019" xr:uid="{B29742D0-C39A-4463-B71E-F7E3FA7C41CA}"/>
    <cellStyle name="tableau | cellule | total | pourcentage | decimal 2 5 3" xfId="3020" xr:uid="{004876A6-51D5-43D2-832D-60B794306AAF}"/>
    <cellStyle name="tableau | cellule | total | pourcentage | decimal 2 6" xfId="3021" xr:uid="{AEDAE048-D7F7-467B-9522-32C63C7F7142}"/>
    <cellStyle name="tableau | cellule | total | pourcentage | decimal 2 7" xfId="3022" xr:uid="{A98BB838-DC65-4620-82A1-0A9C10F2832E}"/>
    <cellStyle name="tableau | cellule | total | pourcentage | entier" xfId="3023" xr:uid="{4D690268-B7EC-4BA1-93B3-197400DDAC37}"/>
    <cellStyle name="tableau | cellule | total | pourcentage | entier 2" xfId="3024" xr:uid="{FFD0CAFD-2844-465F-80B2-0DF9DB77AD26}"/>
    <cellStyle name="tableau | cellule | total | pourcentage | entier 2 2" xfId="3025" xr:uid="{FBE5041E-9785-457D-8CC3-707D1F27E977}"/>
    <cellStyle name="tableau | cellule | total | pourcentage | entier 2 2 2" xfId="3026" xr:uid="{F41E4AF6-5814-4BDA-8C58-2988CFFB61B4}"/>
    <cellStyle name="tableau | cellule | total | pourcentage | entier 2 2 3" xfId="3027" xr:uid="{E478BDE0-33AC-4911-9FA4-C29A32BE81D6}"/>
    <cellStyle name="tableau | cellule | total | pourcentage | entier 2 3" xfId="3028" xr:uid="{B22F5314-44C9-476A-8506-CECC3984FCD9}"/>
    <cellStyle name="tableau | cellule | total | pourcentage | entier 2 4" xfId="3029" xr:uid="{7CB97462-287F-4226-9C2A-011EC8F4B1C5}"/>
    <cellStyle name="tableau | cellule | total | pourcentage | entier 3" xfId="3030" xr:uid="{ABC83B68-49B9-4056-8A29-C21FC1603AB5}"/>
    <cellStyle name="tableau | cellule | total | pourcentage | entier 3 2" xfId="3031" xr:uid="{1BC1A7EE-B575-465B-89B7-46262898F772}"/>
    <cellStyle name="tableau | cellule | total | pourcentage | entier 3 3" xfId="3032" xr:uid="{FE589EB6-424F-4510-827C-554272E11A5B}"/>
    <cellStyle name="tableau | cellule | total | pourcentage | entier 4" xfId="3033" xr:uid="{3913AB7D-F71E-4EEB-BD33-72494D005C29}"/>
    <cellStyle name="tableau | cellule | total | pourcentage | entier 4 2" xfId="3034" xr:uid="{B3787CAE-291C-45C9-AEDE-2A6D6CA36F35}"/>
    <cellStyle name="tableau | cellule | total | pourcentage | entier 4 3" xfId="3035" xr:uid="{384A22DD-54D8-44C7-995F-3109DE9BD684}"/>
    <cellStyle name="tableau | cellule | total | pourcentage | entier 5" xfId="3036" xr:uid="{5B5FFCD1-4F2A-4795-B18F-0251B2592DD6}"/>
    <cellStyle name="tableau | cellule | total | pourcentage | entier 5 2" xfId="3037" xr:uid="{E1BADA01-AA52-46FD-A4B3-C2B1E0D94D70}"/>
    <cellStyle name="tableau | cellule | total | pourcentage | entier 5 3" xfId="3038" xr:uid="{0F8E9697-6BD7-4A42-BBBF-9749D57F4B88}"/>
    <cellStyle name="tableau | cellule | total | pourcentage | entier 6" xfId="3039" xr:uid="{77CB96FF-812F-43C7-A207-53CDA8C8B08E}"/>
    <cellStyle name="tableau | cellule | total | pourcentage | entier 7" xfId="3040" xr:uid="{39CF2520-8F59-4D93-96C5-3B9274F65AAC}"/>
    <cellStyle name="tableau | cellule | total | standard" xfId="3041" xr:uid="{94AABD95-8EC7-4014-BCA8-E4A43D46E73C}"/>
    <cellStyle name="tableau | cellule | total | standard 2" xfId="3042" xr:uid="{0A86E25A-DA7F-4D35-A84D-C1C1A1B64951}"/>
    <cellStyle name="tableau | cellule | total | standard 2 2" xfId="3043" xr:uid="{ED778AC7-63C1-4BDB-AA3F-05075EF51A49}"/>
    <cellStyle name="tableau | cellule | total | standard 2 2 2" xfId="3044" xr:uid="{B006FD20-EA30-4BA8-948E-C68814879FE7}"/>
    <cellStyle name="tableau | cellule | total | standard 2 2 3" xfId="3045" xr:uid="{2DA05CEA-BF91-4B72-B2EA-079E7090F354}"/>
    <cellStyle name="tableau | cellule | total | standard 2 3" xfId="3046" xr:uid="{66D5332A-5438-496F-A608-209776E70160}"/>
    <cellStyle name="tableau | cellule | total | standard 2 4" xfId="3047" xr:uid="{EB4A5318-0255-4365-A043-9DF5201D309B}"/>
    <cellStyle name="tableau | cellule | total | standard 3" xfId="3048" xr:uid="{18BF8413-3627-4BB1-B0CB-CB164D5EC11A}"/>
    <cellStyle name="tableau | cellule | total | standard 3 2" xfId="3049" xr:uid="{C37CC784-4019-49CA-8B4B-1BBFF4CCAAA4}"/>
    <cellStyle name="tableau | cellule | total | standard 3 3" xfId="3050" xr:uid="{85582A13-56C9-40BD-A898-6C625DA0288F}"/>
    <cellStyle name="tableau | cellule | total | standard 4" xfId="3051" xr:uid="{C20B4D2E-2A02-4AAF-9028-4036A76DA5A4}"/>
    <cellStyle name="tableau | cellule | total | standard 4 2" xfId="3052" xr:uid="{F5115E79-D6D0-4636-9EE9-76B87ED17B0C}"/>
    <cellStyle name="tableau | cellule | total | standard 4 3" xfId="3053" xr:uid="{AB3F5211-9F0F-4171-82C1-101CA808D2CC}"/>
    <cellStyle name="tableau | cellule | total | standard 5" xfId="3054" xr:uid="{F4787CC6-4347-4EC0-9151-FC77C50CA991}"/>
    <cellStyle name="tableau | cellule | total | standard 5 2" xfId="3055" xr:uid="{069F884F-CE24-4019-ABB1-DB55E93C23FF}"/>
    <cellStyle name="tableau | cellule | total | standard 5 3" xfId="3056" xr:uid="{96A7E790-D427-41C9-8C54-BEFB4C45BDB5}"/>
    <cellStyle name="tableau | cellule | total | standard 6" xfId="3057" xr:uid="{127C60AD-703F-4AB4-AC72-2201087F399B}"/>
    <cellStyle name="tableau | cellule | total | standard 7" xfId="3058" xr:uid="{4F5514CC-115F-408C-89C0-C22531241624}"/>
    <cellStyle name="tableau | cellule | total | texte" xfId="3059" xr:uid="{E9521D5A-515A-4DEF-813F-505DF7A0F01F}"/>
    <cellStyle name="tableau | cellule | total | texte 2" xfId="3060" xr:uid="{6364DCB9-4A5E-4597-8416-F7DA8ABB7861}"/>
    <cellStyle name="tableau | cellule | total | texte 2 2" xfId="3061" xr:uid="{E3F3C905-EA5A-44E1-9ACB-49C531A4D933}"/>
    <cellStyle name="tableau | cellule | total | texte 2 2 2" xfId="3062" xr:uid="{CC219144-F657-4B8C-A986-61AF891A36A5}"/>
    <cellStyle name="tableau | cellule | total | texte 2 2 3" xfId="3063" xr:uid="{BDDCD243-CCE6-4FD3-A608-56B5403785F3}"/>
    <cellStyle name="tableau | cellule | total | texte 2 3" xfId="3064" xr:uid="{68C34A73-D02B-40E4-8974-7242E384A34B}"/>
    <cellStyle name="tableau | cellule | total | texte 2 4" xfId="3065" xr:uid="{931148D0-1F15-4E44-BA90-82B10DCF76A9}"/>
    <cellStyle name="tableau | cellule | total | texte 3" xfId="3066" xr:uid="{12DF5CB3-70F7-4971-8BD1-AB5B13C712AC}"/>
    <cellStyle name="tableau | cellule | total | texte 3 2" xfId="3067" xr:uid="{1824314B-A3BE-49EA-B82B-94124EDAFC68}"/>
    <cellStyle name="tableau | cellule | total | texte 3 3" xfId="3068" xr:uid="{60517778-E30A-4987-96C1-A5F7401CE882}"/>
    <cellStyle name="tableau | cellule | total | texte 4" xfId="3069" xr:uid="{285CEBCE-BE04-4C5B-B9F3-B966837BC13A}"/>
    <cellStyle name="tableau | cellule | total | texte 4 2" xfId="3070" xr:uid="{406557D3-170F-479F-8F35-3869A9A65142}"/>
    <cellStyle name="tableau | cellule | total | texte 4 3" xfId="3071" xr:uid="{44FAB5AD-6EE1-492B-BD77-3FD49DE7644A}"/>
    <cellStyle name="tableau | cellule | total | texte 5" xfId="3072" xr:uid="{80C307BB-A295-4A71-87E0-4532848C06BA}"/>
    <cellStyle name="tableau | cellule | total | texte 5 2" xfId="3073" xr:uid="{DEB20E5F-7360-45F2-8188-C513289A4936}"/>
    <cellStyle name="tableau | cellule | total | texte 5 3" xfId="3074" xr:uid="{979493E9-7678-4EA2-BE4C-0E4D40607768}"/>
    <cellStyle name="tableau | cellule | total | texte 6" xfId="3075" xr:uid="{F92AD389-4FC5-47AF-B0AC-09FBBFCBD187}"/>
    <cellStyle name="tableau | cellule | total | texte 7" xfId="3076" xr:uid="{36CB4A03-8193-4D2B-8D08-1C4978E5A51E}"/>
    <cellStyle name="tableau | coin superieur gauche" xfId="3077" xr:uid="{D69E4E92-94FC-43FD-ABAD-7ADE6126D981}"/>
    <cellStyle name="tableau | coin superieur gauche 2" xfId="3078" xr:uid="{10A3B63D-3954-42F2-8A12-770B4FECB4E1}"/>
    <cellStyle name="tableau | coin superieur gauche 2 2" xfId="3079" xr:uid="{97B052DA-4890-4C55-B939-942D608D5537}"/>
    <cellStyle name="tableau | coin superieur gauche 2 3" xfId="3080" xr:uid="{3B113390-FAF2-45F3-ACEF-7127EF268A8C}"/>
    <cellStyle name="tableau | coin superieur gauche 3" xfId="3081" xr:uid="{6DB92060-AB0F-4016-997C-13608708AF14}"/>
    <cellStyle name="tableau | coin superieur gauche 3 2" xfId="3082" xr:uid="{A8FEFE5C-ADD1-4181-93F9-032B3EA31704}"/>
    <cellStyle name="tableau | coin superieur gauche 3 3" xfId="3083" xr:uid="{E8408539-3F36-43FF-8276-7824563BF7E3}"/>
    <cellStyle name="tableau | coin superieur gauche 4" xfId="3084" xr:uid="{9BCEA710-DFE0-4A76-81E9-3D6BAA1FE63C}"/>
    <cellStyle name="tableau | coin superieur gauche 4 2" xfId="3085" xr:uid="{C68F3276-0B88-49BD-8EA9-88C1F8E0E8B3}"/>
    <cellStyle name="tableau | coin superieur gauche 4 3" xfId="3086" xr:uid="{0C50B932-7C2E-43C6-B4EB-DA2CC89FCE36}"/>
    <cellStyle name="tableau | coin superieur gauche 5" xfId="3087" xr:uid="{B48A0B60-903C-4B2D-A575-472E43BBB001}"/>
    <cellStyle name="tableau | coin superieur gauche 5 2" xfId="3088" xr:uid="{6986EB18-DF48-44A6-90B9-FB054F015A9C}"/>
    <cellStyle name="tableau | coin superieur gauche 5 3" xfId="3089" xr:uid="{F91F1CCD-4C27-410B-BCFC-3348B4805E10}"/>
    <cellStyle name="tableau | coin superieur gauche 6" xfId="3090" xr:uid="{C116DA5F-4DB8-4F2F-8F6F-9CBA21084891}"/>
    <cellStyle name="tableau | coin superieur gauche 7" xfId="3091" xr:uid="{93D82326-80D8-4E20-8C82-FC55A8DD10DC}"/>
    <cellStyle name="tableau | entete-colonne | series" xfId="3092" xr:uid="{151388D4-9F5C-4065-8796-1AC87506741D}"/>
    <cellStyle name="tableau | entete-colonne | series 2" xfId="3093" xr:uid="{F6652C59-8C93-48D0-816A-AC4C56AFA4FF}"/>
    <cellStyle name="tableau | entete-colonne | series 2 2" xfId="3094" xr:uid="{1279E362-D2CC-4FD2-B1A5-9D9B117EB58A}"/>
    <cellStyle name="tableau | entete-colonne | series 2 2 2" xfId="3095" xr:uid="{68776517-B307-43E2-816E-97D4DEB99CA7}"/>
    <cellStyle name="tableau | entete-colonne | series 2 2 3" xfId="3096" xr:uid="{8A623393-1485-487C-9456-4F43EDE6FC64}"/>
    <cellStyle name="tableau | entete-colonne | series 2 3" xfId="3097" xr:uid="{FF1F8368-CF36-46CF-8DE3-3EFDA2ECF775}"/>
    <cellStyle name="tableau | entete-colonne | series 2 3 2" xfId="3098" xr:uid="{51462388-E575-4805-B3A7-0F5175F35005}"/>
    <cellStyle name="tableau | entete-colonne | series 2 3 3" xfId="3099" xr:uid="{3480E28B-44D0-4383-A91A-710A9939CA3B}"/>
    <cellStyle name="tableau | entete-colonne | series 2 4" xfId="3100" xr:uid="{4A3CD784-BBF7-48AF-9148-14F7723ADF6D}"/>
    <cellStyle name="tableau | entete-colonne | series 2 5" xfId="3101" xr:uid="{2FDB82A0-FA32-4BA7-B001-709AA21D8EA5}"/>
    <cellStyle name="tableau | entete-colonne | series 3" xfId="3102" xr:uid="{82BC58D3-4872-49AB-894E-478B1EA3ADF1}"/>
    <cellStyle name="tableau | entete-colonne | series 3 2" xfId="3103" xr:uid="{77FB75D8-C9E4-438D-9D88-11A307881042}"/>
    <cellStyle name="tableau | entete-colonne | series 3 2 2" xfId="3104" xr:uid="{2A0FFEF2-0A49-4779-A428-A58135505387}"/>
    <cellStyle name="tableau | entete-colonne | series 3 2 3" xfId="3105" xr:uid="{DEC91264-76F6-4800-A747-093B222D6E0A}"/>
    <cellStyle name="tableau | entete-colonne | series 3 3" xfId="3106" xr:uid="{9829F71B-ED36-4D24-B8D2-8B40F2335ACE}"/>
    <cellStyle name="tableau | entete-colonne | series 3 4" xfId="3107" xr:uid="{515AA525-45E3-4E4E-B018-80582D23288B}"/>
    <cellStyle name="tableau | entete-colonne | series 4" xfId="3108" xr:uid="{BEDEE8EF-ACD1-4299-8EF2-5B038329E10A}"/>
    <cellStyle name="tableau | entete-colonne | series 4 2" xfId="3109" xr:uid="{243521BE-BBE9-4EE0-BC90-52F22057B961}"/>
    <cellStyle name="tableau | entete-colonne | series 4 3" xfId="3110" xr:uid="{772BD672-F4D3-4A17-B827-56233C39F551}"/>
    <cellStyle name="tableau | entete-colonne | series 5" xfId="3111" xr:uid="{D4B81B77-5CD4-467E-9847-BF5BBF58A685}"/>
    <cellStyle name="tableau | entete-colonne | series 5 2" xfId="3112" xr:uid="{3043590A-D9F4-4044-91E5-606B5A281B23}"/>
    <cellStyle name="tableau | entete-colonne | series 5 3" xfId="3113" xr:uid="{55E45CF8-6BC5-4B83-9CCD-5F074F5C3462}"/>
    <cellStyle name="tableau | entete-colonne | series 6" xfId="3114" xr:uid="{C16E1357-59E3-45B4-8121-546FB0D1C861}"/>
    <cellStyle name="tableau | entete-colonne | series 7" xfId="3115" xr:uid="{22FA27FD-DB3A-47A5-A141-23E4167C99F1}"/>
    <cellStyle name="tableau | entete-colonne | structure | normal" xfId="3116" xr:uid="{511908C4-03AF-41BA-A635-55F2FCA10167}"/>
    <cellStyle name="tableau | entete-colonne | structure | normal 2" xfId="3117" xr:uid="{4A1C9EE7-B4D7-4F37-B54A-2138EA4A9E11}"/>
    <cellStyle name="tableau | entete-colonne | structure | normal 2 2" xfId="3118" xr:uid="{B524D795-359E-4460-BD8D-33C11623EB99}"/>
    <cellStyle name="tableau | entete-colonne | structure | normal 2 3" xfId="3119" xr:uid="{AFE07916-47DC-4AAD-BBB6-D4A4828FC7CC}"/>
    <cellStyle name="tableau | entete-colonne | structure | normal 3" xfId="3120" xr:uid="{BF98E642-D584-4586-AB1D-7DF8B6B3B8F1}"/>
    <cellStyle name="tableau | entete-colonne | structure | normal 3 2" xfId="3121" xr:uid="{460FB5A8-FC05-4E5B-BC2D-15F6538FA7A5}"/>
    <cellStyle name="tableau | entete-colonne | structure | normal 3 3" xfId="3122" xr:uid="{B9562352-B4B6-45E3-A1B5-26F6148D09A6}"/>
    <cellStyle name="tableau | entete-colonne | structure | normal 4" xfId="3123" xr:uid="{36F287E1-6632-4F4A-8AB7-FE3015F7FA20}"/>
    <cellStyle name="tableau | entete-colonne | structure | normal 4 2" xfId="3124" xr:uid="{E6BEFC5E-45E7-4C69-9AE5-1D1AA6CEF9BD}"/>
    <cellStyle name="tableau | entete-colonne | structure | normal 4 3" xfId="3125" xr:uid="{4200F5CC-6EFC-4373-9F79-32EC2F30EB55}"/>
    <cellStyle name="tableau | entete-colonne | structure | normal 5" xfId="3126" xr:uid="{C1AEB286-4CB9-4D60-9854-1F40F2AFB4F8}"/>
    <cellStyle name="tableau | entete-colonne | structure | normal 6" xfId="3127" xr:uid="{0F893AD0-D189-482C-A3E1-22D582A6AA0C}"/>
    <cellStyle name="tableau | entete-colonne | structure | total" xfId="3128" xr:uid="{2DA5B248-884A-4A05-8889-E797D5990910}"/>
    <cellStyle name="tableau | entete-colonne | structure | total 2" xfId="3129" xr:uid="{4F351FBE-EFF4-4DB4-843D-2AB7E841A5C0}"/>
    <cellStyle name="tableau | entete-colonne | structure | total 2 2" xfId="3130" xr:uid="{405871F5-527A-4432-A787-1324E51B3226}"/>
    <cellStyle name="tableau | entete-colonne | structure | total 2 3" xfId="3131" xr:uid="{12A9C7AB-22BB-4D7E-823C-71F1DD2F8C2C}"/>
    <cellStyle name="tableau | entete-colonne | structure | total 3" xfId="3132" xr:uid="{3115A1B9-E024-4C95-9DF0-6803E7B9FC49}"/>
    <cellStyle name="tableau | entete-colonne | structure | total 3 2" xfId="3133" xr:uid="{94CF579D-C3B0-4B6D-90CA-63CCC6697A6C}"/>
    <cellStyle name="tableau | entete-colonne | structure | total 3 3" xfId="3134" xr:uid="{F37CD012-5816-4DB6-90ED-CEDB6AF69680}"/>
    <cellStyle name="tableau | entete-colonne | structure | total 4" xfId="3135" xr:uid="{995BB397-7D06-477D-9979-8939B6C41C8F}"/>
    <cellStyle name="tableau | entete-colonne | structure | total 4 2" xfId="3136" xr:uid="{F34199EB-4C44-4CB3-A3F8-A42DAD8B6A44}"/>
    <cellStyle name="tableau | entete-colonne | structure | total 4 3" xfId="3137" xr:uid="{731D4C6F-D89C-4AEB-9F43-482BCA54D438}"/>
    <cellStyle name="tableau | entete-colonne | structure | total 5" xfId="3138" xr:uid="{775FE47E-2C6C-4A6B-A1B8-59EC943884DC}"/>
    <cellStyle name="tableau | entete-colonne | structure | total 6" xfId="3139" xr:uid="{4FC85AEE-C0C0-4C2F-B7AA-9A89374CBC4C}"/>
    <cellStyle name="tableau | entete-ligne | normal" xfId="3140" xr:uid="{AE69E742-7E79-4D22-9B84-6B7D7756DD46}"/>
    <cellStyle name="tableau | entete-ligne | normal 2" xfId="3141" xr:uid="{10E440C8-5A31-48E3-B795-5427C503A93E}"/>
    <cellStyle name="tableau | entete-ligne | normal 2 2" xfId="3142" xr:uid="{87D85595-F5C3-4F42-8485-AE3169968731}"/>
    <cellStyle name="tableau | entete-ligne | normal 2 3" xfId="3143" xr:uid="{F1DA82C7-BF28-49B8-AE04-681EBC02E105}"/>
    <cellStyle name="tableau | entete-ligne | normal 3" xfId="3144" xr:uid="{CE12090C-945D-49D7-ABA3-A5A851CC1DAB}"/>
    <cellStyle name="tableau | entete-ligne | normal 3 2" xfId="3145" xr:uid="{6FCFBC69-D21B-4267-959A-25397A742AED}"/>
    <cellStyle name="tableau | entete-ligne | normal 3 3" xfId="3146" xr:uid="{56F9D4C0-1A8E-4B76-8154-D187FA9F7811}"/>
    <cellStyle name="tableau | entete-ligne | normal 4" xfId="3147" xr:uid="{E3ADDDF2-03A2-4439-9E85-069C9A050BBC}"/>
    <cellStyle name="tableau | entete-ligne | normal 4 2" xfId="3148" xr:uid="{75976E66-50E0-4AED-A2DC-D39A00E6478F}"/>
    <cellStyle name="tableau | entete-ligne | normal 4 3" xfId="3149" xr:uid="{99AFF16E-78CC-4BC1-AB4A-B4856FEAB032}"/>
    <cellStyle name="tableau | entete-ligne | normal 5" xfId="3150" xr:uid="{F25C17DC-AB6E-4B71-A934-41E52E70BBC5}"/>
    <cellStyle name="tableau | entete-ligne | normal 5 2" xfId="3151" xr:uid="{D7084F96-38F6-45B8-B57E-C23266167722}"/>
    <cellStyle name="tableau | entete-ligne | normal 5 3" xfId="3152" xr:uid="{BEEB7C26-54C7-4B03-8894-D0C5567B765B}"/>
    <cellStyle name="tableau | entete-ligne | normal 6" xfId="3153" xr:uid="{80C92CC8-61DD-4E9E-A501-B36A3791B93F}"/>
    <cellStyle name="tableau | entete-ligne | normal 7" xfId="3154" xr:uid="{8059F3AF-46EC-44CC-93A3-908A225F67D2}"/>
    <cellStyle name="tableau | entete-ligne | total" xfId="3155" xr:uid="{E3306CD4-86AD-463E-B612-C9F3EDCF43FF}"/>
    <cellStyle name="tableau | entete-ligne | total 2" xfId="3156" xr:uid="{3E7C9C2D-6446-4E3A-9493-2616782735CF}"/>
    <cellStyle name="tableau | entete-ligne | total 2 2" xfId="3157" xr:uid="{E5D07086-E865-4441-8599-DA58EF30A383}"/>
    <cellStyle name="tableau | entete-ligne | total 2 3" xfId="3158" xr:uid="{B6C38272-9300-4CF7-B01E-16BA86156846}"/>
    <cellStyle name="tableau | entete-ligne | total 3" xfId="3159" xr:uid="{ECA051A4-8F7A-4C3A-BCF2-A4E51579E57D}"/>
    <cellStyle name="tableau | entete-ligne | total 3 2" xfId="3160" xr:uid="{62D67B9A-1C1F-4F67-B810-AD6E5592660B}"/>
    <cellStyle name="tableau | entete-ligne | total 3 3" xfId="3161" xr:uid="{52104A15-7DBF-4A25-A757-97ECDDD88DE9}"/>
    <cellStyle name="tableau | entete-ligne | total 4" xfId="3162" xr:uid="{743D2711-39EB-44AA-B40E-0E11D71E0A79}"/>
    <cellStyle name="tableau | entete-ligne | total 4 2" xfId="3163" xr:uid="{3F5FB7E1-0ED7-4A82-9E0E-E8DEE6E11C37}"/>
    <cellStyle name="tableau | entete-ligne | total 4 3" xfId="3164" xr:uid="{AB689D0A-757A-4F2D-A284-AD4A90A4C883}"/>
    <cellStyle name="tableau | entete-ligne | total 5" xfId="3165" xr:uid="{25D36BA5-039B-4477-A9D5-06AA21B8A642}"/>
    <cellStyle name="tableau | entete-ligne | total 5 2" xfId="3166" xr:uid="{9C9A1BE5-1E86-475B-B6C0-4A588116A4E7}"/>
    <cellStyle name="tableau | entete-ligne | total 5 3" xfId="3167" xr:uid="{49B9348F-5ED4-46F8-8984-C88C6A9E4F06}"/>
    <cellStyle name="tableau | entete-ligne | total 6" xfId="3168" xr:uid="{E2BE6C65-2F53-4734-AFCA-044BB065B7AB}"/>
    <cellStyle name="tableau | entete-ligne | total 7" xfId="3169" xr:uid="{EA613900-FD1E-4562-B5D0-4C0F352983B6}"/>
    <cellStyle name="tableau | indice | plage de cellules" xfId="3170" xr:uid="{E0BAB29F-A459-4BC2-A1A4-491C20D0AFC3}"/>
    <cellStyle name="tableau | indice | plage de cellules 2" xfId="3171" xr:uid="{D6099828-F48F-4370-9B46-117EE27EC3C4}"/>
    <cellStyle name="tableau | indice | plage de cellules 2 2" xfId="3172" xr:uid="{706558A3-87A6-46AC-B69C-BBD10CD5D6B6}"/>
    <cellStyle name="tableau | indice | plage de cellules 2 3" xfId="3173" xr:uid="{AA455E9F-FE40-42F7-A1C3-ED72DB893070}"/>
    <cellStyle name="tableau | indice | plage de cellules 3" xfId="3174" xr:uid="{F26AAFA3-00FA-41BF-B34B-66062101D5A4}"/>
    <cellStyle name="tableau | indice | plage de cellules 3 2" xfId="3175" xr:uid="{32D62490-A4C4-4930-812A-7DDA7093844D}"/>
    <cellStyle name="tableau | indice | plage de cellules 3 3" xfId="3176" xr:uid="{DB9F271C-E737-400B-91CB-A75B52C78B27}"/>
    <cellStyle name="tableau | indice | plage de cellules 4" xfId="3177" xr:uid="{B42E18E6-0ACF-440F-A05C-7C1EAD1B1B58}"/>
    <cellStyle name="tableau | indice | plage de cellules 4 2" xfId="3178" xr:uid="{5D9203FB-6147-43F5-9D5C-E6089DF43A10}"/>
    <cellStyle name="tableau | indice | plage de cellules 4 3" xfId="3179" xr:uid="{71285449-7B83-4714-9373-9A32B7C4AD58}"/>
    <cellStyle name="tableau | indice | plage de cellules 5" xfId="3180" xr:uid="{8E75E416-7CA9-4A5C-A288-EE6CF1F4A482}"/>
    <cellStyle name="tableau | indice | plage de cellules 5 2" xfId="3181" xr:uid="{8DF83C0D-0BD6-410F-BD29-10648EC9E52D}"/>
    <cellStyle name="tableau | indice | plage de cellules 5 3" xfId="3182" xr:uid="{E1A0158B-8B76-49BE-B8EE-BFD6BFCF9B68}"/>
    <cellStyle name="tableau | indice | plage de cellules 6" xfId="3183" xr:uid="{9C30C6F5-BB35-4506-823A-3B5F3D95CA5A}"/>
    <cellStyle name="tableau | indice | plage de cellules 7" xfId="3184" xr:uid="{505D23F9-2983-4841-B6E0-A543E8AE3FF0}"/>
    <cellStyle name="tableau | indice | texte" xfId="3185" xr:uid="{28FA5363-17E9-4B37-82E2-560749054730}"/>
    <cellStyle name="tableau | indice | texte 2" xfId="3186" xr:uid="{2EAB7A9B-C13A-48BC-918D-4E080389BED2}"/>
    <cellStyle name="tableau | indice | texte 2 2" xfId="3187" xr:uid="{0005BDFD-0BBA-4B4B-8537-87F94FE8FB62}"/>
    <cellStyle name="tableau | indice | texte 2 3" xfId="3188" xr:uid="{BBB0CE0D-F31D-41F2-9571-209473F51A2F}"/>
    <cellStyle name="tableau | indice | texte 3" xfId="3189" xr:uid="{20090623-84AE-4E2F-8CCD-4694EDFBDCC2}"/>
    <cellStyle name="tableau | indice | texte 3 2" xfId="3190" xr:uid="{DD9132A9-8037-4626-958B-C7B92CEB4419}"/>
    <cellStyle name="tableau | indice | texte 3 3" xfId="3191" xr:uid="{FF21C6FE-1C35-4885-A01E-05F05AA33FF3}"/>
    <cellStyle name="tableau | indice | texte 4" xfId="3192" xr:uid="{3166C885-0048-41D3-B952-979E168B08C6}"/>
    <cellStyle name="tableau | indice | texte 4 2" xfId="3193" xr:uid="{C1E7AA6F-2F6F-4D79-B3B9-F9BC66667088}"/>
    <cellStyle name="tableau | indice | texte 4 3" xfId="3194" xr:uid="{14044423-2935-4DD4-A20E-3451EE6556F5}"/>
    <cellStyle name="tableau | indice | texte 5" xfId="3195" xr:uid="{82D115E5-DA77-4F91-A5BE-0A5EF56D7A62}"/>
    <cellStyle name="tableau | indice | texte 5 2" xfId="3196" xr:uid="{BB5FE059-C840-4A40-B4C4-6B839A903947}"/>
    <cellStyle name="tableau | indice | texte 5 3" xfId="3197" xr:uid="{D58C3B28-CD44-439B-B6BB-4F9DFE1F8A3F}"/>
    <cellStyle name="tableau | indice | texte 6" xfId="3198" xr:uid="{5EDEAB74-C248-429E-A99D-23DF7F8765A4}"/>
    <cellStyle name="tableau | indice | texte 7" xfId="3199" xr:uid="{9AF9CBEF-FE4A-4106-8C8E-E7F18C1E1F50}"/>
    <cellStyle name="tableau | ligne de cesure" xfId="3200" xr:uid="{2FD8AD88-1BC8-479D-967B-160C9028B312}"/>
    <cellStyle name="tableau | ligne de cesure 2" xfId="3201" xr:uid="{78C912E1-58BD-4757-848B-F8D519312291}"/>
    <cellStyle name="tableau | ligne de cesure 2 2" xfId="3202" xr:uid="{C5E60EC5-9531-4800-BD64-D1E0AC851686}"/>
    <cellStyle name="tableau | ligne de cesure 2 2 2" xfId="3203" xr:uid="{8E6A1F4F-5BD8-439D-9366-06F802952449}"/>
    <cellStyle name="tableau | ligne de cesure 2 2 3" xfId="3204" xr:uid="{7D52CECC-5340-4FE3-839B-4ED1200C4A51}"/>
    <cellStyle name="tableau | ligne de cesure 2 3" xfId="3205" xr:uid="{53570979-3419-4440-85D5-423DC7DB9E5D}"/>
    <cellStyle name="tableau | ligne de cesure 2 4" xfId="3206" xr:uid="{CA4577AF-DD77-4108-B20C-9B466C1CBEE9}"/>
    <cellStyle name="tableau | ligne de cesure 3" xfId="3207" xr:uid="{D8E09425-AD9E-433A-BC47-28B41008426C}"/>
    <cellStyle name="tableau | ligne de cesure 3 2" xfId="3208" xr:uid="{DA925DB3-86DE-49C3-887A-91D364576202}"/>
    <cellStyle name="tableau | ligne de cesure 3 3" xfId="3209" xr:uid="{1AC05E16-B5F1-4883-9830-669C51A3F25A}"/>
    <cellStyle name="tableau | ligne de cesure 4" xfId="3210" xr:uid="{7CBCB64D-5054-449D-A4B5-8699952F8C96}"/>
    <cellStyle name="tableau | ligne de cesure 4 2" xfId="3211" xr:uid="{DB3DBBC2-EF89-4FB9-950C-FE03351DBE6B}"/>
    <cellStyle name="tableau | ligne de cesure 4 3" xfId="3212" xr:uid="{47DF683D-BBA5-40A0-8F26-6DBF4135041F}"/>
    <cellStyle name="tableau | ligne de cesure 5" xfId="3213" xr:uid="{697CA774-E77B-4891-8926-69CD57084645}"/>
    <cellStyle name="tableau | ligne de cesure 6" xfId="3214" xr:uid="{DC767A36-CCDB-4537-89E8-F4C85830E42B}"/>
    <cellStyle name="tableau | ligne-titre | niveau1" xfId="3215" xr:uid="{EDF642BB-856B-4039-9F47-8F1AEECCD5F1}"/>
    <cellStyle name="tableau | ligne-titre | niveau1 2" xfId="3216" xr:uid="{EB378574-8990-4D80-8E55-F68DDEB0B87A}"/>
    <cellStyle name="tableau | ligne-titre | niveau1 2 2" xfId="3217" xr:uid="{F1904A17-7286-498A-AE68-9E477DD2A494}"/>
    <cellStyle name="tableau | ligne-titre | niveau1 2 3" xfId="3218" xr:uid="{7B5A942B-4D2E-42E4-9871-1E1BA4C63A77}"/>
    <cellStyle name="tableau | ligne-titre | niveau1 3" xfId="3219" xr:uid="{E5B3049B-A308-49D6-A221-A2B69EDCBC15}"/>
    <cellStyle name="tableau | ligne-titre | niveau1 3 2" xfId="3220" xr:uid="{ECDD020A-1FF2-450F-9F18-03E16C37D644}"/>
    <cellStyle name="tableau | ligne-titre | niveau1 3 3" xfId="3221" xr:uid="{E4358737-0977-4B69-A64D-28210D8C0FB2}"/>
    <cellStyle name="tableau | ligne-titre | niveau1 4" xfId="3222" xr:uid="{7C203E5D-30A8-4EC5-B187-8B628983EB74}"/>
    <cellStyle name="tableau | ligne-titre | niveau1 4 2" xfId="3223" xr:uid="{CD9E80BA-F92E-4BB0-85F7-1F824BF30746}"/>
    <cellStyle name="tableau | ligne-titre | niveau1 4 3" xfId="3224" xr:uid="{3B19EAF5-EDD7-4C58-88E2-4A1D505DC17C}"/>
    <cellStyle name="tableau | ligne-titre | niveau1 5" xfId="3225" xr:uid="{9A911C98-C201-4088-891C-9F0EA77A1120}"/>
    <cellStyle name="tableau | ligne-titre | niveau1 5 2" xfId="3226" xr:uid="{1AE711A9-2218-4689-B958-2189F59417F7}"/>
    <cellStyle name="tableau | ligne-titre | niveau1 5 3" xfId="3227" xr:uid="{1D97DB2F-E5EB-4983-BFE1-BCBB47163138}"/>
    <cellStyle name="tableau | ligne-titre | niveau1 6" xfId="3228" xr:uid="{5574E4F7-A39C-494E-8037-C56B604BC4AC}"/>
    <cellStyle name="tableau | ligne-titre | niveau1 7" xfId="3229" xr:uid="{77A219F6-C966-4DF3-B93A-93EB553059BB}"/>
    <cellStyle name="tableau | ligne-titre | niveau2" xfId="3230" xr:uid="{F21ACC55-AAAC-45F9-9372-2BB390A7C6D0}"/>
    <cellStyle name="tableau | ligne-titre | niveau2 2" xfId="3231" xr:uid="{D52ABDE8-4D44-4114-84B1-0212202CD6C3}"/>
    <cellStyle name="tableau | ligne-titre | niveau2 2 2" xfId="3232" xr:uid="{3CF6F0E3-9FE2-4DC4-BBBC-4F5720AF89A4}"/>
    <cellStyle name="tableau | ligne-titre | niveau2 2 3" xfId="3233" xr:uid="{11EE3E06-A7B4-4EE5-A8AE-2F05AFBD95D5}"/>
    <cellStyle name="tableau | ligne-titre | niveau2 3" xfId="3234" xr:uid="{E73B9898-35B8-4856-A819-2D4CFF512FB4}"/>
    <cellStyle name="tableau | ligne-titre | niveau2 3 2" xfId="3235" xr:uid="{DBAE2172-2E63-4E4A-8A28-A57EB1E9E94C}"/>
    <cellStyle name="tableau | ligne-titre | niveau2 3 3" xfId="3236" xr:uid="{5EEDB419-5E0B-47F2-A879-EC78FB1B9691}"/>
    <cellStyle name="tableau | ligne-titre | niveau2 4" xfId="3237" xr:uid="{3880FB5C-80A2-4ADA-B891-F7EB8648D7D5}"/>
    <cellStyle name="tableau | ligne-titre | niveau2 4 2" xfId="3238" xr:uid="{9B36D22B-CB64-4953-BEAA-CFB97BA753BB}"/>
    <cellStyle name="tableau | ligne-titre | niveau2 4 3" xfId="3239" xr:uid="{622C4C26-CCF1-49BB-8D24-E54216E41C94}"/>
    <cellStyle name="tableau | ligne-titre | niveau2 5" xfId="3240" xr:uid="{2147A08A-D603-4D09-AA3B-4C1235C364F0}"/>
    <cellStyle name="tableau | ligne-titre | niveau2 6" xfId="3241" xr:uid="{25C74255-F46A-4FCC-8BD6-194A165BCD8D}"/>
    <cellStyle name="tableau | ligne-titre | niveau3" xfId="3242" xr:uid="{F69C030B-A866-4C5A-8219-DF332E5151B3}"/>
    <cellStyle name="tableau | ligne-titre | niveau3 2" xfId="3243" xr:uid="{230706CC-568A-4D3B-88D3-B91854A437A7}"/>
    <cellStyle name="tableau | ligne-titre | niveau3 2 2" xfId="3244" xr:uid="{F05ED36D-0B77-47E4-8548-2254A78031B7}"/>
    <cellStyle name="tableau | ligne-titre | niveau3 2 3" xfId="3245" xr:uid="{CFDC577C-773C-4CD5-BFC0-AFC180104EFB}"/>
    <cellStyle name="tableau | ligne-titre | niveau3 3" xfId="3246" xr:uid="{2A6D21DC-D1F6-4260-96B6-E2B5DC63B5FC}"/>
    <cellStyle name="tableau | ligne-titre | niveau3 3 2" xfId="3247" xr:uid="{1B2527E1-ED4F-4D42-961E-7BFF657B4A19}"/>
    <cellStyle name="tableau | ligne-titre | niveau3 3 3" xfId="3248" xr:uid="{08A1F012-D1BC-4DCD-A52F-47E80ED4960A}"/>
    <cellStyle name="tableau | ligne-titre | niveau3 4" xfId="3249" xr:uid="{9B530314-A7EF-44AE-B73A-8DE21C69E8EF}"/>
    <cellStyle name="tableau | ligne-titre | niveau3 5" xfId="3250" xr:uid="{5BA369B0-4D22-4572-B255-F7BF40C293D5}"/>
    <cellStyle name="tableau | ligne-titre | niveau4" xfId="3251" xr:uid="{37D014B5-B631-44BC-BB97-B00DC3830735}"/>
    <cellStyle name="tableau | ligne-titre | niveau4 2" xfId="3252" xr:uid="{9FA7925D-7544-4225-8AF1-8464DFD94B6B}"/>
    <cellStyle name="tableau | ligne-titre | niveau4 2 2" xfId="3253" xr:uid="{88DA7AB9-92CB-4093-904A-B360B445780F}"/>
    <cellStyle name="tableau | ligne-titre | niveau4 2 3" xfId="3254" xr:uid="{27C23F67-9DE5-4FA2-BE7F-C3EB33F744DA}"/>
    <cellStyle name="tableau | ligne-titre | niveau4 3" xfId="3255" xr:uid="{854989CD-DFE3-4355-A828-1775F387B8BD}"/>
    <cellStyle name="tableau | ligne-titre | niveau4 3 2" xfId="3256" xr:uid="{17D23EF9-9A9E-42FF-8389-BEB8AEDCDD74}"/>
    <cellStyle name="tableau | ligne-titre | niveau4 3 3" xfId="3257" xr:uid="{9453FCFA-9C4E-4E44-9242-757AF2FB7430}"/>
    <cellStyle name="tableau | ligne-titre | niveau4 4" xfId="3258" xr:uid="{3E496710-A4B6-458F-BEBB-EC993878807F}"/>
    <cellStyle name="tableau | ligne-titre | niveau4 4 2" xfId="3259" xr:uid="{012E261C-0922-479F-A296-38AB0507DD32}"/>
    <cellStyle name="tableau | ligne-titre | niveau4 4 3" xfId="3260" xr:uid="{2754D384-FD4B-4B0B-919F-E6FAB4EC3506}"/>
    <cellStyle name="tableau | ligne-titre | niveau4 5" xfId="3261" xr:uid="{CC9A85F5-D353-426C-A8B1-60C0A9B9A29A}"/>
    <cellStyle name="tableau | ligne-titre | niveau4 5 2" xfId="3262" xr:uid="{82B61F7D-8E1D-448E-911D-F92D2DE5D57B}"/>
    <cellStyle name="tableau | ligne-titre | niveau4 5 3" xfId="3263" xr:uid="{D5067038-1602-456C-8C54-14D4F06E463A}"/>
    <cellStyle name="tableau | ligne-titre | niveau4 6" xfId="3264" xr:uid="{1B749129-954E-476C-907D-B30BC092E9A4}"/>
    <cellStyle name="tableau | ligne-titre | niveau4 7" xfId="3265" xr:uid="{330488CB-09DB-4BEE-BC82-D7D783B4D7A0}"/>
    <cellStyle name="tableau | ligne-titre | niveau5" xfId="3266" xr:uid="{41F37313-A666-40D5-B196-F308E6824BC4}"/>
    <cellStyle name="tableau | ligne-titre | niveau5 2" xfId="3267" xr:uid="{52FA548E-877F-44DE-A853-ABD2F84B4DB1}"/>
    <cellStyle name="tableau | ligne-titre | niveau5 2 2" xfId="3268" xr:uid="{FEB91ADB-5C0C-4F1F-81AC-774C560DD717}"/>
    <cellStyle name="tableau | ligne-titre | niveau5 2 3" xfId="3269" xr:uid="{4D1E23FC-AD88-4796-ACE1-6818B6A7BDC9}"/>
    <cellStyle name="tableau | ligne-titre | niveau5 3" xfId="3270" xr:uid="{7FD64B04-5EAC-4852-BE3D-165190E70B48}"/>
    <cellStyle name="tableau | ligne-titre | niveau5 3 2" xfId="3271" xr:uid="{D332823E-2275-4A48-BB81-61D44594AA8B}"/>
    <cellStyle name="tableau | ligne-titre | niveau5 3 3" xfId="3272" xr:uid="{D02B27BF-459E-43A2-A3A8-3205F2701447}"/>
    <cellStyle name="tableau | ligne-titre | niveau5 4" xfId="3273" xr:uid="{4FA755BC-F1AF-44B7-8BCE-3C5FDE71CE25}"/>
    <cellStyle name="tableau | ligne-titre | niveau5 5" xfId="3274" xr:uid="{85A056D6-E06E-4FD5-A665-1D8798561C84}"/>
    <cellStyle name="tableau | source | plage de cellules" xfId="3275" xr:uid="{60738578-1729-46EA-B44D-56EA799C3C2C}"/>
    <cellStyle name="tableau | source | plage de cellules 2" xfId="3276" xr:uid="{DBE6E0D7-EF8F-4F3E-8A3F-E571B5F289A6}"/>
    <cellStyle name="tableau | source | plage de cellules 2 2" xfId="3277" xr:uid="{E72A815A-44A4-4613-AA03-413486A4842A}"/>
    <cellStyle name="tableau | source | plage de cellules 2 3" xfId="3278" xr:uid="{83AEF194-E5FD-4362-BF94-F302F8F8F218}"/>
    <cellStyle name="tableau | source | plage de cellules 3" xfId="3279" xr:uid="{12C7BDD8-B253-4C04-9325-2D9408577CD7}"/>
    <cellStyle name="tableau | source | plage de cellules 3 2" xfId="3280" xr:uid="{0AB0944F-4840-4F0F-8EA4-D8CFA6E3A7C2}"/>
    <cellStyle name="tableau | source | plage de cellules 3 3" xfId="3281" xr:uid="{41FEE463-782B-4997-84E0-E8D91BE02B97}"/>
    <cellStyle name="tableau | source | plage de cellules 4" xfId="3282" xr:uid="{24C45894-6A77-43B4-A8B5-AADB6082B257}"/>
    <cellStyle name="tableau | source | plage de cellules 4 2" xfId="3283" xr:uid="{326F7157-B391-4401-9A41-65C6F3B0390D}"/>
    <cellStyle name="tableau | source | plage de cellules 4 3" xfId="3284" xr:uid="{5B59BB81-1E5B-46E3-91AE-5275BCA97632}"/>
    <cellStyle name="tableau | source | plage de cellules 5" xfId="3285" xr:uid="{F870C1B2-4A7D-4D36-9181-158018279C2C}"/>
    <cellStyle name="tableau | source | plage de cellules 5 2" xfId="3286" xr:uid="{05CF6D3D-8672-48BF-A0CB-0C4F227A0CD7}"/>
    <cellStyle name="tableau | source | plage de cellules 5 3" xfId="3287" xr:uid="{F352616A-5B6D-455E-86EF-E92BA6DD9FA8}"/>
    <cellStyle name="tableau | source | plage de cellules 6" xfId="3288" xr:uid="{1F1BDD77-D81A-4612-AFB6-A1C00682FA46}"/>
    <cellStyle name="tableau | source | plage de cellules 7" xfId="3289" xr:uid="{CD4CF8CA-270F-4D83-8C6B-4F2CC889BD10}"/>
    <cellStyle name="tableau | source | texte" xfId="3290" xr:uid="{349FB16E-0A17-442C-8E0C-DFE233681271}"/>
    <cellStyle name="tableau | source | texte 2" xfId="3291" xr:uid="{FA230992-29A4-47A3-8CA7-D5706581B56C}"/>
    <cellStyle name="tableau | source | texte 2 2" xfId="3292" xr:uid="{C875AC98-EEEE-482B-BADE-4008541CD62E}"/>
    <cellStyle name="tableau | source | texte 2 3" xfId="3293" xr:uid="{6BB4923B-1B69-4366-9CD5-2753E86705C7}"/>
    <cellStyle name="tableau | source | texte 3" xfId="3294" xr:uid="{94763ACD-BCD8-4FED-8FAC-F1CE0E82F079}"/>
    <cellStyle name="tableau | source | texte 3 2" xfId="3295" xr:uid="{5F6EA089-E610-4A1E-AB82-82F6F9FAF3A1}"/>
    <cellStyle name="tableau | source | texte 3 3" xfId="3296" xr:uid="{A109ADE7-459C-4FCC-B996-20F140FA174C}"/>
    <cellStyle name="tableau | source | texte 4" xfId="3297" xr:uid="{BF47A17B-31DA-4980-9E3A-A2A3B4D77989}"/>
    <cellStyle name="tableau | source | texte 4 2" xfId="3298" xr:uid="{EF27F2FC-E977-4E3A-90C1-0EFC18B7378E}"/>
    <cellStyle name="tableau | source | texte 4 3" xfId="3299" xr:uid="{5075A851-A919-4646-8460-768A3D3D94B8}"/>
    <cellStyle name="tableau | source | texte 5" xfId="3300" xr:uid="{F6D50D3C-DE6D-44FD-8116-0A3703AA6F2B}"/>
    <cellStyle name="tableau | source | texte 5 2" xfId="3301" xr:uid="{8CDE9BF4-2540-48A2-A2CB-048AB8B1F476}"/>
    <cellStyle name="tableau | source | texte 5 3" xfId="3302" xr:uid="{F67B2A18-A7BE-42B9-903F-7BFED5ED3BB7}"/>
    <cellStyle name="tableau | source | texte 6" xfId="3303" xr:uid="{17EFACB6-1F39-4EB9-84BA-C2423BB21B40}"/>
    <cellStyle name="tableau | source | texte 7" xfId="3304" xr:uid="{58B5260C-D439-44EA-ADB0-E6F713540C72}"/>
    <cellStyle name="tableau | unite | plage de cellules" xfId="3305" xr:uid="{82FA4762-FAEE-424A-A460-FBC181052A9C}"/>
    <cellStyle name="tableau | unite | plage de cellules 2" xfId="3306" xr:uid="{70E08C14-191A-4AD5-A29D-FEA40B2C2ECA}"/>
    <cellStyle name="tableau | unite | plage de cellules 2 2" xfId="3307" xr:uid="{A0B04207-AB95-4C3D-8B63-8F2111A2912C}"/>
    <cellStyle name="tableau | unite | plage de cellules 2 3" xfId="3308" xr:uid="{6689986B-DB79-4B11-87CE-FCA63643C813}"/>
    <cellStyle name="tableau | unite | plage de cellules 3" xfId="3309" xr:uid="{1C935605-D9EB-45C3-9D51-5889DC3C77CA}"/>
    <cellStyle name="tableau | unite | plage de cellules 3 2" xfId="3310" xr:uid="{09986359-A18A-44AD-B2B0-7B24382E85F6}"/>
    <cellStyle name="tableau | unite | plage de cellules 3 3" xfId="3311" xr:uid="{42B33065-EB86-46E7-AE78-8BA003B17FB9}"/>
    <cellStyle name="tableau | unite | plage de cellules 4" xfId="3312" xr:uid="{8535E55B-829E-428E-9C4D-70E9C39B33B2}"/>
    <cellStyle name="tableau | unite | plage de cellules 4 2" xfId="3313" xr:uid="{674B9281-7064-40C9-922C-7CB7932634FF}"/>
    <cellStyle name="tableau | unite | plage de cellules 4 3" xfId="3314" xr:uid="{F899F3AD-F886-4AB0-BFC6-E04ACE311BE9}"/>
    <cellStyle name="tableau | unite | plage de cellules 5" xfId="3315" xr:uid="{839332F5-6D77-4EA3-810D-3BE0FF6C7701}"/>
    <cellStyle name="tableau | unite | plage de cellules 5 2" xfId="3316" xr:uid="{B3B4195A-DA0D-4C14-89ED-4EB3D2D5C2CF}"/>
    <cellStyle name="tableau | unite | plage de cellules 5 3" xfId="3317" xr:uid="{AB473943-5E30-4471-B838-1B26F4A783F6}"/>
    <cellStyle name="tableau | unite | plage de cellules 6" xfId="3318" xr:uid="{F4FE5F6A-138A-441B-86A2-D00ECCD7C7F2}"/>
    <cellStyle name="tableau | unite | plage de cellules 7" xfId="3319" xr:uid="{A7548CF2-4ACC-4234-8ADB-9F8E17F89888}"/>
    <cellStyle name="tableau | unite | texte" xfId="3320" xr:uid="{085ED22A-8ED2-44C7-ABCB-4767006A91DE}"/>
    <cellStyle name="tableau | unite | texte 2" xfId="3321" xr:uid="{CE88D9BA-2FA0-4034-811B-2D94F3B42D5B}"/>
    <cellStyle name="tableau | unite | texte 2 2" xfId="3322" xr:uid="{372DA810-5A8B-4198-AE1E-8FC6DA2AA3F8}"/>
    <cellStyle name="tableau | unite | texte 2 3" xfId="3323" xr:uid="{568A67A5-8792-48B4-88F2-FFC40FD50CD4}"/>
    <cellStyle name="tableau | unite | texte 3" xfId="3324" xr:uid="{41618521-B7FA-48A7-9FA7-36F4E20B1C21}"/>
    <cellStyle name="tableau | unite | texte 3 2" xfId="3325" xr:uid="{CC57962E-9241-473A-9592-07D93D9707EA}"/>
    <cellStyle name="tableau | unite | texte 3 3" xfId="3326" xr:uid="{37DE08B4-89F5-42FA-A615-D5EF42239102}"/>
    <cellStyle name="tableau | unite | texte 4" xfId="3327" xr:uid="{AA5758FC-9801-44DB-8433-7DACA855D252}"/>
    <cellStyle name="tableau | unite | texte 4 2" xfId="3328" xr:uid="{E281C12A-2129-4CE9-BE5A-82D6855C060E}"/>
    <cellStyle name="tableau | unite | texte 4 3" xfId="3329" xr:uid="{53F6AFA1-33ED-4750-865F-030C1CA80243}"/>
    <cellStyle name="tableau | unite | texte 5" xfId="3330" xr:uid="{4D536BB0-C634-4893-9843-40E6A2D8CEB0}"/>
    <cellStyle name="tableau | unite | texte 5 2" xfId="3331" xr:uid="{2CD2C44A-581B-4671-9751-EF2D8964FA4D}"/>
    <cellStyle name="tableau | unite | texte 5 3" xfId="3332" xr:uid="{DF35C94E-1FB3-4E7E-B191-E42A448F28A4}"/>
    <cellStyle name="tableau | unite | texte 6" xfId="3333" xr:uid="{48277AA3-43AC-4780-B577-F5EF8950AFFD}"/>
    <cellStyle name="tableau | unite | texte 7" xfId="3334" xr:uid="{9400E906-2D01-4F57-A562-9E4704C528DA}"/>
    <cellStyle name="TableStyleLight1" xfId="3335" xr:uid="{A9458284-7440-4334-8EA8-26EF7C3E6CCD}"/>
    <cellStyle name="TableStyleLight1 2" xfId="3336" xr:uid="{F451C3ED-91B3-4558-83E9-1DFD3DC6D156}"/>
    <cellStyle name="TableStyleLight1 3" xfId="3337" xr:uid="{B6971F1D-C2BA-48BD-9C19-A356575DF778}"/>
    <cellStyle name="Testo avviso" xfId="3338" xr:uid="{2614D1D9-7FDF-4E5E-803A-5947EE127F6C}"/>
    <cellStyle name="Testo avviso 2" xfId="3339" xr:uid="{B213E4EC-29C4-4C24-8659-CD531A71BE44}"/>
    <cellStyle name="Testo avviso 3" xfId="3340" xr:uid="{6A07E1CA-10E5-429F-93B0-C0E0517327FD}"/>
    <cellStyle name="Testo descrittivo" xfId="3341" xr:uid="{7A582000-2B87-47E8-BA15-DDC8E29024F7}"/>
    <cellStyle name="Testo descrittivo 2" xfId="3342" xr:uid="{54048376-3AB8-4F10-82A8-21FF80236822}"/>
    <cellStyle name="Testo descrittivo 3" xfId="3343" xr:uid="{583D32A5-1FB5-4D1F-8712-927B78EC439E}"/>
    <cellStyle name="Texte explicatif" xfId="14" builtinId="53" customBuiltin="1"/>
    <cellStyle name="Texte explicatif 2" xfId="3344" xr:uid="{03BE37A1-9EB3-45C8-BFDC-CE8237D4DD7B}"/>
    <cellStyle name="Texte explicatif 2 2" xfId="3345" xr:uid="{CECEB50A-62E0-4141-A9E9-6DC98320A0A1}"/>
    <cellStyle name="Texte explicatif 2 3" xfId="3346" xr:uid="{50EA1A75-11CB-4D61-B5FB-856741A75D8A}"/>
    <cellStyle name="Texto de advertencia" xfId="3347" xr:uid="{D1EE7454-3DB9-43CD-8845-9B283C031CD9}"/>
    <cellStyle name="Texto de advertencia 2" xfId="3348" xr:uid="{0360DCBF-F6E6-49C5-803C-A977A4C9B704}"/>
    <cellStyle name="Texto de advertencia 3" xfId="3349" xr:uid="{361FFA56-BF78-4C89-A49B-B451925110F8}"/>
    <cellStyle name="Texto explicativo" xfId="3350" xr:uid="{FC627BAC-2C7C-4A6B-8761-3027B7B672F5}"/>
    <cellStyle name="Texto explicativo 2" xfId="3351" xr:uid="{E84940F0-0368-4ABF-8E5C-017C8CB3E00A}"/>
    <cellStyle name="Texto explicativo 3" xfId="3352" xr:uid="{7B473414-EDB9-480E-90E0-28AE646738EE}"/>
    <cellStyle name="Title" xfId="3353" xr:uid="{F4BE0D5F-928E-4F49-A770-86DC147FBC64}"/>
    <cellStyle name="Title 2" xfId="3354" xr:uid="{4C2C2D73-176A-44BB-A942-C2B863DDA576}"/>
    <cellStyle name="Title 3" xfId="3355" xr:uid="{2D4FED92-C64C-469B-A591-ECA3772A2511}"/>
    <cellStyle name="Titolo" xfId="3356" xr:uid="{F818DE43-5BE3-4A55-87C8-790464719C05}"/>
    <cellStyle name="Titolo 1" xfId="3357" xr:uid="{96993DF8-28A4-4C2E-A22E-C78C331CB4BD}"/>
    <cellStyle name="Titolo 1 2" xfId="3358" xr:uid="{49E2EF6A-9BE8-471E-97D3-C53E4A06506D}"/>
    <cellStyle name="Titolo 1 3" xfId="3359" xr:uid="{54ACA406-F4C8-484D-8595-92719C3813D6}"/>
    <cellStyle name="Titolo 2" xfId="3360" xr:uid="{45F7EE37-16E2-4F33-A8B5-8D900264C1FB}"/>
    <cellStyle name="Titolo 2 2" xfId="3361" xr:uid="{8C64B8D0-ECAE-447E-B056-06321CFCD145}"/>
    <cellStyle name="Titolo 2 3" xfId="3362" xr:uid="{5653D10D-AE10-4B40-BACD-50DEC1271AFD}"/>
    <cellStyle name="Titolo 3" xfId="3363" xr:uid="{D08EFFEF-8BDE-456C-B7C1-DF6D2E6DFC18}"/>
    <cellStyle name="Titolo 3 2" xfId="3364" xr:uid="{8862D3FC-15E8-49C4-B480-2EC66E9824AF}"/>
    <cellStyle name="Titolo 3 3" xfId="3365" xr:uid="{B7F8F005-41D5-4C9E-A129-47CDA2CFB395}"/>
    <cellStyle name="Titolo 4" xfId="3366" xr:uid="{70C8C696-C4A3-48C7-B454-2355E0D9A75B}"/>
    <cellStyle name="Titolo 4 2" xfId="3367" xr:uid="{CC4A9267-18A8-4E05-BB95-D6F32CF6FCEA}"/>
    <cellStyle name="Titolo 4 3" xfId="3368" xr:uid="{1293A839-4A16-4085-8D18-EF870EC67C2E}"/>
    <cellStyle name="Titolo 5" xfId="3369" xr:uid="{0CDD98F3-6E2D-4CDB-888C-9B5B535A65BC}"/>
    <cellStyle name="Titolo 6" xfId="3370" xr:uid="{6A55226B-D878-4790-B62D-A6431F6C30C7}"/>
    <cellStyle name="Titolo_ANNÉE 2015" xfId="3371" xr:uid="{1ACBFB4A-92A4-416A-87B0-FB0F24FEF49D}"/>
    <cellStyle name="Titre" xfId="163" builtinId="15" customBuiltin="1"/>
    <cellStyle name="Titre 1" xfId="3372" xr:uid="{68473C0A-A0E4-40FB-886B-69121FDB1A70}"/>
    <cellStyle name="Titre 1 2" xfId="3373" xr:uid="{06E48338-4865-4CC0-BED8-5FC14F78447A}"/>
    <cellStyle name="Titre 1 2 2" xfId="3374" xr:uid="{9FB39C84-868F-48E7-B01A-0CFA2743A8AE}"/>
    <cellStyle name="Titre 1 2 2 2" xfId="3375" xr:uid="{8FAAC219-6A54-41CA-8445-9C6124C866EA}"/>
    <cellStyle name="Titre 1 2 3" xfId="3376" xr:uid="{7D169E47-966A-4E8A-A686-1D30F9D557D1}"/>
    <cellStyle name="Titre 1 2 4" xfId="3377" xr:uid="{D39B09EF-399F-42B0-A54D-B4876E401D12}"/>
    <cellStyle name="Titre 1 3" xfId="3378" xr:uid="{0FD4AF19-ADB4-4DD3-9C53-A219C550E30B}"/>
    <cellStyle name="Titre 1 3 2" xfId="3379" xr:uid="{4207A0EE-3A14-455E-91DF-5D7586200244}"/>
    <cellStyle name="Titre 1 3 3" xfId="3380" xr:uid="{203D7B0C-5735-4F94-BFC0-147000EB346D}"/>
    <cellStyle name="Titre 1 4" xfId="3381" xr:uid="{506386CB-4757-49D7-88E0-535F8CA00F74}"/>
    <cellStyle name="Titre 1 5" xfId="3382" xr:uid="{620A586B-7B83-49A4-881E-B0A9A1940164}"/>
    <cellStyle name="Titre 2" xfId="65" xr:uid="{00000000-0005-0000-0000-00009B000000}"/>
    <cellStyle name="Titre 2 2" xfId="3384" xr:uid="{BF1ECFA1-DCC9-47AA-9CA8-CAA3CE6B3811}"/>
    <cellStyle name="Titre 2 2 2" xfId="3385" xr:uid="{1AC6E50F-9FD8-474D-B77E-B87A1E393B35}"/>
    <cellStyle name="Titre 2 2 2 2" xfId="3386" xr:uid="{CFC4D729-2FBA-42DB-BE45-9C47683B80FD}"/>
    <cellStyle name="Titre 2 2 3" xfId="3387" xr:uid="{48139FF1-483F-47EC-AA4C-18729E8ECA8C}"/>
    <cellStyle name="Titre 2 2 4" xfId="3388" xr:uid="{5C2155FB-5FCB-4954-8DBF-DBCE9BC19FE1}"/>
    <cellStyle name="Titre 2 3" xfId="3389" xr:uid="{CAB6E4BF-4605-4F3A-97BC-7831649196FB}"/>
    <cellStyle name="Titre 2 3 2" xfId="3390" xr:uid="{2B018CE7-88DF-451C-A46A-1259B7C8B267}"/>
    <cellStyle name="Titre 2 3 3" xfId="3391" xr:uid="{04E6EDF0-7F55-4E78-9155-DF7038C8B246}"/>
    <cellStyle name="Titre 2 4" xfId="3392" xr:uid="{44DA710E-6273-41CB-A329-69900D6A0B73}"/>
    <cellStyle name="Titre 2 5" xfId="3393" xr:uid="{E52F6DFD-2BD1-42B1-804E-890E873C9B51}"/>
    <cellStyle name="Titre 2 6" xfId="3383" xr:uid="{1839A0B5-D5B7-440A-B76F-46450AB6EACB}"/>
    <cellStyle name="Titre 3" xfId="3394" xr:uid="{AEF5226E-BF57-41D3-854C-6AD1774A3994}"/>
    <cellStyle name="Titre 3 2" xfId="3395" xr:uid="{69920829-A369-4591-9064-4F8AFD11FD6C}"/>
    <cellStyle name="Titre 3 2 2" xfId="3396" xr:uid="{E377DBC1-5AF3-473A-B5DF-0626E39FE434}"/>
    <cellStyle name="Titre 3 2 2 2" xfId="3397" xr:uid="{664F386F-156C-4F17-93D9-292A0FAB608E}"/>
    <cellStyle name="Titre 3 2 3" xfId="3398" xr:uid="{F73CB42F-4D52-4CD3-A221-0D20046C29FC}"/>
    <cellStyle name="Titre 3 2 4" xfId="3399" xr:uid="{E0AC5371-D61C-4031-B6C4-92DD3B979156}"/>
    <cellStyle name="Titre 3 3" xfId="3400" xr:uid="{11181124-14B4-402C-BC81-66D9AA06C641}"/>
    <cellStyle name="Titre 3 4" xfId="3401" xr:uid="{E10CBAB0-1CEB-41AE-A234-15A84BD92DEA}"/>
    <cellStyle name="Titre 4" xfId="3402" xr:uid="{1D020BEE-0A1A-4B04-9B0D-D4FE0F0F2647}"/>
    <cellStyle name="Titre 4 2" xfId="3403" xr:uid="{61D33167-45C6-4DA7-AC23-F962DBB0E2F0}"/>
    <cellStyle name="Titre 4 2 2" xfId="3404" xr:uid="{6BDB5039-BE86-47E8-86DA-472C912CFBD1}"/>
    <cellStyle name="Titre 4 2 2 2" xfId="3405" xr:uid="{7BD29C98-F844-4CE4-B32A-370DDFA39258}"/>
    <cellStyle name="Titre 4 2 3" xfId="3406" xr:uid="{4D8DEE08-6305-464F-9715-9F57A49519B0}"/>
    <cellStyle name="Titre 4 2 4" xfId="3407" xr:uid="{06C3D7E2-3FF2-4009-8DA2-BCC5D3B85F91}"/>
    <cellStyle name="Titre 4 3" xfId="3408" xr:uid="{631FD933-0C17-42DB-A45D-1A5BFA31FC53}"/>
    <cellStyle name="Titre 4 4" xfId="3409" xr:uid="{A94179C7-F9B9-4D7F-BBA0-E5068CDD53C4}"/>
    <cellStyle name="Titre 5" xfId="3410" xr:uid="{24F23BBA-AD55-4857-9898-CECB96809645}"/>
    <cellStyle name="Titre 5 2" xfId="3411" xr:uid="{6D189F33-7961-4E42-811C-1930823D0E48}"/>
    <cellStyle name="Titre 5 2 2" xfId="3412" xr:uid="{9363FD62-11A0-4398-BF00-AE461C615A41}"/>
    <cellStyle name="Titre 5 2 3" xfId="3413" xr:uid="{08F32342-9D34-43C2-B4E3-4E3C4958A769}"/>
    <cellStyle name="Titre 5 3" xfId="3414" xr:uid="{2A231EF4-F798-425D-B1F9-667B30F259EE}"/>
    <cellStyle name="Titre 5 4" xfId="3415" xr:uid="{C3588DA4-BB61-4CE0-9B6A-D21FB39376AD}"/>
    <cellStyle name="Titre colonnes" xfId="3416" xr:uid="{27A85FD3-8ACE-4EE7-871E-EE061DFF533C}"/>
    <cellStyle name="Titre colonnes 2" xfId="3417" xr:uid="{92A89473-E5B0-404E-B963-D34B3C3EE0E7}"/>
    <cellStyle name="Titre colonnes 2 2" xfId="3418" xr:uid="{6E391B1B-CDC8-463B-991B-690F7A30C7DB}"/>
    <cellStyle name="Titre colonnes 2 3" xfId="3419" xr:uid="{EF03D918-2774-4E04-9C8A-325D22903C14}"/>
    <cellStyle name="Titre colonnes 3" xfId="3420" xr:uid="{F8965115-143F-4FBD-A9A6-5527D11D5CA8}"/>
    <cellStyle name="Titre colonnes 3 2" xfId="3421" xr:uid="{565523C0-EB87-4B82-A913-DACD5B6CC1AC}"/>
    <cellStyle name="Titre colonnes 3 3" xfId="3422" xr:uid="{7DD7B609-4657-40B9-9E90-1D9C3C64AE4D}"/>
    <cellStyle name="Titre colonnes 4" xfId="3423" xr:uid="{AE2C72EF-EEDA-4A28-9073-F010F68A4CFC}"/>
    <cellStyle name="Titre colonnes 4 2" xfId="3424" xr:uid="{E69427C2-F5E7-4497-9ABA-CBEE954BE456}"/>
    <cellStyle name="Titre colonnes 4 3" xfId="3425" xr:uid="{25175250-56B2-4966-A201-95DDD4AA8551}"/>
    <cellStyle name="Titre colonnes 5" xfId="3426" xr:uid="{7A2C0415-1E72-419A-B3CA-4653711232F2}"/>
    <cellStyle name="Titre colonnes 6" xfId="3427" xr:uid="{2A69A7BB-DD25-424B-8952-83276B8D592B}"/>
    <cellStyle name="Titre général" xfId="3428" xr:uid="{DFE6E48B-1775-4B7B-8D33-9CE8766ABE3B}"/>
    <cellStyle name="Titre général 2" xfId="3429" xr:uid="{204B9DC6-389B-4FD1-BE10-44FD179643FD}"/>
    <cellStyle name="Titre général 2 2" xfId="3430" xr:uid="{B63DB26D-267A-44DA-8AA2-1568B39B8AEC}"/>
    <cellStyle name="Titre général 2 3" xfId="3431" xr:uid="{93086A52-DEAB-4188-83C8-2D98EA95B442}"/>
    <cellStyle name="Titre général 3" xfId="3432" xr:uid="{51437E6C-1EF5-4CF2-8BBD-B91CF2D81C0F}"/>
    <cellStyle name="Titre général 3 2" xfId="3433" xr:uid="{EAAE6773-FAD0-4877-AA20-93AF6084FC6F}"/>
    <cellStyle name="Titre général 3 3" xfId="3434" xr:uid="{CD667C3F-1E6E-484C-959F-77639A89D38D}"/>
    <cellStyle name="Titre général 4" xfId="3435" xr:uid="{C2F65DA4-F4AA-4A6F-8321-F5D018BEE20B}"/>
    <cellStyle name="Titre général 5" xfId="3436" xr:uid="{D2000D59-A1B5-4182-8907-45610EE339D5}"/>
    <cellStyle name="Titre lignes" xfId="3437" xr:uid="{565C528A-037C-42DF-948B-4C05B3EBFAE4}"/>
    <cellStyle name="Titre lignes 1" xfId="3438" xr:uid="{3CCD5487-6146-4A5B-A57B-687C9CBDD037}"/>
    <cellStyle name="Titre lignes 1 2" xfId="3439" xr:uid="{095CB69C-4707-43BA-99A4-BF03834C05C2}"/>
    <cellStyle name="Titre lignes 1 3" xfId="3440" xr:uid="{175D0675-D333-4A16-B80B-1DF81D8FDD14}"/>
    <cellStyle name="Titre lignes 2" xfId="3441" xr:uid="{18FB4700-F586-45EB-B651-A3AEE6BAB90B}"/>
    <cellStyle name="Titre lignes 2 2" xfId="3442" xr:uid="{0961B6C3-5E51-4A3F-AFAB-5E73DE7AF10D}"/>
    <cellStyle name="Titre lignes 2 3" xfId="3443" xr:uid="{AA55BFFD-3F79-404E-8DBF-F3F65E5685AE}"/>
    <cellStyle name="Titre lignes 3" xfId="3444" xr:uid="{512FDD3A-E94E-477F-9D19-7D1D03A9D1AE}"/>
    <cellStyle name="Titre lignes 3 2" xfId="3445" xr:uid="{FC92C022-590E-4B2C-AF7D-0AEE5DC07164}"/>
    <cellStyle name="Titre lignes 3 3" xfId="3446" xr:uid="{B70C42D7-A4CD-43CA-AD6C-1C217CA97878}"/>
    <cellStyle name="Titre lignes 4" xfId="3447" xr:uid="{83FE2B7C-ABAC-4D3F-A328-01BD5443CF5C}"/>
    <cellStyle name="Titre lignes 4 2" xfId="3448" xr:uid="{19B85BA2-3D0E-44E0-AD9C-3464B9D6F7F4}"/>
    <cellStyle name="Titre lignes 4 3" xfId="3449" xr:uid="{E048F1D2-AE9A-4E51-B3D1-813419A22C8E}"/>
    <cellStyle name="Titre lignes 5" xfId="3450" xr:uid="{0C30F9EE-ACBB-45AB-9BC7-B77166697408}"/>
    <cellStyle name="Titre lignes 6" xfId="3451" xr:uid="{B9253CA9-6EE8-4B2C-869F-963A32E5D705}"/>
    <cellStyle name="Titre lignes_Fiches C 2010 version juin rebasé3" xfId="3452" xr:uid="{807DBAF4-BCCE-4B95-8D27-F252BBB73DC7}"/>
    <cellStyle name="Titre page" xfId="3453" xr:uid="{0AEDA8A3-E486-499C-9706-F00B4792A92E}"/>
    <cellStyle name="Titre page 2" xfId="3454" xr:uid="{694BC269-06BB-4E7F-B744-B1B710F3F94B}"/>
    <cellStyle name="Titre page 2 2" xfId="3455" xr:uid="{00FBBFA4-7EF4-444E-B0CF-6FF331260736}"/>
    <cellStyle name="Titre page 2 3" xfId="3456" xr:uid="{A1E98E9D-1251-46F4-B4CA-ED5C849BBD6B}"/>
    <cellStyle name="Titre page 3" xfId="3457" xr:uid="{FF98AA89-E746-4832-87A7-1434E0A80C37}"/>
    <cellStyle name="Titre page 3 2" xfId="3458" xr:uid="{BC1C971D-2F19-4456-B3CA-CF3A492F7FED}"/>
    <cellStyle name="Titre page 3 3" xfId="3459" xr:uid="{FB1EAED2-A9C3-4147-80EE-41FDE03B4843}"/>
    <cellStyle name="Titre page 4" xfId="3460" xr:uid="{F1A88D0D-2FBD-4AEA-AD1E-C455E8C312BC}"/>
    <cellStyle name="Titre page 5" xfId="3461" xr:uid="{098C18EF-5FAB-4550-85FC-96A03DBC0B69}"/>
    <cellStyle name="Titre " xfId="3462" xr:uid="{C9CA5A8F-800D-4F53-A5C0-93C86DC006DA}"/>
    <cellStyle name="Titre  2" xfId="3463" xr:uid="{07D1833D-8A6C-4CA2-8229-9AB21BBD7E1E}"/>
    <cellStyle name="Titre  2 2" xfId="3464" xr:uid="{32026566-F465-40E2-80F2-95C1A94D124E}"/>
    <cellStyle name="Titre  2 3" xfId="3465" xr:uid="{7B40E3F8-080A-400D-A506-73E5831E60B5}"/>
    <cellStyle name="Titre  3" xfId="3466" xr:uid="{FCEF0ABC-0777-452F-A93B-2AD3D917DBEA}"/>
    <cellStyle name="Titre  4" xfId="3467" xr:uid="{4712B1A7-D67A-4C6C-9F7E-8A6DF8790EB2}"/>
    <cellStyle name="Titre 1" xfId="1" builtinId="16" customBuiltin="1"/>
    <cellStyle name="Titre 1 2" xfId="3468" xr:uid="{AC9B5AAF-3A81-411A-A34E-AB704C1BF49E}"/>
    <cellStyle name="Titre 1 2 2" xfId="3469" xr:uid="{46F0B0E1-A770-40B5-B012-F1DD0D0DFB52}"/>
    <cellStyle name="Titre 1 2 3" xfId="3470" xr:uid="{478B1314-6D0B-462E-99C1-08E7C5EBD2A2}"/>
    <cellStyle name="Titre 2" xfId="2" builtinId="17" customBuiltin="1"/>
    <cellStyle name="Titre 2 2" xfId="3471" xr:uid="{005C075A-3506-4B39-B20B-8B1748202340}"/>
    <cellStyle name="Titre 2 2 2" xfId="3472" xr:uid="{08089B32-FED8-40E4-9B8E-1721D2A090D0}"/>
    <cellStyle name="Titre 2 2 3" xfId="3473" xr:uid="{6322C6F2-F003-4806-BA18-A886EA130C35}"/>
    <cellStyle name="Titre 3" xfId="3" builtinId="18" customBuiltin="1"/>
    <cellStyle name="Titre 3 2" xfId="3474" xr:uid="{6A6AE801-C2F8-4674-ABC1-D318C6CA2AED}"/>
    <cellStyle name="Titre 3 2 2" xfId="3475" xr:uid="{CE46503B-E94D-4E09-B7A3-FCB4956A326F}"/>
    <cellStyle name="Titre 3 2 3" xfId="3476" xr:uid="{164E9345-15D3-4F72-813B-A6DE313720B2}"/>
    <cellStyle name="Titre 4" xfId="4" builtinId="19" customBuiltin="1"/>
    <cellStyle name="Titre 4 2" xfId="3477" xr:uid="{0635A15D-C785-49BB-9EC3-6E56165EBAC9}"/>
    <cellStyle name="Titre 4 2 2" xfId="3478" xr:uid="{298A2442-F39E-4A44-8683-4C4D2D2E983F}"/>
    <cellStyle name="Titre 4 2 3" xfId="3479" xr:uid="{7A5D7D00-093C-4F94-98D2-F3253D84F0FA}"/>
    <cellStyle name="Titre1" xfId="3537" xr:uid="{E30FA51A-1731-46CC-BC3B-D66B4A301B0E}"/>
    <cellStyle name="Título" xfId="3480" xr:uid="{60B416B4-DA7C-4FBE-91D2-6B9EF8697ABA}"/>
    <cellStyle name="Título 1" xfId="3481" xr:uid="{A1EA8EED-5E52-4810-BADF-D9B97AE3CA43}"/>
    <cellStyle name="Título 1 2" xfId="3482" xr:uid="{D4A2D176-AD0F-44C1-BAF5-C819AD193B51}"/>
    <cellStyle name="Título 1 3" xfId="3483" xr:uid="{F07DCD21-2733-4439-AD3E-E20DBFA2A600}"/>
    <cellStyle name="Título 2" xfId="3484" xr:uid="{FCF8EC44-C2E0-463B-89D4-8C61AB7F7B3A}"/>
    <cellStyle name="Título 2 2" xfId="3485" xr:uid="{5D62A945-6733-478F-ACC3-C1B1F6A2635F}"/>
    <cellStyle name="Título 2 3" xfId="3486" xr:uid="{265B7A51-520C-4B9E-A883-B52E25A21A98}"/>
    <cellStyle name="Título 3" xfId="3487" xr:uid="{A069145C-C13D-4EE1-8D6E-E66116A56804}"/>
    <cellStyle name="Título 3 2" xfId="3488" xr:uid="{6CB2CBDE-6833-493D-8C21-545D465139CC}"/>
    <cellStyle name="Título 3 3" xfId="3489" xr:uid="{8572488F-9311-45D8-99B1-B8755D64691F}"/>
    <cellStyle name="Título 4" xfId="3490" xr:uid="{0181754D-26F2-4E38-B74A-43E30749846B}"/>
    <cellStyle name="Título 5" xfId="3491" xr:uid="{BD79CDBC-F961-4CA5-A0EE-7F4A680DF456}"/>
    <cellStyle name="Total" xfId="15" builtinId="25" customBuiltin="1"/>
    <cellStyle name="Total 1" xfId="3492" xr:uid="{57915423-FA31-4FC1-84E8-D6B5C6429638}"/>
    <cellStyle name="Total 1 2" xfId="3493" xr:uid="{9BEB2A22-0664-488B-85D9-804307D08C54}"/>
    <cellStyle name="Total 1 3" xfId="3494" xr:uid="{FAF63ED3-5456-4C3F-A54C-8736F812DE6F}"/>
    <cellStyle name="Total 2" xfId="3495" xr:uid="{233FD97F-8D0D-4E61-9871-DF008C77094A}"/>
    <cellStyle name="Total 2 2" xfId="3496" xr:uid="{BB041F9C-4A8E-433F-BDA9-60B45F030683}"/>
    <cellStyle name="Total 2 3" xfId="3497" xr:uid="{0088B9E1-C1B4-49CD-88AA-8EED2DF73F27}"/>
    <cellStyle name="Totale" xfId="3498" xr:uid="{A7F0C1D1-7360-418E-82ED-554DBE1C12A2}"/>
    <cellStyle name="Totale 2" xfId="3499" xr:uid="{F5A380AA-CFE8-469E-8C35-3EC75CA94B04}"/>
    <cellStyle name="Totale 3" xfId="3500" xr:uid="{1273ED44-78FF-4489-8288-9E9E6169A8F1}"/>
    <cellStyle name="Valore non valido" xfId="3501" xr:uid="{0FDBB712-22F3-4618-B4E2-E6A6ADE29472}"/>
    <cellStyle name="Valore non valido 2" xfId="3502" xr:uid="{2F2AD41F-18B4-4C03-B8A1-A3C25ED7EC5F}"/>
    <cellStyle name="Valore non valido 3" xfId="3503" xr:uid="{B25EDA8D-BA90-446C-A8E1-8D5B070FDAA5}"/>
    <cellStyle name="Valore valido" xfId="3504" xr:uid="{CB1FD2B6-F548-4E5B-994C-FA22F793B965}"/>
    <cellStyle name="Valore valido 2" xfId="3505" xr:uid="{66564F59-93F6-44D4-91C8-D2073CF1AB49}"/>
    <cellStyle name="Valore valido 3" xfId="3506" xr:uid="{78B2A48C-0C9B-4BBE-92DC-DB1E9E291E27}"/>
    <cellStyle name="Vérification" xfId="12" builtinId="23" customBuiltin="1"/>
    <cellStyle name="Vérification 2" xfId="3507" xr:uid="{BFC1EB02-7784-45EB-BEE9-7B665495D91F}"/>
    <cellStyle name="Vérification 2 2" xfId="3508" xr:uid="{914EB2FC-ED22-4BD1-A6FE-4C4963026BD8}"/>
    <cellStyle name="Vérification 2 3" xfId="3509" xr:uid="{F235D5E9-3FEE-45D2-94E1-31075218AFE1}"/>
    <cellStyle name="Vérification de cellule" xfId="3510" xr:uid="{754721C7-8409-42EA-AEAD-3DFB1E7B40A7}"/>
    <cellStyle name="Vérification de cellule 2" xfId="3511" xr:uid="{4FBFF84C-5F9B-4AE5-A18E-E2B28AA92AE0}"/>
    <cellStyle name="Vérification de cellule 2 2" xfId="3512" xr:uid="{2B8D0EA4-EFC6-4999-8EA3-9622CB024CEB}"/>
    <cellStyle name="Vérification de cellule 2 3" xfId="3513" xr:uid="{91CDD4F5-F3E7-4EB6-AE35-5397DC6F919D}"/>
    <cellStyle name="Vérification de cellule 3" xfId="3514" xr:uid="{00081285-4BDB-41AA-8522-1A6B45FF8419}"/>
    <cellStyle name="Vérification de cellule 4" xfId="3515" xr:uid="{B55F5A7E-AA7A-48C5-9ED4-96009DD72BCF}"/>
    <cellStyle name="Virgule fixe" xfId="3516" xr:uid="{5B084254-9357-4118-8D37-97AFB61FC310}"/>
    <cellStyle name="Virgule fixe 2" xfId="3517" xr:uid="{E3268B8A-777C-4085-AE99-F97B599645A8}"/>
    <cellStyle name="Virgule fixe 2 2" xfId="3518" xr:uid="{EA643066-B6A7-42FB-8312-04B1CD7206D7}"/>
    <cellStyle name="Virgule fixe 2 3" xfId="3519" xr:uid="{40CDEF2D-7B81-4A70-AE04-99405F61D65A}"/>
    <cellStyle name="Virgule fixe 3" xfId="3520" xr:uid="{925A80AA-98D8-40CD-B58E-DFC2A235054C}"/>
    <cellStyle name="Virgule fixe 4" xfId="3521" xr:uid="{5E32E66F-8DB8-4C3E-B7BD-7EEDC2AB92F7}"/>
    <cellStyle name="Währung [0]_VPVUL94-00 2ème version" xfId="3522" xr:uid="{20879FA0-307A-44F2-8756-50E36D03D340}"/>
    <cellStyle name="Währung_VPVUL94-00 2ème version" xfId="3523" xr:uid="{FB3B304F-E9FD-437D-998A-7A55F82EBC49}"/>
    <cellStyle name="Warning Text" xfId="3524" xr:uid="{C76B8EFF-0445-482A-90DE-FCEA72204CD1}"/>
    <cellStyle name="Warning Text 2" xfId="3525" xr:uid="{E7220B78-69A8-4F33-BA19-CD7D1E83CE5A}"/>
    <cellStyle name="Warning Text 3" xfId="3526" xr:uid="{20CDA7D6-3FE8-4C8E-94A1-627B11E9910C}"/>
    <cellStyle name="Обычный_CRF2002 (1)" xfId="3527" xr:uid="{93E9565C-B139-451E-9A1E-87F6CCA46071}"/>
  </cellStyles>
  <dxfs count="89">
    <dxf>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9"/>
        <color auto="1"/>
        <name val="Calibri"/>
        <scheme val="none"/>
      </font>
      <fill>
        <patternFill patternType="none">
          <fgColor indexed="64"/>
          <bgColor auto="1"/>
        </patternFill>
      </fill>
      <alignment horizontal="left" vertical="top" textRotation="0" wrapText="0" indent="3" justifyLastLine="0" shrinkToFit="0" readingOrder="0"/>
      <border diagonalUp="0" diagonalDown="0" outline="0">
        <left style="thin">
          <color indexed="64"/>
        </left>
        <right/>
        <top style="thin">
          <color indexed="64"/>
        </top>
        <bottom style="thin">
          <color indexed="64"/>
        </bottom>
      </border>
    </dxf>
    <dxf>
      <fill>
        <patternFill patternType="none">
          <fgColor indexed="64"/>
          <bgColor auto="1"/>
        </patternFill>
      </fill>
    </dxf>
    <dxf>
      <fill>
        <patternFill patternType="none">
          <fgColor indexed="64"/>
          <bgColor auto="1"/>
        </patternFill>
      </fill>
    </dxf>
    <dxf>
      <numFmt numFmtId="0" formatCode="Genera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numFmt numFmtId="168" formatCode="0.0"/>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9"/>
        <color auto="1"/>
        <name val="Calibri"/>
        <scheme val="none"/>
      </font>
      <fill>
        <patternFill patternType="none">
          <fgColor indexed="64"/>
          <bgColor auto="1"/>
        </patternFill>
      </fill>
      <alignment horizontal="left" vertical="top" textRotation="0" wrapText="0" indent="3" justifyLastLine="0" shrinkToFit="0" readingOrder="0"/>
      <border diagonalUp="0" diagonalDown="0" outline="0">
        <left style="thin">
          <color indexed="64"/>
        </left>
        <right/>
        <top style="thin">
          <color indexed="64"/>
        </top>
        <bottom style="thin">
          <color indexed="64"/>
        </bottom>
      </border>
    </dxf>
    <dxf>
      <fill>
        <patternFill patternType="none">
          <fgColor indexed="64"/>
          <bgColor auto="1"/>
        </patternFill>
      </fill>
    </dxf>
    <dxf>
      <fill>
        <patternFill patternType="none">
          <fgColor indexed="64"/>
          <bgColor auto="1"/>
        </patternFill>
      </fill>
    </dxf>
    <dxf>
      <numFmt numFmtId="0" formatCode="General"/>
    </dxf>
    <dxf>
      <fill>
        <patternFill>
          <bgColor theme="5"/>
        </patternFill>
      </fill>
    </dxf>
    <dxf>
      <numFmt numFmtId="215" formatCode="#,##0_ ;\-#,##0\ "/>
    </dxf>
    <dxf>
      <fill>
        <patternFill>
          <bgColor theme="5"/>
        </patternFill>
      </fill>
    </dxf>
    <dxf>
      <numFmt numFmtId="215" formatCode="#,##0_ ;\-#,##0\ "/>
    </dxf>
    <dxf>
      <fill>
        <patternFill>
          <fgColor indexed="64"/>
          <bgColor theme="0"/>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ill>
        <patternFill>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0"/>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fgColor indexed="64"/>
          <bgColor theme="0"/>
        </patternFill>
      </fill>
      <alignment textRotation="0" wrapText="1" indent="0" justifyLastLine="0" shrinkToFit="0" readingOrder="0"/>
    </dxf>
    <dxf>
      <border>
        <bottom style="thin">
          <color indexed="64"/>
        </bottom>
      </border>
    </dxf>
    <dxf>
      <font>
        <b/>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00000000-0011-0000-FFFF-FFFF00000000}"/>
  </tableStyles>
  <colors>
    <mruColors>
      <color rgb="FFB873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7.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5</xdr:col>
      <xdr:colOff>217714</xdr:colOff>
      <xdr:row>31</xdr:row>
      <xdr:rowOff>87085</xdr:rowOff>
    </xdr:from>
    <xdr:to>
      <xdr:col>12</xdr:col>
      <xdr:colOff>206828</xdr:colOff>
      <xdr:row>58</xdr:row>
      <xdr:rowOff>293855</xdr:rowOff>
    </xdr:to>
    <xdr:pic>
      <xdr:nvPicPr>
        <xdr:cNvPr id="2" name="Image 1">
          <a:extLst>
            <a:ext uri="{FF2B5EF4-FFF2-40B4-BE49-F238E27FC236}">
              <a16:creationId xmlns:a16="http://schemas.microsoft.com/office/drawing/2014/main" id="{D39AD4E4-3688-4F7E-99D7-CE8F9792AE2F}"/>
            </a:ext>
          </a:extLst>
        </xdr:cNvPr>
        <xdr:cNvPicPr>
          <a:picLocks noChangeAspect="1"/>
        </xdr:cNvPicPr>
      </xdr:nvPicPr>
      <xdr:blipFill>
        <a:blip xmlns:r="http://schemas.openxmlformats.org/officeDocument/2006/relationships" r:embed="rId1"/>
        <a:stretch>
          <a:fillRect/>
        </a:stretch>
      </xdr:blipFill>
      <xdr:spPr>
        <a:xfrm>
          <a:off x="9568543" y="7543799"/>
          <a:ext cx="8305799" cy="7990056"/>
        </a:xfrm>
        <a:prstGeom prst="rect">
          <a:avLst/>
        </a:prstGeom>
      </xdr:spPr>
    </xdr:pic>
    <xdr:clientData/>
  </xdr:twoCellAnchor>
  <xdr:twoCellAnchor editAs="oneCell">
    <xdr:from>
      <xdr:col>5</xdr:col>
      <xdr:colOff>239486</xdr:colOff>
      <xdr:row>60</xdr:row>
      <xdr:rowOff>10886</xdr:rowOff>
    </xdr:from>
    <xdr:to>
      <xdr:col>12</xdr:col>
      <xdr:colOff>283029</xdr:colOff>
      <xdr:row>89</xdr:row>
      <xdr:rowOff>161287</xdr:rowOff>
    </xdr:to>
    <xdr:pic>
      <xdr:nvPicPr>
        <xdr:cNvPr id="3" name="Image 2">
          <a:extLst>
            <a:ext uri="{FF2B5EF4-FFF2-40B4-BE49-F238E27FC236}">
              <a16:creationId xmlns:a16="http://schemas.microsoft.com/office/drawing/2014/main" id="{D0462563-7B0E-42AD-AD82-04FFFCCCBEAC}"/>
            </a:ext>
          </a:extLst>
        </xdr:cNvPr>
        <xdr:cNvPicPr>
          <a:picLocks noChangeAspect="1"/>
        </xdr:cNvPicPr>
      </xdr:nvPicPr>
      <xdr:blipFill>
        <a:blip xmlns:r="http://schemas.openxmlformats.org/officeDocument/2006/relationships" r:embed="rId2"/>
        <a:stretch>
          <a:fillRect/>
        </a:stretch>
      </xdr:blipFill>
      <xdr:spPr>
        <a:xfrm>
          <a:off x="9590315" y="15838715"/>
          <a:ext cx="8360228" cy="72478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152400</xdr:colOff>
      <xdr:row>71</xdr:row>
      <xdr:rowOff>368087</xdr:rowOff>
    </xdr:from>
    <xdr:to>
      <xdr:col>11</xdr:col>
      <xdr:colOff>511598</xdr:colOff>
      <xdr:row>92</xdr:row>
      <xdr:rowOff>132387</xdr:rowOff>
    </xdr:to>
    <xdr:pic>
      <xdr:nvPicPr>
        <xdr:cNvPr id="8" name="Image 7">
          <a:extLst>
            <a:ext uri="{FF2B5EF4-FFF2-40B4-BE49-F238E27FC236}">
              <a16:creationId xmlns:a16="http://schemas.microsoft.com/office/drawing/2014/main" id="{A2E306B4-5765-4F6B-A4D3-25DDE6579964}"/>
            </a:ext>
          </a:extLst>
        </xdr:cNvPr>
        <xdr:cNvPicPr>
          <a:picLocks noChangeAspect="1"/>
        </xdr:cNvPicPr>
      </xdr:nvPicPr>
      <xdr:blipFill>
        <a:blip xmlns:r="http://schemas.openxmlformats.org/officeDocument/2006/relationships" r:embed="rId1"/>
        <a:stretch>
          <a:fillRect/>
        </a:stretch>
      </xdr:blipFill>
      <xdr:spPr>
        <a:xfrm>
          <a:off x="9766300" y="22186687"/>
          <a:ext cx="8229388" cy="4777625"/>
        </a:xfrm>
        <a:prstGeom prst="rect">
          <a:avLst/>
        </a:prstGeom>
      </xdr:spPr>
    </xdr:pic>
    <xdr:clientData/>
  </xdr:twoCellAnchor>
  <xdr:twoCellAnchor editAs="oneCell">
    <xdr:from>
      <xdr:col>5</xdr:col>
      <xdr:colOff>96096</xdr:colOff>
      <xdr:row>54</xdr:row>
      <xdr:rowOff>76622</xdr:rowOff>
    </xdr:from>
    <xdr:to>
      <xdr:col>11</xdr:col>
      <xdr:colOff>553181</xdr:colOff>
      <xdr:row>69</xdr:row>
      <xdr:rowOff>54610</xdr:rowOff>
    </xdr:to>
    <xdr:pic>
      <xdr:nvPicPr>
        <xdr:cNvPr id="9" name="Image 8">
          <a:extLst>
            <a:ext uri="{FF2B5EF4-FFF2-40B4-BE49-F238E27FC236}">
              <a16:creationId xmlns:a16="http://schemas.microsoft.com/office/drawing/2014/main" id="{CC8BC78C-8AFD-44A4-BC01-64551754BCFB}"/>
            </a:ext>
          </a:extLst>
        </xdr:cNvPr>
        <xdr:cNvPicPr>
          <a:picLocks noChangeAspect="1"/>
        </xdr:cNvPicPr>
      </xdr:nvPicPr>
      <xdr:blipFill>
        <a:blip xmlns:r="http://schemas.openxmlformats.org/officeDocument/2006/relationships" r:embed="rId2"/>
        <a:stretch>
          <a:fillRect/>
        </a:stretch>
      </xdr:blipFill>
      <xdr:spPr>
        <a:xfrm>
          <a:off x="9709996" y="16116722"/>
          <a:ext cx="8327275" cy="5168478"/>
        </a:xfrm>
        <a:prstGeom prst="rect">
          <a:avLst/>
        </a:prstGeom>
      </xdr:spPr>
    </xdr:pic>
    <xdr:clientData/>
  </xdr:twoCellAnchor>
  <xdr:twoCellAnchor editAs="oneCell">
    <xdr:from>
      <xdr:col>12</xdr:col>
      <xdr:colOff>0</xdr:colOff>
      <xdr:row>54</xdr:row>
      <xdr:rowOff>0</xdr:rowOff>
    </xdr:from>
    <xdr:to>
      <xdr:col>21</xdr:col>
      <xdr:colOff>400214</xdr:colOff>
      <xdr:row>69</xdr:row>
      <xdr:rowOff>76200</xdr:rowOff>
    </xdr:to>
    <xdr:pic>
      <xdr:nvPicPr>
        <xdr:cNvPr id="2" name="Image 1">
          <a:extLst>
            <a:ext uri="{FF2B5EF4-FFF2-40B4-BE49-F238E27FC236}">
              <a16:creationId xmlns:a16="http://schemas.microsoft.com/office/drawing/2014/main" id="{65ABEAFB-B254-41D2-994D-B69A66EE2D69}"/>
            </a:ext>
          </a:extLst>
        </xdr:cNvPr>
        <xdr:cNvPicPr>
          <a:picLocks noChangeAspect="1"/>
        </xdr:cNvPicPr>
      </xdr:nvPicPr>
      <xdr:blipFill>
        <a:blip xmlns:r="http://schemas.openxmlformats.org/officeDocument/2006/relationships" r:embed="rId3"/>
        <a:stretch>
          <a:fillRect/>
        </a:stretch>
      </xdr:blipFill>
      <xdr:spPr>
        <a:xfrm>
          <a:off x="18275300" y="16040100"/>
          <a:ext cx="7483004" cy="5270500"/>
        </a:xfrm>
        <a:prstGeom prst="rect">
          <a:avLst/>
        </a:prstGeom>
      </xdr:spPr>
    </xdr:pic>
    <xdr:clientData/>
  </xdr:twoCellAnchor>
  <xdr:twoCellAnchor editAs="oneCell">
    <xdr:from>
      <xdr:col>11</xdr:col>
      <xdr:colOff>762000</xdr:colOff>
      <xdr:row>71</xdr:row>
      <xdr:rowOff>368300</xdr:rowOff>
    </xdr:from>
    <xdr:to>
      <xdr:col>21</xdr:col>
      <xdr:colOff>269952</xdr:colOff>
      <xdr:row>92</xdr:row>
      <xdr:rowOff>245110</xdr:rowOff>
    </xdr:to>
    <xdr:pic>
      <xdr:nvPicPr>
        <xdr:cNvPr id="3" name="Image 2">
          <a:extLst>
            <a:ext uri="{FF2B5EF4-FFF2-40B4-BE49-F238E27FC236}">
              <a16:creationId xmlns:a16="http://schemas.microsoft.com/office/drawing/2014/main" id="{500785E5-A8F9-4C88-975F-EB17CC34498E}"/>
            </a:ext>
          </a:extLst>
        </xdr:cNvPr>
        <xdr:cNvPicPr>
          <a:picLocks noChangeAspect="1"/>
        </xdr:cNvPicPr>
      </xdr:nvPicPr>
      <xdr:blipFill>
        <a:blip xmlns:r="http://schemas.openxmlformats.org/officeDocument/2006/relationships" r:embed="rId4"/>
        <a:stretch>
          <a:fillRect/>
        </a:stretch>
      </xdr:blipFill>
      <xdr:spPr>
        <a:xfrm>
          <a:off x="18249900" y="22186900"/>
          <a:ext cx="7381952" cy="4876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126748</xdr:colOff>
      <xdr:row>33</xdr:row>
      <xdr:rowOff>104774</xdr:rowOff>
    </xdr:from>
    <xdr:to>
      <xdr:col>8</xdr:col>
      <xdr:colOff>1349284</xdr:colOff>
      <xdr:row>52</xdr:row>
      <xdr:rowOff>93813</xdr:rowOff>
    </xdr:to>
    <xdr:pic>
      <xdr:nvPicPr>
        <xdr:cNvPr id="4" name="Image 3">
          <a:extLst>
            <a:ext uri="{FF2B5EF4-FFF2-40B4-BE49-F238E27FC236}">
              <a16:creationId xmlns:a16="http://schemas.microsoft.com/office/drawing/2014/main" id="{A675577F-5B51-4ADE-96E8-5CA6DE7D23AD}"/>
            </a:ext>
          </a:extLst>
        </xdr:cNvPr>
        <xdr:cNvPicPr>
          <a:picLocks noChangeAspect="1"/>
        </xdr:cNvPicPr>
      </xdr:nvPicPr>
      <xdr:blipFill>
        <a:blip xmlns:r="http://schemas.openxmlformats.org/officeDocument/2006/relationships" r:embed="rId1"/>
        <a:stretch>
          <a:fillRect/>
        </a:stretch>
      </xdr:blipFill>
      <xdr:spPr>
        <a:xfrm>
          <a:off x="9375523" y="8772524"/>
          <a:ext cx="5893596" cy="5075389"/>
        </a:xfrm>
        <a:prstGeom prst="rect">
          <a:avLst/>
        </a:prstGeom>
      </xdr:spPr>
    </xdr:pic>
    <xdr:clientData/>
  </xdr:twoCellAnchor>
  <xdr:twoCellAnchor editAs="oneCell">
    <xdr:from>
      <xdr:col>5</xdr:col>
      <xdr:colOff>151290</xdr:colOff>
      <xdr:row>56</xdr:row>
      <xdr:rowOff>55245</xdr:rowOff>
    </xdr:from>
    <xdr:to>
      <xdr:col>9</xdr:col>
      <xdr:colOff>15802</xdr:colOff>
      <xdr:row>73</xdr:row>
      <xdr:rowOff>326233</xdr:rowOff>
    </xdr:to>
    <xdr:pic>
      <xdr:nvPicPr>
        <xdr:cNvPr id="10" name="Image 9">
          <a:extLst>
            <a:ext uri="{FF2B5EF4-FFF2-40B4-BE49-F238E27FC236}">
              <a16:creationId xmlns:a16="http://schemas.microsoft.com/office/drawing/2014/main" id="{AFBB648D-FDD9-4804-86A4-BCD5C806CD05}"/>
            </a:ext>
          </a:extLst>
        </xdr:cNvPr>
        <xdr:cNvPicPr>
          <a:picLocks noChangeAspect="1"/>
        </xdr:cNvPicPr>
      </xdr:nvPicPr>
      <xdr:blipFill>
        <a:blip xmlns:r="http://schemas.openxmlformats.org/officeDocument/2006/relationships" r:embed="rId2"/>
        <a:stretch>
          <a:fillRect/>
        </a:stretch>
      </xdr:blipFill>
      <xdr:spPr>
        <a:xfrm>
          <a:off x="9400065" y="14799945"/>
          <a:ext cx="6240547" cy="52963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1081838</xdr:colOff>
      <xdr:row>42</xdr:row>
      <xdr:rowOff>241300</xdr:rowOff>
    </xdr:from>
    <xdr:to>
      <xdr:col>11</xdr:col>
      <xdr:colOff>629920</xdr:colOff>
      <xdr:row>64</xdr:row>
      <xdr:rowOff>249691</xdr:rowOff>
    </xdr:to>
    <xdr:pic>
      <xdr:nvPicPr>
        <xdr:cNvPr id="2" name="Image 1">
          <a:extLst>
            <a:ext uri="{FF2B5EF4-FFF2-40B4-BE49-F238E27FC236}">
              <a16:creationId xmlns:a16="http://schemas.microsoft.com/office/drawing/2014/main" id="{FA913B66-BB8C-4955-93D0-C3D980067C87}"/>
            </a:ext>
          </a:extLst>
        </xdr:cNvPr>
        <xdr:cNvPicPr>
          <a:picLocks noChangeAspect="1"/>
        </xdr:cNvPicPr>
      </xdr:nvPicPr>
      <xdr:blipFill>
        <a:blip xmlns:r="http://schemas.openxmlformats.org/officeDocument/2006/relationships" r:embed="rId1"/>
        <a:stretch>
          <a:fillRect/>
        </a:stretch>
      </xdr:blipFill>
      <xdr:spPr>
        <a:xfrm>
          <a:off x="10594138" y="13462000"/>
          <a:ext cx="8227262" cy="6719072"/>
        </a:xfrm>
        <a:prstGeom prst="rect">
          <a:avLst/>
        </a:prstGeom>
      </xdr:spPr>
    </xdr:pic>
    <xdr:clientData/>
  </xdr:twoCellAnchor>
  <xdr:twoCellAnchor editAs="oneCell">
    <xdr:from>
      <xdr:col>5</xdr:col>
      <xdr:colOff>1041400</xdr:colOff>
      <xdr:row>66</xdr:row>
      <xdr:rowOff>53757</xdr:rowOff>
    </xdr:from>
    <xdr:to>
      <xdr:col>11</xdr:col>
      <xdr:colOff>474980</xdr:colOff>
      <xdr:row>82</xdr:row>
      <xdr:rowOff>516817</xdr:rowOff>
    </xdr:to>
    <xdr:pic>
      <xdr:nvPicPr>
        <xdr:cNvPr id="6" name="Image 5">
          <a:extLst>
            <a:ext uri="{FF2B5EF4-FFF2-40B4-BE49-F238E27FC236}">
              <a16:creationId xmlns:a16="http://schemas.microsoft.com/office/drawing/2014/main" id="{F0D7B478-E9BD-4704-A38C-088CA9D54FFE}"/>
            </a:ext>
          </a:extLst>
        </xdr:cNvPr>
        <xdr:cNvPicPr>
          <a:picLocks noChangeAspect="1"/>
        </xdr:cNvPicPr>
      </xdr:nvPicPr>
      <xdr:blipFill>
        <a:blip xmlns:r="http://schemas.openxmlformats.org/officeDocument/2006/relationships" r:embed="rId2"/>
        <a:stretch>
          <a:fillRect/>
        </a:stretch>
      </xdr:blipFill>
      <xdr:spPr>
        <a:xfrm>
          <a:off x="10553700" y="20576957"/>
          <a:ext cx="8128000" cy="77325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144780</xdr:colOff>
      <xdr:row>22</xdr:row>
      <xdr:rowOff>327660</xdr:rowOff>
    </xdr:from>
    <xdr:to>
      <xdr:col>8</xdr:col>
      <xdr:colOff>1104900</xdr:colOff>
      <xdr:row>39</xdr:row>
      <xdr:rowOff>130624</xdr:rowOff>
    </xdr:to>
    <xdr:pic>
      <xdr:nvPicPr>
        <xdr:cNvPr id="3" name="Image 2">
          <a:extLst>
            <a:ext uri="{FF2B5EF4-FFF2-40B4-BE49-F238E27FC236}">
              <a16:creationId xmlns:a16="http://schemas.microsoft.com/office/drawing/2014/main" id="{F06DD128-26DB-485A-8B34-A0D5F6277588}"/>
            </a:ext>
          </a:extLst>
        </xdr:cNvPr>
        <xdr:cNvPicPr>
          <a:picLocks noChangeAspect="1"/>
        </xdr:cNvPicPr>
      </xdr:nvPicPr>
      <xdr:blipFill>
        <a:blip xmlns:r="http://schemas.openxmlformats.org/officeDocument/2006/relationships" r:embed="rId1"/>
        <a:stretch>
          <a:fillRect/>
        </a:stretch>
      </xdr:blipFill>
      <xdr:spPr>
        <a:xfrm>
          <a:off x="10012680" y="8351520"/>
          <a:ext cx="6103620" cy="5188399"/>
        </a:xfrm>
        <a:prstGeom prst="rect">
          <a:avLst/>
        </a:prstGeom>
      </xdr:spPr>
    </xdr:pic>
    <xdr:clientData/>
  </xdr:twoCellAnchor>
  <xdr:twoCellAnchor editAs="oneCell">
    <xdr:from>
      <xdr:col>5</xdr:col>
      <xdr:colOff>160020</xdr:colOff>
      <xdr:row>40</xdr:row>
      <xdr:rowOff>66229</xdr:rowOff>
    </xdr:from>
    <xdr:to>
      <xdr:col>8</xdr:col>
      <xdr:colOff>1082040</xdr:colOff>
      <xdr:row>54</xdr:row>
      <xdr:rowOff>206557</xdr:rowOff>
    </xdr:to>
    <xdr:pic>
      <xdr:nvPicPr>
        <xdr:cNvPr id="4" name="Image 3">
          <a:extLst>
            <a:ext uri="{FF2B5EF4-FFF2-40B4-BE49-F238E27FC236}">
              <a16:creationId xmlns:a16="http://schemas.microsoft.com/office/drawing/2014/main" id="{224E8273-B2E5-4A9D-A34B-C2995AEF71FB}"/>
            </a:ext>
          </a:extLst>
        </xdr:cNvPr>
        <xdr:cNvPicPr>
          <a:picLocks noChangeAspect="1"/>
        </xdr:cNvPicPr>
      </xdr:nvPicPr>
      <xdr:blipFill>
        <a:blip xmlns:r="http://schemas.openxmlformats.org/officeDocument/2006/relationships" r:embed="rId2"/>
        <a:stretch>
          <a:fillRect/>
        </a:stretch>
      </xdr:blipFill>
      <xdr:spPr>
        <a:xfrm>
          <a:off x="10027920" y="13667929"/>
          <a:ext cx="6073140" cy="52971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2095499</xdr:colOff>
      <xdr:row>21</xdr:row>
      <xdr:rowOff>274320</xdr:rowOff>
    </xdr:from>
    <xdr:to>
      <xdr:col>10</xdr:col>
      <xdr:colOff>584772</xdr:colOff>
      <xdr:row>35</xdr:row>
      <xdr:rowOff>7620</xdr:rowOff>
    </xdr:to>
    <xdr:pic>
      <xdr:nvPicPr>
        <xdr:cNvPr id="2" name="Image 1">
          <a:extLst>
            <a:ext uri="{FF2B5EF4-FFF2-40B4-BE49-F238E27FC236}">
              <a16:creationId xmlns:a16="http://schemas.microsoft.com/office/drawing/2014/main" id="{1701AD36-7CA1-4E0E-8FD5-54C633EF573F}"/>
            </a:ext>
          </a:extLst>
        </xdr:cNvPr>
        <xdr:cNvPicPr>
          <a:picLocks noChangeAspect="1"/>
        </xdr:cNvPicPr>
      </xdr:nvPicPr>
      <xdr:blipFill>
        <a:blip xmlns:r="http://schemas.openxmlformats.org/officeDocument/2006/relationships" r:embed="rId1"/>
        <a:stretch>
          <a:fillRect/>
        </a:stretch>
      </xdr:blipFill>
      <xdr:spPr>
        <a:xfrm>
          <a:off x="9601199" y="5981700"/>
          <a:ext cx="7153213" cy="41224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7620</xdr:colOff>
      <xdr:row>4</xdr:row>
      <xdr:rowOff>76199</xdr:rowOff>
    </xdr:from>
    <xdr:to>
      <xdr:col>9</xdr:col>
      <xdr:colOff>1304925</xdr:colOff>
      <xdr:row>20</xdr:row>
      <xdr:rowOff>7963</xdr:rowOff>
    </xdr:to>
    <xdr:pic>
      <xdr:nvPicPr>
        <xdr:cNvPr id="2" name="Image 1">
          <a:extLst>
            <a:ext uri="{FF2B5EF4-FFF2-40B4-BE49-F238E27FC236}">
              <a16:creationId xmlns:a16="http://schemas.microsoft.com/office/drawing/2014/main" id="{0E31BC18-0D3B-4F3F-889C-EAE1AD45AB35}"/>
            </a:ext>
          </a:extLst>
        </xdr:cNvPr>
        <xdr:cNvPicPr>
          <a:picLocks noChangeAspect="1"/>
        </xdr:cNvPicPr>
      </xdr:nvPicPr>
      <xdr:blipFill>
        <a:blip xmlns:r="http://schemas.openxmlformats.org/officeDocument/2006/relationships" r:embed="rId1"/>
        <a:stretch>
          <a:fillRect/>
        </a:stretch>
      </xdr:blipFill>
      <xdr:spPr>
        <a:xfrm>
          <a:off x="9875520" y="807719"/>
          <a:ext cx="5974080" cy="6018239"/>
        </a:xfrm>
        <a:prstGeom prst="rect">
          <a:avLst/>
        </a:prstGeom>
      </xdr:spPr>
    </xdr:pic>
    <xdr:clientData/>
  </xdr:twoCellAnchor>
  <xdr:twoCellAnchor editAs="oneCell">
    <xdr:from>
      <xdr:col>5</xdr:col>
      <xdr:colOff>7620</xdr:colOff>
      <xdr:row>20</xdr:row>
      <xdr:rowOff>265025</xdr:rowOff>
    </xdr:from>
    <xdr:to>
      <xdr:col>9</xdr:col>
      <xdr:colOff>1314450</xdr:colOff>
      <xdr:row>42</xdr:row>
      <xdr:rowOff>56272</xdr:rowOff>
    </xdr:to>
    <xdr:pic>
      <xdr:nvPicPr>
        <xdr:cNvPr id="5" name="Image 4">
          <a:extLst>
            <a:ext uri="{FF2B5EF4-FFF2-40B4-BE49-F238E27FC236}">
              <a16:creationId xmlns:a16="http://schemas.microsoft.com/office/drawing/2014/main" id="{4FF3DA45-DD33-4F74-A6F1-C8FFF75F0FEE}"/>
            </a:ext>
          </a:extLst>
        </xdr:cNvPr>
        <xdr:cNvPicPr>
          <a:picLocks noChangeAspect="1"/>
        </xdr:cNvPicPr>
      </xdr:nvPicPr>
      <xdr:blipFill>
        <a:blip xmlns:r="http://schemas.openxmlformats.org/officeDocument/2006/relationships" r:embed="rId2"/>
        <a:stretch>
          <a:fillRect/>
        </a:stretch>
      </xdr:blipFill>
      <xdr:spPr>
        <a:xfrm>
          <a:off x="9875520" y="7084925"/>
          <a:ext cx="5981700" cy="631015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au4711" displayName="Tableau4711" ref="B2:E100" totalsRowShown="0" headerRowDxfId="88" dataDxfId="86" headerRowBorderDxfId="87" tableBorderDxfId="85" totalsRowBorderDxfId="84">
  <autoFilter ref="B2:E100" xr:uid="{00000000-0009-0000-0100-000002000000}"/>
  <tableColumns count="4">
    <tableColumn id="1" xr3:uid="{00000000-0010-0000-0000-000001000000}" name="Catégorie d’organisation" dataDxfId="83"/>
    <tableColumn id="2" xr3:uid="{00000000-0010-0000-0000-000002000000}" name="Indications des postes potentiellement significatifs " dataDxfId="82"/>
    <tableColumn id="3" xr3:uid="{00000000-0010-0000-0000-000003000000}" name="Trajectoires SNBC correspondantes" dataDxfId="81"/>
    <tableColumn id="4" xr3:uid="{00000000-0010-0000-0000-000004000000}" name=" " dataDxfId="8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1154076-E633-4826-8CFA-50EB57C51BB7}" name="Tableau145" displayName="Tableau145" ref="A1:AJ51" totalsRowShown="0" headerRowDxfId="75" dataDxfId="74">
  <autoFilter ref="A1:AJ51" xr:uid="{00000000-0009-0000-0100-000001000000}"/>
  <tableColumns count="36">
    <tableColumn id="1" xr3:uid="{D81D6606-EEE9-4DDC-9C07-A6299674721A}" name="Secteur" dataDxfId="73"/>
    <tableColumn id="2" xr3:uid="{30909B6C-781A-4935-B3F0-94B16B750B01}" name="Variables" dataDxfId="72" dataCellStyle="Normal 11"/>
    <tableColumn id="3" xr3:uid="{21A2BF9B-1823-4495-B6FC-DA2168A7C1F8}" name="Unité" dataDxfId="71"/>
    <tableColumn id="5" xr3:uid="{3137E714-6865-48FF-B535-6E2A7FC9F909}" name="2019" dataDxfId="70"/>
    <tableColumn id="42" xr3:uid="{A42D92BE-33DE-46A1-A952-578FC73DAE5A}" name="2020" dataDxfId="69"/>
    <tableColumn id="40" xr3:uid="{98FAB6A5-D843-4947-808A-943D03C99F69}" name="2021" dataDxfId="68"/>
    <tableColumn id="39" xr3:uid="{974946B3-2980-443C-B712-014092F160D6}" name="2022" dataDxfId="67"/>
    <tableColumn id="38" xr3:uid="{D96D9345-6F38-472C-A18D-06C406EA28EA}" name="2023" dataDxfId="66"/>
    <tableColumn id="37" xr3:uid="{7517333A-11CC-4573-88B9-842445AB07EB}" name="2024" dataDxfId="65"/>
    <tableColumn id="36" xr3:uid="{F2754F98-45D9-4939-9C7D-55B77B466C1D}" name="2025" dataDxfId="64"/>
    <tableColumn id="35" xr3:uid="{36F28C89-C4FB-48DD-AEC1-5CD285BCA2AF}" name="2026" dataDxfId="63"/>
    <tableColumn id="34" xr3:uid="{683F2EAE-2F28-4C51-9B42-E224C42E3384}" name="2027" dataDxfId="62"/>
    <tableColumn id="33" xr3:uid="{D36AFDA9-B98F-4EF1-A770-F43247D28979}" name="2028" dataDxfId="61"/>
    <tableColumn id="32" xr3:uid="{7E7AB9CA-9A87-4E9D-9BB5-3C161FD799DE}" name="2029" dataDxfId="60"/>
    <tableColumn id="6" xr3:uid="{5ECDBF86-C506-44A9-94B9-88273EB0F2AC}" name="2030" dataDxfId="59"/>
    <tableColumn id="19" xr3:uid="{5A26EC36-4676-4FA0-9227-F1561750210C}" name="2031" dataDxfId="58"/>
    <tableColumn id="18" xr3:uid="{71811A81-D9C2-4E2F-862F-038564C45370}" name="2032" dataDxfId="57"/>
    <tableColumn id="17" xr3:uid="{13F021D8-5272-46BA-A1AC-7F27C7DF2CFE}" name="2033" dataDxfId="56"/>
    <tableColumn id="16" xr3:uid="{03914738-F0F2-44C5-B532-3FB58AD2E507}" name="2034" dataDxfId="55"/>
    <tableColumn id="10" xr3:uid="{6E5148D7-037C-4C36-A86D-4F2C93EC25CC}" name="2035" dataDxfId="54"/>
    <tableColumn id="23" xr3:uid="{0460CC22-14E9-49C1-83E1-B033778F7EFA}" name="2036" dataDxfId="53"/>
    <tableColumn id="22" xr3:uid="{13498248-4E2E-4B7A-9B41-16EB129738B2}" name="2037" dataDxfId="52"/>
    <tableColumn id="21" xr3:uid="{53430FBF-68B0-465D-B811-E2D42FF6C112}" name="2038" dataDxfId="51"/>
    <tableColumn id="20" xr3:uid="{3DA9E402-6D4A-4DDC-8A95-998914CE2811}" name="2039" dataDxfId="50"/>
    <tableColumn id="9" xr3:uid="{5FA9DCB6-CCBF-4821-9531-A9D87E3E08C7}" name="2040" dataDxfId="49"/>
    <tableColumn id="27" xr3:uid="{BF3777ED-0451-41D3-A9C2-22D56745D816}" name="2041" dataDxfId="48"/>
    <tableColumn id="26" xr3:uid="{1A1C5E4C-5BD3-4794-AB2C-203F3CDBD003}" name="2042" dataDxfId="47"/>
    <tableColumn id="25" xr3:uid="{5616FA7F-6DE3-4E1F-A846-D1C6AFE26B10}" name="2043" dataDxfId="46"/>
    <tableColumn id="24" xr3:uid="{C62A2734-1A49-4C46-A6FF-06BECAAD88A9}" name="2044" dataDxfId="45"/>
    <tableColumn id="11" xr3:uid="{BE4A6B35-CC53-4974-BA3F-DD26F5399DE8}" name="2045" dataDxfId="44"/>
    <tableColumn id="31" xr3:uid="{348F2E8C-95F2-476C-ACB0-20221CFF8567}" name="2046" dataDxfId="43"/>
    <tableColumn id="30" xr3:uid="{A7430374-0120-423B-8197-7DB817E10692}" name="2047" dataDxfId="42"/>
    <tableColumn id="29" xr3:uid="{C43B8FFF-DA2A-4B4D-B8D9-6C55ADF2F422}" name="2048" dataDxfId="41"/>
    <tableColumn id="28" xr3:uid="{CA90C26E-8B44-4954-86B3-C0D0F6081BDB}" name="2049" dataDxfId="40"/>
    <tableColumn id="7" xr3:uid="{F34FBA4A-D176-4CEE-AE54-6DD234476467}" name="2050" dataDxfId="39"/>
    <tableColumn id="8" xr3:uid="{64D3FC42-E041-4851-8A50-1559FDFB772C}" name="Intégrée au calcul d'intensité" dataDxfId="38"/>
  </tableColumns>
  <tableStyleInfo name="TableStyleLight1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1E94AA4-8E5F-4AC2-A7D7-DB88346584D8}" name="Tableau14" displayName="Tableau14" ref="A1:AJ51" totalsRowShown="0" headerRowDxfId="37" dataDxfId="36">
  <autoFilter ref="A1:AJ51" xr:uid="{00000000-0009-0000-0100-000001000000}"/>
  <tableColumns count="36">
    <tableColumn id="1" xr3:uid="{20392F53-D9BA-4126-852C-A99CF9B14EC4}" name="Secteur" dataDxfId="35"/>
    <tableColumn id="2" xr3:uid="{3E70F96E-2D85-4B8E-A6D6-28F07CF3FD5F}" name="Variables" dataDxfId="34" dataCellStyle="Normal 11"/>
    <tableColumn id="3" xr3:uid="{390500E6-4E19-450F-B991-87306CD3B39F}" name="Unité" dataDxfId="33"/>
    <tableColumn id="5" xr3:uid="{37AFBA2A-7C3A-4569-8FDD-F29F5441D5F5}" name="2019" dataDxfId="32"/>
    <tableColumn id="42" xr3:uid="{C58E3D84-C2D2-4B1F-ADBA-FC37C5AB0A69}" name="2020" dataDxfId="31"/>
    <tableColumn id="40" xr3:uid="{7A11E3FA-A63A-482B-AC29-54E619A6064F}" name="2021" dataDxfId="30"/>
    <tableColumn id="39" xr3:uid="{C69FEDF9-77F2-41B0-B036-3D1243F69E87}" name="2022" dataDxfId="29"/>
    <tableColumn id="38" xr3:uid="{E2E95BE7-D5A4-4607-BC2B-3ECD76B4B19C}" name="2023" dataDxfId="28"/>
    <tableColumn id="37" xr3:uid="{3B658B3A-350F-49EB-9685-8DC1B0C4D6E1}" name="2024" dataDxfId="27"/>
    <tableColumn id="36" xr3:uid="{861E7AA1-FE95-4FB6-BB15-313C9DC6EAB5}" name="2025" dataDxfId="26"/>
    <tableColumn id="35" xr3:uid="{62E41E5F-D418-4C09-9036-02BE9761E4D4}" name="2026" dataDxfId="25"/>
    <tableColumn id="34" xr3:uid="{E050E495-B63F-4B9D-9889-7955C6C1C243}" name="2027" dataDxfId="24"/>
    <tableColumn id="33" xr3:uid="{7837D47A-DAB8-495D-AD25-244E2FE2539E}" name="2028" dataDxfId="23"/>
    <tableColumn id="32" xr3:uid="{3F0CD7A7-DA43-4A9A-BB12-4936564CEB21}" name="2029" dataDxfId="22"/>
    <tableColumn id="6" xr3:uid="{1D962609-F838-4851-9B6C-71B7FC683C7D}" name="2030" dataDxfId="21"/>
    <tableColumn id="19" xr3:uid="{2EA20851-B005-4F75-94E5-5C77507F8648}" name="2031" dataDxfId="20"/>
    <tableColumn id="18" xr3:uid="{319DE297-13E8-4283-9D32-9B4F4EEA986E}" name="2032" dataDxfId="19"/>
    <tableColumn id="17" xr3:uid="{A03F62CD-2B6D-4FAC-B46B-F8F32DCC1B45}" name="2033" dataDxfId="18"/>
    <tableColumn id="16" xr3:uid="{3E6FEE3E-B387-45E7-95AB-D1EF6233D607}" name="2034" dataDxfId="17"/>
    <tableColumn id="10" xr3:uid="{6B087155-B3B5-4AF7-8C3E-079DF5B9B0CB}" name="2035" dataDxfId="16"/>
    <tableColumn id="23" xr3:uid="{91960D8F-AB38-49C3-832D-E7C29AC74FDA}" name="2036" dataDxfId="15"/>
    <tableColumn id="22" xr3:uid="{87141E6A-A950-4689-9E51-B74AFB75BA81}" name="2037" dataDxfId="14"/>
    <tableColumn id="21" xr3:uid="{26A65231-7CE9-4901-B254-5E0D70C812C0}" name="2038" dataDxfId="13"/>
    <tableColumn id="20" xr3:uid="{250EDF43-2158-4E75-96B9-A3F33F38977D}" name="2039" dataDxfId="12"/>
    <tableColumn id="9" xr3:uid="{193AC340-8C38-4B3A-8867-E19814805DF4}" name="2040" dataDxfId="11"/>
    <tableColumn id="27" xr3:uid="{594D93FB-C925-4CBD-ABB7-AD822688A6A5}" name="2041" dataDxfId="10"/>
    <tableColumn id="26" xr3:uid="{3243DBFD-B686-4A8E-B8AE-B1ABD99EEEE1}" name="2042" dataDxfId="9"/>
    <tableColumn id="25" xr3:uid="{B5AEB221-04DF-4D08-98FB-727F316DC4ED}" name="2043" dataDxfId="8"/>
    <tableColumn id="24" xr3:uid="{D67A7A78-4A6C-48AC-BC9B-822CF5D33F4B}" name="2044" dataDxfId="7"/>
    <tableColumn id="11" xr3:uid="{7A465454-F998-4858-B394-A2684EA68720}" name="2045" dataDxfId="6"/>
    <tableColumn id="31" xr3:uid="{DD72C7CC-86A2-4742-BA64-C07E5F3EECC5}" name="2046" dataDxfId="5"/>
    <tableColumn id="30" xr3:uid="{9F55FC1E-4059-42A1-A5C9-9DD8636B686A}" name="2047" dataDxfId="4"/>
    <tableColumn id="29" xr3:uid="{DA0EF523-BDA1-4FCD-8581-515CA807FDD6}" name="2048" dataDxfId="3"/>
    <tableColumn id="28" xr3:uid="{2AEDBE14-5797-408B-9EBF-74F3C209910C}" name="2049" dataDxfId="2"/>
    <tableColumn id="7" xr3:uid="{91EE5855-D837-49D1-ABE2-56964C3460C8}" name="2050" dataDxfId="1"/>
    <tableColumn id="8" xr3:uid="{B07AC530-1660-4A2F-B871-3B138C701FD5}" name="Intégrée au calcul d'intensité" dataDxfId="0"/>
  </tableColumns>
  <tableStyleInfo name="TableStyleLight17"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5.vml"/><Relationship Id="rId1" Type="http://schemas.openxmlformats.org/officeDocument/2006/relationships/printerSettings" Target="../printerSettings/printerSettings19.bin"/><Relationship Id="rId4" Type="http://schemas.openxmlformats.org/officeDocument/2006/relationships/comments" Target="../comments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table" Target="../tables/table3.xml"/><Relationship Id="rId1" Type="http://schemas.openxmlformats.org/officeDocument/2006/relationships/vmlDrawing" Target="../drawings/vmlDrawing6.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46"/>
  <sheetViews>
    <sheetView tabSelected="1" workbookViewId="0">
      <selection activeCell="A2" sqref="A2"/>
    </sheetView>
  </sheetViews>
  <sheetFormatPr baseColWidth="10" defaultColWidth="11.5546875" defaultRowHeight="14.4"/>
  <cols>
    <col min="1" max="1" width="11.5546875" style="1"/>
    <col min="2" max="2" width="23.33203125" style="1" customWidth="1"/>
    <col min="3" max="5" width="11.5546875" style="1"/>
    <col min="6" max="6" width="87.5546875" style="1" customWidth="1"/>
    <col min="7" max="16384" width="11.5546875" style="1"/>
  </cols>
  <sheetData>
    <row r="1" spans="1:21">
      <c r="A1" s="182"/>
      <c r="B1" s="182"/>
      <c r="C1" s="182"/>
      <c r="D1" s="182"/>
      <c r="E1" s="182"/>
      <c r="F1" s="182"/>
      <c r="G1" s="182"/>
      <c r="H1" s="182"/>
      <c r="I1" s="182"/>
      <c r="J1" s="164"/>
      <c r="K1" s="164"/>
      <c r="L1" s="164"/>
      <c r="M1" s="164"/>
      <c r="N1" s="164"/>
      <c r="O1" s="164"/>
      <c r="P1" s="164"/>
      <c r="Q1" s="164"/>
      <c r="R1" s="164"/>
      <c r="S1" s="164"/>
      <c r="T1" s="164"/>
      <c r="U1" s="164"/>
    </row>
    <row r="2" spans="1:21">
      <c r="A2" s="182"/>
      <c r="B2" s="182"/>
      <c r="C2" s="182"/>
      <c r="D2" s="182"/>
      <c r="E2" s="182"/>
      <c r="F2" s="182"/>
      <c r="G2" s="182"/>
      <c r="H2" s="182"/>
      <c r="I2" s="182"/>
      <c r="J2" s="164"/>
      <c r="K2" s="164"/>
      <c r="L2" s="164"/>
      <c r="M2" s="164"/>
      <c r="N2" s="164"/>
      <c r="O2" s="164"/>
      <c r="P2" s="164"/>
      <c r="Q2" s="164"/>
      <c r="R2" s="164"/>
      <c r="S2" s="164"/>
      <c r="T2" s="164"/>
      <c r="U2" s="164"/>
    </row>
    <row r="3" spans="1:21" ht="48.6" customHeight="1">
      <c r="A3" s="182"/>
      <c r="B3" s="428" t="s">
        <v>625</v>
      </c>
      <c r="C3" s="428"/>
      <c r="D3" s="428"/>
      <c r="E3" s="428"/>
      <c r="F3" s="428"/>
      <c r="G3" s="182"/>
      <c r="H3" s="182"/>
      <c r="I3" s="182"/>
      <c r="J3" s="164"/>
      <c r="K3" s="164"/>
      <c r="L3" s="164"/>
      <c r="M3" s="164"/>
      <c r="N3" s="164"/>
      <c r="O3" s="164"/>
      <c r="P3" s="164"/>
      <c r="Q3" s="164"/>
      <c r="R3" s="164"/>
      <c r="S3" s="164"/>
      <c r="T3" s="164"/>
      <c r="U3" s="164"/>
    </row>
    <row r="4" spans="1:21">
      <c r="A4" s="182"/>
      <c r="B4" s="182"/>
      <c r="C4" s="182"/>
      <c r="D4" s="182"/>
      <c r="E4" s="182"/>
      <c r="F4" s="182"/>
      <c r="G4" s="182"/>
      <c r="H4" s="182"/>
      <c r="I4" s="182"/>
      <c r="J4" s="164"/>
      <c r="K4" s="164"/>
      <c r="L4" s="164"/>
      <c r="M4" s="164"/>
      <c r="N4" s="164"/>
      <c r="O4" s="164"/>
      <c r="P4" s="164"/>
      <c r="Q4" s="164"/>
      <c r="R4" s="164"/>
      <c r="S4" s="164"/>
      <c r="T4" s="164"/>
      <c r="U4" s="164"/>
    </row>
    <row r="5" spans="1:21">
      <c r="A5" s="182"/>
      <c r="B5" s="182"/>
      <c r="C5" s="182"/>
      <c r="D5" s="182"/>
      <c r="E5" s="182"/>
      <c r="F5" s="182"/>
      <c r="G5" s="182"/>
      <c r="H5" s="182"/>
      <c r="I5" s="182"/>
      <c r="J5" s="164"/>
      <c r="K5" s="164"/>
      <c r="L5" s="164"/>
      <c r="M5" s="164"/>
      <c r="N5" s="164"/>
      <c r="O5" s="164"/>
      <c r="P5" s="164"/>
      <c r="Q5" s="164"/>
      <c r="R5" s="164"/>
      <c r="S5" s="164"/>
      <c r="T5" s="164"/>
      <c r="U5" s="164"/>
    </row>
    <row r="6" spans="1:21">
      <c r="A6" s="182"/>
      <c r="B6" s="182"/>
      <c r="C6" s="182"/>
      <c r="D6" s="182"/>
      <c r="E6" s="182"/>
      <c r="F6" s="182"/>
      <c r="G6" s="182"/>
      <c r="H6" s="182"/>
      <c r="I6" s="182"/>
      <c r="J6" s="164"/>
      <c r="K6" s="164"/>
      <c r="L6" s="164"/>
      <c r="M6" s="164"/>
      <c r="N6" s="164"/>
      <c r="O6" s="164"/>
      <c r="P6" s="164"/>
      <c r="Q6" s="164"/>
      <c r="R6" s="164"/>
      <c r="S6" s="164"/>
      <c r="T6" s="164"/>
      <c r="U6" s="164"/>
    </row>
    <row r="7" spans="1:21" ht="40.950000000000003" customHeight="1">
      <c r="A7" s="182"/>
      <c r="B7" s="429" t="s">
        <v>590</v>
      </c>
      <c r="C7" s="429"/>
      <c r="D7" s="429"/>
      <c r="E7" s="429"/>
      <c r="F7" s="429"/>
      <c r="G7" s="182"/>
      <c r="H7" s="182"/>
      <c r="I7" s="182"/>
      <c r="J7" s="164"/>
      <c r="K7" s="164"/>
      <c r="L7" s="164"/>
      <c r="M7" s="164"/>
      <c r="N7" s="164"/>
      <c r="O7" s="164"/>
      <c r="P7" s="164"/>
      <c r="Q7" s="164"/>
      <c r="R7" s="164"/>
      <c r="S7" s="164"/>
      <c r="T7" s="164"/>
      <c r="U7" s="164"/>
    </row>
    <row r="8" spans="1:21">
      <c r="A8" s="182"/>
      <c r="B8" s="182"/>
      <c r="C8" s="182"/>
      <c r="D8" s="182"/>
      <c r="E8" s="182"/>
      <c r="F8" s="182"/>
      <c r="G8" s="182"/>
      <c r="H8" s="182"/>
      <c r="I8" s="182"/>
      <c r="J8" s="164"/>
      <c r="K8" s="164"/>
      <c r="L8" s="164"/>
      <c r="M8" s="164"/>
      <c r="N8" s="164"/>
      <c r="O8" s="164"/>
      <c r="P8" s="164"/>
      <c r="Q8" s="164"/>
      <c r="R8" s="164"/>
      <c r="S8" s="164"/>
      <c r="T8" s="164"/>
      <c r="U8" s="164"/>
    </row>
    <row r="9" spans="1:21" ht="147" customHeight="1">
      <c r="A9" s="182"/>
      <c r="B9" s="183" t="s">
        <v>0</v>
      </c>
      <c r="C9" s="426" t="s">
        <v>646</v>
      </c>
      <c r="D9" s="426"/>
      <c r="E9" s="426"/>
      <c r="F9" s="426"/>
      <c r="G9" s="182"/>
      <c r="H9" s="182"/>
      <c r="I9" s="182"/>
      <c r="J9" s="164"/>
      <c r="K9" s="164"/>
      <c r="L9" s="164"/>
      <c r="M9" s="164"/>
      <c r="N9" s="164"/>
      <c r="O9" s="164"/>
      <c r="P9" s="164"/>
      <c r="Q9" s="164"/>
      <c r="R9" s="164"/>
      <c r="S9" s="164"/>
      <c r="T9" s="164"/>
      <c r="U9" s="164"/>
    </row>
    <row r="10" spans="1:21" ht="132" customHeight="1">
      <c r="A10" s="182"/>
      <c r="B10" s="183" t="s">
        <v>1</v>
      </c>
      <c r="C10" s="426" t="s">
        <v>649</v>
      </c>
      <c r="D10" s="426"/>
      <c r="E10" s="426"/>
      <c r="F10" s="426"/>
      <c r="G10" s="182"/>
      <c r="H10" s="182"/>
      <c r="I10" s="182"/>
      <c r="J10" s="164"/>
      <c r="K10" s="164"/>
      <c r="L10" s="164"/>
      <c r="M10" s="164"/>
      <c r="N10" s="164"/>
      <c r="O10" s="164"/>
      <c r="P10" s="164"/>
      <c r="Q10" s="164"/>
      <c r="R10" s="164"/>
      <c r="S10" s="164"/>
      <c r="T10" s="164"/>
      <c r="U10" s="164"/>
    </row>
    <row r="11" spans="1:21" ht="46.2" customHeight="1">
      <c r="A11" s="182"/>
      <c r="B11" s="183" t="s">
        <v>2</v>
      </c>
      <c r="C11" s="426" t="s">
        <v>591</v>
      </c>
      <c r="D11" s="426"/>
      <c r="E11" s="426"/>
      <c r="F11" s="426"/>
      <c r="G11" s="182"/>
      <c r="H11" s="182"/>
      <c r="I11" s="182"/>
      <c r="J11" s="164"/>
      <c r="K11" s="164"/>
      <c r="L11" s="164"/>
      <c r="M11" s="164"/>
      <c r="N11" s="164"/>
      <c r="O11" s="164"/>
      <c r="P11" s="164"/>
      <c r="Q11" s="164"/>
      <c r="R11" s="164"/>
      <c r="S11" s="164"/>
      <c r="T11" s="164"/>
      <c r="U11" s="164"/>
    </row>
    <row r="12" spans="1:21" ht="136.19999999999999" customHeight="1">
      <c r="A12" s="182"/>
      <c r="B12" s="183" t="s">
        <v>3</v>
      </c>
      <c r="C12" s="426" t="s">
        <v>595</v>
      </c>
      <c r="D12" s="426"/>
      <c r="E12" s="426"/>
      <c r="F12" s="426"/>
      <c r="G12" s="182"/>
      <c r="H12" s="182"/>
      <c r="I12" s="182"/>
      <c r="J12" s="164"/>
      <c r="K12" s="164"/>
      <c r="L12" s="164"/>
      <c r="M12" s="164"/>
      <c r="N12" s="164"/>
      <c r="O12" s="164"/>
      <c r="P12" s="164"/>
      <c r="Q12" s="164"/>
      <c r="R12" s="164"/>
      <c r="S12" s="164"/>
      <c r="T12" s="164"/>
      <c r="U12" s="164"/>
    </row>
    <row r="13" spans="1:21" ht="73.2" customHeight="1">
      <c r="A13" s="182"/>
      <c r="B13" s="183" t="s">
        <v>592</v>
      </c>
      <c r="C13" s="426" t="s">
        <v>593</v>
      </c>
      <c r="D13" s="426"/>
      <c r="E13" s="426"/>
      <c r="F13" s="426"/>
      <c r="G13" s="182"/>
      <c r="H13" s="182"/>
      <c r="I13" s="182"/>
      <c r="J13" s="164"/>
      <c r="K13" s="164"/>
      <c r="L13" s="164"/>
      <c r="M13" s="164"/>
      <c r="N13" s="164"/>
      <c r="O13" s="164"/>
      <c r="P13" s="164"/>
      <c r="Q13" s="164"/>
      <c r="R13" s="164"/>
      <c r="S13" s="164"/>
      <c r="T13" s="164"/>
      <c r="U13" s="164"/>
    </row>
    <row r="14" spans="1:21" ht="159.6" customHeight="1">
      <c r="A14" s="182"/>
      <c r="B14" s="183" t="s">
        <v>4</v>
      </c>
      <c r="C14" s="426" t="s">
        <v>594</v>
      </c>
      <c r="D14" s="426"/>
      <c r="E14" s="426"/>
      <c r="F14" s="426"/>
      <c r="G14" s="182"/>
      <c r="H14" s="182"/>
      <c r="I14" s="182"/>
      <c r="J14" s="164"/>
      <c r="K14" s="164"/>
      <c r="L14" s="164"/>
      <c r="M14" s="164"/>
      <c r="N14" s="164"/>
      <c r="O14" s="164"/>
      <c r="P14" s="164"/>
      <c r="Q14" s="164"/>
      <c r="R14" s="164"/>
      <c r="S14" s="164"/>
      <c r="T14" s="164"/>
      <c r="U14" s="164"/>
    </row>
    <row r="15" spans="1:21" ht="74.400000000000006" customHeight="1">
      <c r="A15" s="182"/>
      <c r="B15" s="183" t="s">
        <v>5</v>
      </c>
      <c r="C15" s="427" t="s">
        <v>650</v>
      </c>
      <c r="D15" s="427"/>
      <c r="E15" s="427"/>
      <c r="F15" s="427"/>
      <c r="G15" s="182"/>
      <c r="H15" s="182"/>
      <c r="I15" s="182"/>
      <c r="J15" s="164"/>
      <c r="K15" s="164"/>
      <c r="L15" s="164"/>
      <c r="M15" s="164"/>
      <c r="N15" s="164"/>
      <c r="O15" s="164"/>
      <c r="P15" s="164"/>
      <c r="Q15" s="164"/>
      <c r="R15" s="164"/>
      <c r="S15" s="164"/>
      <c r="T15" s="164"/>
      <c r="U15" s="164"/>
    </row>
    <row r="16" spans="1:21">
      <c r="A16" s="182"/>
      <c r="B16" s="182"/>
      <c r="C16" s="182"/>
      <c r="D16" s="182"/>
      <c r="E16" s="182"/>
      <c r="F16" s="182"/>
      <c r="G16" s="182"/>
      <c r="H16" s="182"/>
      <c r="I16" s="182"/>
      <c r="J16" s="164"/>
      <c r="K16" s="164"/>
      <c r="L16" s="164"/>
      <c r="M16" s="164"/>
      <c r="N16" s="164"/>
      <c r="O16" s="164"/>
      <c r="P16" s="164"/>
      <c r="Q16" s="164"/>
      <c r="R16" s="164"/>
      <c r="S16" s="164"/>
      <c r="T16" s="164"/>
      <c r="U16" s="164"/>
    </row>
    <row r="17" spans="1:21">
      <c r="A17" s="182"/>
      <c r="B17" s="182"/>
      <c r="C17" s="182"/>
      <c r="D17" s="182"/>
      <c r="E17" s="182"/>
      <c r="F17" s="182"/>
      <c r="G17" s="182"/>
      <c r="H17" s="182"/>
      <c r="I17" s="182"/>
      <c r="J17" s="164"/>
      <c r="K17" s="164"/>
      <c r="L17" s="164"/>
      <c r="M17" s="164"/>
      <c r="N17" s="164"/>
      <c r="O17" s="164"/>
      <c r="P17" s="164"/>
      <c r="Q17" s="164"/>
      <c r="R17" s="164"/>
      <c r="S17" s="164"/>
      <c r="T17" s="164"/>
      <c r="U17" s="164"/>
    </row>
    <row r="18" spans="1:21">
      <c r="A18" s="182"/>
      <c r="B18" s="182"/>
      <c r="C18" s="182"/>
      <c r="D18" s="182"/>
      <c r="E18" s="182"/>
      <c r="F18" s="182"/>
      <c r="G18" s="182"/>
      <c r="H18" s="182"/>
      <c r="I18" s="182"/>
      <c r="J18" s="164"/>
      <c r="K18" s="164"/>
      <c r="L18" s="164"/>
      <c r="M18" s="164"/>
      <c r="N18" s="164"/>
      <c r="O18" s="164"/>
      <c r="P18" s="164"/>
      <c r="Q18" s="164"/>
      <c r="R18" s="164"/>
      <c r="S18" s="164"/>
      <c r="T18" s="164"/>
      <c r="U18" s="164"/>
    </row>
    <row r="19" spans="1:21">
      <c r="A19" s="182"/>
      <c r="B19" s="182"/>
      <c r="C19" s="182"/>
      <c r="D19" s="182"/>
      <c r="E19" s="182"/>
      <c r="F19" s="182"/>
      <c r="G19" s="182"/>
      <c r="H19" s="182"/>
      <c r="I19" s="182"/>
      <c r="J19" s="164"/>
      <c r="K19" s="164"/>
      <c r="L19" s="164"/>
      <c r="M19" s="164"/>
      <c r="N19" s="164"/>
      <c r="O19" s="164"/>
      <c r="P19" s="164"/>
      <c r="Q19" s="164"/>
      <c r="R19" s="164"/>
      <c r="S19" s="164"/>
      <c r="T19" s="164"/>
      <c r="U19" s="164"/>
    </row>
    <row r="20" spans="1:21">
      <c r="A20" s="182"/>
      <c r="B20" s="182"/>
      <c r="C20" s="182"/>
      <c r="D20" s="182"/>
      <c r="E20" s="182"/>
      <c r="F20" s="182"/>
      <c r="G20" s="182"/>
      <c r="H20" s="182"/>
      <c r="I20" s="182"/>
      <c r="J20" s="164"/>
      <c r="K20" s="164"/>
      <c r="L20" s="164"/>
      <c r="M20" s="164"/>
      <c r="N20" s="164"/>
      <c r="O20" s="164"/>
      <c r="P20" s="164"/>
      <c r="Q20" s="164"/>
      <c r="R20" s="164"/>
      <c r="S20" s="164"/>
      <c r="T20" s="164"/>
      <c r="U20" s="164"/>
    </row>
    <row r="21" spans="1:21">
      <c r="A21" s="182"/>
      <c r="B21" s="182"/>
      <c r="C21" s="182"/>
      <c r="D21" s="182"/>
      <c r="E21" s="182"/>
      <c r="F21" s="182"/>
      <c r="G21" s="182"/>
      <c r="H21" s="182"/>
      <c r="I21" s="182"/>
      <c r="J21" s="164"/>
      <c r="K21" s="164"/>
      <c r="L21" s="164"/>
      <c r="M21" s="164"/>
      <c r="N21" s="164"/>
      <c r="O21" s="164"/>
      <c r="P21" s="164"/>
      <c r="Q21" s="164"/>
      <c r="R21" s="164"/>
      <c r="S21" s="164"/>
      <c r="T21" s="164"/>
      <c r="U21" s="164"/>
    </row>
    <row r="22" spans="1:21">
      <c r="A22" s="182"/>
      <c r="B22" s="182"/>
      <c r="C22" s="182"/>
      <c r="D22" s="182"/>
      <c r="E22" s="182"/>
      <c r="F22" s="182"/>
      <c r="G22" s="182"/>
      <c r="H22" s="182"/>
      <c r="I22" s="182"/>
      <c r="J22" s="164"/>
      <c r="K22" s="164"/>
      <c r="L22" s="164"/>
      <c r="M22" s="164"/>
      <c r="N22" s="164"/>
      <c r="O22" s="164"/>
      <c r="P22" s="164"/>
      <c r="Q22" s="164"/>
      <c r="R22" s="164"/>
      <c r="S22" s="164"/>
      <c r="T22" s="164"/>
      <c r="U22" s="164"/>
    </row>
    <row r="23" spans="1:21">
      <c r="A23" s="182"/>
      <c r="B23" s="182"/>
      <c r="C23" s="182"/>
      <c r="D23" s="182"/>
      <c r="E23" s="182"/>
      <c r="F23" s="182"/>
      <c r="G23" s="182"/>
      <c r="H23" s="182"/>
      <c r="I23" s="182"/>
      <c r="J23" s="164"/>
      <c r="K23" s="164"/>
      <c r="L23" s="164"/>
      <c r="M23" s="164"/>
      <c r="N23" s="164"/>
      <c r="O23" s="164"/>
      <c r="P23" s="164"/>
      <c r="Q23" s="164"/>
      <c r="R23" s="164"/>
      <c r="S23" s="164"/>
      <c r="T23" s="164"/>
      <c r="U23" s="164"/>
    </row>
    <row r="24" spans="1:21">
      <c r="A24" s="182"/>
      <c r="B24" s="182"/>
      <c r="C24" s="182"/>
      <c r="D24" s="182"/>
      <c r="E24" s="182"/>
      <c r="F24" s="182"/>
      <c r="G24" s="182"/>
      <c r="H24" s="182"/>
      <c r="I24" s="182"/>
      <c r="J24" s="164"/>
      <c r="K24" s="164"/>
      <c r="L24" s="164"/>
      <c r="M24" s="164"/>
      <c r="N24" s="164"/>
      <c r="O24" s="164"/>
      <c r="P24" s="164"/>
      <c r="Q24" s="164"/>
      <c r="R24" s="164"/>
      <c r="S24" s="164"/>
      <c r="T24" s="164"/>
      <c r="U24" s="164"/>
    </row>
    <row r="25" spans="1:21">
      <c r="A25" s="182"/>
      <c r="B25" s="182"/>
      <c r="C25" s="182"/>
      <c r="D25" s="182"/>
      <c r="E25" s="182"/>
      <c r="F25" s="182"/>
      <c r="G25" s="182"/>
      <c r="H25" s="182"/>
      <c r="I25" s="182"/>
      <c r="J25" s="164"/>
      <c r="K25" s="164"/>
      <c r="L25" s="164"/>
      <c r="M25" s="164"/>
      <c r="N25" s="164"/>
      <c r="O25" s="164"/>
      <c r="P25" s="164"/>
      <c r="Q25" s="164"/>
      <c r="R25" s="164"/>
      <c r="S25" s="164"/>
      <c r="T25" s="164"/>
      <c r="U25" s="164"/>
    </row>
    <row r="26" spans="1:21">
      <c r="A26" s="182"/>
      <c r="B26" s="182"/>
      <c r="C26" s="182"/>
      <c r="D26" s="182"/>
      <c r="E26" s="182"/>
      <c r="F26" s="182"/>
      <c r="G26" s="182"/>
      <c r="H26" s="182"/>
      <c r="I26" s="182"/>
      <c r="J26" s="164"/>
      <c r="K26" s="164"/>
      <c r="L26" s="164"/>
      <c r="M26" s="164"/>
      <c r="N26" s="164"/>
      <c r="O26" s="164"/>
      <c r="P26" s="164"/>
      <c r="Q26" s="164"/>
      <c r="R26" s="164"/>
      <c r="S26" s="164"/>
      <c r="T26" s="164"/>
      <c r="U26" s="164"/>
    </row>
    <row r="27" spans="1:21">
      <c r="A27" s="182"/>
      <c r="B27" s="182"/>
      <c r="C27" s="182"/>
      <c r="D27" s="182"/>
      <c r="E27" s="182"/>
      <c r="F27" s="182"/>
      <c r="G27" s="182"/>
      <c r="H27" s="182"/>
      <c r="I27" s="182"/>
      <c r="J27" s="164"/>
      <c r="K27" s="164"/>
      <c r="L27" s="164"/>
      <c r="M27" s="164"/>
      <c r="N27" s="164"/>
      <c r="O27" s="164"/>
      <c r="P27" s="164"/>
      <c r="Q27" s="164"/>
      <c r="R27" s="164"/>
      <c r="S27" s="164"/>
      <c r="T27" s="164"/>
      <c r="U27" s="164"/>
    </row>
    <row r="28" spans="1:21">
      <c r="A28" s="182"/>
      <c r="B28" s="182"/>
      <c r="C28" s="182"/>
      <c r="D28" s="182"/>
      <c r="E28" s="182"/>
      <c r="F28" s="182"/>
      <c r="G28" s="182"/>
      <c r="H28" s="182"/>
      <c r="I28" s="182"/>
      <c r="J28" s="164"/>
      <c r="K28" s="164"/>
      <c r="L28" s="164"/>
      <c r="M28" s="164"/>
      <c r="N28" s="164"/>
      <c r="O28" s="164"/>
      <c r="P28" s="164"/>
      <c r="Q28" s="164"/>
      <c r="R28" s="164"/>
      <c r="S28" s="164"/>
      <c r="T28" s="164"/>
      <c r="U28" s="164"/>
    </row>
    <row r="29" spans="1:21">
      <c r="A29" s="182"/>
      <c r="B29" s="182"/>
      <c r="C29" s="182"/>
      <c r="D29" s="182"/>
      <c r="E29" s="182"/>
      <c r="F29" s="182"/>
      <c r="G29" s="182"/>
      <c r="H29" s="182"/>
      <c r="I29" s="182"/>
      <c r="J29" s="164"/>
      <c r="K29" s="164"/>
      <c r="L29" s="164"/>
      <c r="M29" s="164"/>
      <c r="N29" s="164"/>
      <c r="O29" s="164"/>
      <c r="P29" s="164"/>
      <c r="Q29" s="164"/>
      <c r="R29" s="164"/>
      <c r="S29" s="164"/>
      <c r="T29" s="164"/>
      <c r="U29" s="164"/>
    </row>
    <row r="30" spans="1:21">
      <c r="A30" s="182"/>
      <c r="B30" s="182"/>
      <c r="C30" s="182"/>
      <c r="D30" s="182"/>
      <c r="E30" s="182"/>
      <c r="F30" s="182"/>
      <c r="G30" s="182"/>
      <c r="H30" s="182"/>
      <c r="I30" s="182"/>
      <c r="J30" s="164"/>
      <c r="K30" s="164"/>
      <c r="L30" s="164"/>
      <c r="M30" s="164"/>
      <c r="N30" s="164"/>
      <c r="O30" s="164"/>
      <c r="P30" s="164"/>
      <c r="Q30" s="164"/>
      <c r="R30" s="164"/>
      <c r="S30" s="164"/>
      <c r="T30" s="164"/>
      <c r="U30" s="164"/>
    </row>
    <row r="31" spans="1:21">
      <c r="A31" s="182"/>
      <c r="B31" s="182"/>
      <c r="C31" s="182"/>
      <c r="D31" s="182"/>
      <c r="E31" s="182"/>
      <c r="F31" s="182"/>
      <c r="G31" s="182"/>
      <c r="H31" s="182"/>
      <c r="I31" s="182"/>
      <c r="J31" s="164"/>
      <c r="K31" s="164"/>
      <c r="L31" s="164"/>
      <c r="M31" s="164"/>
      <c r="N31" s="164"/>
      <c r="O31" s="164"/>
      <c r="P31" s="164"/>
      <c r="Q31" s="164"/>
      <c r="R31" s="164"/>
      <c r="S31" s="164"/>
      <c r="T31" s="164"/>
      <c r="U31" s="164"/>
    </row>
    <row r="32" spans="1:21">
      <c r="A32" s="182"/>
      <c r="B32" s="182"/>
      <c r="C32" s="182"/>
      <c r="D32" s="182"/>
      <c r="E32" s="182"/>
      <c r="F32" s="182"/>
      <c r="G32" s="182"/>
      <c r="H32" s="182"/>
      <c r="I32" s="182"/>
      <c r="J32" s="164"/>
      <c r="K32" s="164"/>
      <c r="L32" s="164"/>
      <c r="M32" s="164"/>
      <c r="N32" s="164"/>
      <c r="O32" s="164"/>
      <c r="P32" s="164"/>
      <c r="Q32" s="164"/>
      <c r="R32" s="164"/>
      <c r="S32" s="164"/>
      <c r="T32" s="164"/>
      <c r="U32" s="164"/>
    </row>
    <row r="33" spans="1:21">
      <c r="A33" s="182"/>
      <c r="B33" s="182"/>
      <c r="C33" s="182"/>
      <c r="D33" s="182"/>
      <c r="E33" s="182"/>
      <c r="F33" s="182"/>
      <c r="G33" s="182"/>
      <c r="H33" s="182"/>
      <c r="I33" s="182"/>
      <c r="J33" s="164"/>
      <c r="K33" s="164"/>
      <c r="L33" s="164"/>
      <c r="M33" s="164"/>
      <c r="N33" s="164"/>
      <c r="O33" s="164"/>
      <c r="P33" s="164"/>
      <c r="Q33" s="164"/>
      <c r="R33" s="164"/>
      <c r="S33" s="164"/>
      <c r="T33" s="164"/>
      <c r="U33" s="164"/>
    </row>
    <row r="34" spans="1:21">
      <c r="A34" s="182"/>
      <c r="B34" s="182"/>
      <c r="C34" s="182"/>
      <c r="D34" s="182"/>
      <c r="E34" s="182"/>
      <c r="F34" s="182"/>
      <c r="G34" s="182"/>
      <c r="H34" s="182"/>
      <c r="I34" s="182"/>
      <c r="J34" s="164"/>
      <c r="K34" s="164"/>
      <c r="L34" s="164"/>
      <c r="M34" s="164"/>
      <c r="N34" s="164"/>
      <c r="O34" s="164"/>
      <c r="P34" s="164"/>
      <c r="Q34" s="164"/>
      <c r="R34" s="164"/>
      <c r="S34" s="164"/>
      <c r="T34" s="164"/>
      <c r="U34" s="164"/>
    </row>
    <row r="35" spans="1:21">
      <c r="A35" s="182"/>
      <c r="B35" s="182"/>
      <c r="C35" s="182"/>
      <c r="D35" s="182"/>
      <c r="E35" s="182"/>
      <c r="F35" s="182"/>
      <c r="G35" s="182"/>
      <c r="H35" s="182"/>
      <c r="I35" s="182"/>
      <c r="J35" s="164"/>
      <c r="K35" s="164"/>
      <c r="L35" s="164"/>
      <c r="M35" s="164"/>
      <c r="N35" s="164"/>
      <c r="O35" s="164"/>
      <c r="P35" s="164"/>
      <c r="Q35" s="164"/>
      <c r="R35" s="164"/>
      <c r="S35" s="164"/>
      <c r="T35" s="164"/>
      <c r="U35" s="164"/>
    </row>
    <row r="36" spans="1:21">
      <c r="A36" s="182"/>
      <c r="B36" s="182"/>
      <c r="C36" s="182"/>
      <c r="D36" s="182"/>
      <c r="E36" s="182"/>
      <c r="F36" s="182"/>
      <c r="G36" s="182"/>
      <c r="H36" s="182"/>
      <c r="I36" s="182"/>
      <c r="J36" s="164"/>
      <c r="K36" s="164"/>
      <c r="L36" s="164"/>
      <c r="M36" s="164"/>
      <c r="N36" s="164"/>
      <c r="O36" s="164"/>
      <c r="P36" s="164"/>
      <c r="Q36" s="164"/>
      <c r="R36" s="164"/>
      <c r="S36" s="164"/>
      <c r="T36" s="164"/>
      <c r="U36" s="164"/>
    </row>
    <row r="37" spans="1:21">
      <c r="A37" s="182"/>
      <c r="B37" s="182"/>
      <c r="C37" s="182"/>
      <c r="D37" s="182"/>
      <c r="E37" s="182"/>
      <c r="F37" s="182"/>
      <c r="G37" s="182"/>
      <c r="H37" s="182"/>
      <c r="I37" s="182"/>
      <c r="J37" s="164"/>
      <c r="K37" s="164"/>
      <c r="L37" s="164"/>
      <c r="M37" s="164"/>
      <c r="N37" s="164"/>
      <c r="O37" s="164"/>
      <c r="P37" s="164"/>
      <c r="Q37" s="164"/>
      <c r="R37" s="164"/>
      <c r="S37" s="164"/>
      <c r="T37" s="164"/>
      <c r="U37" s="164"/>
    </row>
    <row r="38" spans="1:21">
      <c r="A38" s="182"/>
      <c r="B38" s="182"/>
      <c r="C38" s="182"/>
      <c r="D38" s="182"/>
      <c r="E38" s="182"/>
      <c r="F38" s="182"/>
      <c r="G38" s="182"/>
      <c r="H38" s="182"/>
      <c r="I38" s="182"/>
      <c r="J38" s="164"/>
      <c r="K38" s="164"/>
      <c r="L38" s="164"/>
      <c r="M38" s="164"/>
      <c r="N38" s="164"/>
      <c r="O38" s="164"/>
      <c r="P38" s="164"/>
      <c r="Q38" s="164"/>
      <c r="R38" s="164"/>
      <c r="S38" s="164"/>
      <c r="T38" s="164"/>
      <c r="U38" s="164"/>
    </row>
    <row r="39" spans="1:21">
      <c r="A39" s="182"/>
      <c r="B39" s="182"/>
      <c r="C39" s="182"/>
      <c r="D39" s="182"/>
      <c r="E39" s="182"/>
      <c r="F39" s="182"/>
      <c r="G39" s="182"/>
      <c r="H39" s="182"/>
      <c r="I39" s="182"/>
      <c r="J39" s="164"/>
      <c r="K39" s="164"/>
      <c r="L39" s="164"/>
      <c r="M39" s="164"/>
      <c r="N39" s="164"/>
      <c r="O39" s="164"/>
      <c r="P39" s="164"/>
      <c r="Q39" s="164"/>
      <c r="R39" s="164"/>
      <c r="S39" s="164"/>
      <c r="T39" s="164"/>
      <c r="U39" s="164"/>
    </row>
    <row r="40" spans="1:21">
      <c r="A40" s="182"/>
      <c r="B40" s="182"/>
      <c r="C40" s="182"/>
      <c r="D40" s="182"/>
      <c r="E40" s="182"/>
      <c r="F40" s="182"/>
      <c r="G40" s="182"/>
      <c r="H40" s="182"/>
      <c r="I40" s="182"/>
      <c r="J40" s="164"/>
      <c r="K40" s="164"/>
      <c r="L40" s="164"/>
      <c r="M40" s="164"/>
      <c r="N40" s="164"/>
      <c r="O40" s="164"/>
      <c r="P40" s="164"/>
      <c r="Q40" s="164"/>
      <c r="R40" s="164"/>
      <c r="S40" s="164"/>
      <c r="T40" s="164"/>
      <c r="U40" s="164"/>
    </row>
    <row r="41" spans="1:21">
      <c r="A41" s="182"/>
      <c r="B41" s="182"/>
      <c r="C41" s="182"/>
      <c r="D41" s="182"/>
      <c r="E41" s="182"/>
      <c r="F41" s="182"/>
      <c r="G41" s="182"/>
      <c r="H41" s="182"/>
      <c r="I41" s="182"/>
      <c r="J41" s="164"/>
      <c r="K41" s="164"/>
      <c r="L41" s="164"/>
      <c r="M41" s="164"/>
      <c r="N41" s="164"/>
      <c r="O41" s="164"/>
      <c r="P41" s="164"/>
      <c r="Q41" s="164"/>
      <c r="R41" s="164"/>
      <c r="S41" s="164"/>
      <c r="T41" s="164"/>
      <c r="U41" s="164"/>
    </row>
    <row r="42" spans="1:21">
      <c r="A42" s="182"/>
      <c r="B42" s="182"/>
      <c r="C42" s="182"/>
      <c r="D42" s="182"/>
      <c r="E42" s="182"/>
      <c r="F42" s="182"/>
      <c r="G42" s="182"/>
      <c r="H42" s="182"/>
      <c r="I42" s="182"/>
      <c r="J42" s="164"/>
      <c r="K42" s="164"/>
      <c r="L42" s="164"/>
      <c r="M42" s="164"/>
      <c r="N42" s="164"/>
      <c r="O42" s="164"/>
      <c r="P42" s="164"/>
      <c r="Q42" s="164"/>
      <c r="R42" s="164"/>
      <c r="S42" s="164"/>
      <c r="T42" s="164"/>
      <c r="U42" s="164"/>
    </row>
    <row r="43" spans="1:21">
      <c r="A43" s="182"/>
      <c r="B43" s="182"/>
      <c r="C43" s="182"/>
      <c r="D43" s="182"/>
      <c r="E43" s="182"/>
      <c r="F43" s="182"/>
      <c r="G43" s="182"/>
      <c r="H43" s="182"/>
      <c r="I43" s="182"/>
      <c r="J43" s="164"/>
      <c r="K43" s="164"/>
      <c r="L43" s="164"/>
      <c r="M43" s="164"/>
      <c r="N43" s="164"/>
      <c r="O43" s="164"/>
      <c r="P43" s="164"/>
      <c r="Q43" s="164"/>
      <c r="R43" s="164"/>
      <c r="S43" s="164"/>
      <c r="T43" s="164"/>
      <c r="U43" s="164"/>
    </row>
    <row r="44" spans="1:21">
      <c r="A44" s="182"/>
      <c r="B44" s="182"/>
      <c r="C44" s="182"/>
      <c r="D44" s="182"/>
      <c r="E44" s="182"/>
      <c r="F44" s="182"/>
      <c r="G44" s="182"/>
      <c r="H44" s="182"/>
      <c r="I44" s="182"/>
      <c r="J44" s="164"/>
      <c r="K44" s="164"/>
      <c r="L44" s="164"/>
      <c r="M44" s="164"/>
      <c r="N44" s="164"/>
      <c r="O44" s="164"/>
      <c r="P44" s="164"/>
      <c r="Q44" s="164"/>
      <c r="R44" s="164"/>
      <c r="S44" s="164"/>
      <c r="T44" s="164"/>
      <c r="U44" s="164"/>
    </row>
    <row r="45" spans="1:21">
      <c r="A45" s="182"/>
      <c r="B45" s="182"/>
      <c r="C45" s="182"/>
      <c r="D45" s="182"/>
      <c r="E45" s="182"/>
      <c r="F45" s="182"/>
      <c r="G45" s="182"/>
      <c r="H45" s="182"/>
      <c r="I45" s="182"/>
      <c r="J45" s="164"/>
      <c r="K45" s="164"/>
      <c r="L45" s="164"/>
      <c r="M45" s="164"/>
      <c r="N45" s="164"/>
      <c r="O45" s="164"/>
      <c r="P45" s="164"/>
      <c r="Q45" s="164"/>
      <c r="R45" s="164"/>
      <c r="S45" s="164"/>
      <c r="T45" s="164"/>
      <c r="U45" s="164"/>
    </row>
    <row r="46" spans="1:21">
      <c r="A46" s="182"/>
      <c r="B46" s="182"/>
      <c r="C46" s="182"/>
      <c r="D46" s="182"/>
      <c r="E46" s="182"/>
      <c r="F46" s="182"/>
      <c r="G46" s="182"/>
      <c r="H46" s="182"/>
      <c r="I46" s="182"/>
      <c r="J46" s="164"/>
      <c r="K46" s="164"/>
      <c r="L46" s="164"/>
      <c r="M46" s="164"/>
      <c r="N46" s="164"/>
      <c r="O46" s="164"/>
      <c r="P46" s="164"/>
      <c r="Q46" s="164"/>
      <c r="R46" s="164"/>
      <c r="S46" s="164"/>
      <c r="T46" s="164"/>
      <c r="U46" s="164"/>
    </row>
    <row r="47" spans="1:21">
      <c r="A47" s="182"/>
      <c r="B47" s="182"/>
      <c r="C47" s="182"/>
      <c r="D47" s="182"/>
      <c r="E47" s="182"/>
      <c r="F47" s="182"/>
      <c r="G47" s="182"/>
      <c r="H47" s="182"/>
      <c r="I47" s="182"/>
      <c r="J47" s="164"/>
      <c r="K47" s="164"/>
      <c r="L47" s="164"/>
      <c r="M47" s="164"/>
      <c r="N47" s="164"/>
      <c r="O47" s="164"/>
      <c r="P47" s="164"/>
      <c r="Q47" s="164"/>
      <c r="R47" s="164"/>
      <c r="S47" s="164"/>
      <c r="T47" s="164"/>
      <c r="U47" s="164"/>
    </row>
    <row r="48" spans="1:21">
      <c r="A48" s="182"/>
      <c r="B48" s="182"/>
      <c r="C48" s="182"/>
      <c r="D48" s="182"/>
      <c r="E48" s="182"/>
      <c r="F48" s="182"/>
      <c r="G48" s="182"/>
      <c r="H48" s="182"/>
      <c r="I48" s="182"/>
      <c r="J48" s="164"/>
      <c r="K48" s="164"/>
      <c r="L48" s="164"/>
      <c r="M48" s="164"/>
      <c r="N48" s="164"/>
      <c r="O48" s="164"/>
      <c r="P48" s="164"/>
      <c r="Q48" s="164"/>
      <c r="R48" s="164"/>
      <c r="S48" s="164"/>
      <c r="T48" s="164"/>
      <c r="U48" s="164"/>
    </row>
    <row r="49" spans="1:21">
      <c r="A49" s="182"/>
      <c r="B49" s="182"/>
      <c r="C49" s="182"/>
      <c r="D49" s="182"/>
      <c r="E49" s="182"/>
      <c r="F49" s="182"/>
      <c r="G49" s="182"/>
      <c r="H49" s="182"/>
      <c r="I49" s="182"/>
      <c r="J49" s="164"/>
      <c r="K49" s="164"/>
      <c r="L49" s="164"/>
      <c r="M49" s="164"/>
      <c r="N49" s="164"/>
      <c r="O49" s="164"/>
      <c r="P49" s="164"/>
      <c r="Q49" s="164"/>
      <c r="R49" s="164"/>
      <c r="S49" s="164"/>
      <c r="T49" s="164"/>
      <c r="U49" s="164"/>
    </row>
    <row r="50" spans="1:21">
      <c r="A50" s="182"/>
      <c r="B50" s="182"/>
      <c r="C50" s="182"/>
      <c r="D50" s="182"/>
      <c r="E50" s="182"/>
      <c r="F50" s="182"/>
      <c r="G50" s="182"/>
      <c r="H50" s="182"/>
      <c r="I50" s="182"/>
      <c r="J50" s="164"/>
      <c r="K50" s="164"/>
      <c r="L50" s="164"/>
      <c r="M50" s="164"/>
      <c r="N50" s="164"/>
      <c r="O50" s="164"/>
      <c r="P50" s="164"/>
      <c r="Q50" s="164"/>
      <c r="R50" s="164"/>
      <c r="S50" s="164"/>
      <c r="T50" s="164"/>
      <c r="U50" s="164"/>
    </row>
    <row r="51" spans="1:21">
      <c r="A51" s="182"/>
      <c r="B51" s="182"/>
      <c r="C51" s="182"/>
      <c r="D51" s="182"/>
      <c r="E51" s="182"/>
      <c r="F51" s="182"/>
      <c r="G51" s="182"/>
      <c r="H51" s="182"/>
      <c r="I51" s="182"/>
      <c r="J51" s="164"/>
      <c r="K51" s="164"/>
      <c r="L51" s="164"/>
      <c r="M51" s="164"/>
      <c r="N51" s="164"/>
      <c r="O51" s="164"/>
      <c r="P51" s="164"/>
      <c r="Q51" s="164"/>
      <c r="R51" s="164"/>
      <c r="S51" s="164"/>
      <c r="T51" s="164"/>
      <c r="U51" s="164"/>
    </row>
    <row r="52" spans="1:21">
      <c r="A52" s="182"/>
      <c r="B52" s="182"/>
      <c r="C52" s="182"/>
      <c r="D52" s="182"/>
      <c r="E52" s="182"/>
      <c r="F52" s="182"/>
      <c r="G52" s="182"/>
      <c r="H52" s="182"/>
      <c r="I52" s="182"/>
      <c r="J52" s="164"/>
      <c r="K52" s="164"/>
      <c r="L52" s="164"/>
      <c r="M52" s="164"/>
      <c r="N52" s="164"/>
      <c r="O52" s="164"/>
      <c r="P52" s="164"/>
      <c r="Q52" s="164"/>
      <c r="R52" s="164"/>
      <c r="S52" s="164"/>
      <c r="T52" s="164"/>
      <c r="U52" s="164"/>
    </row>
    <row r="53" spans="1:21">
      <c r="A53" s="182"/>
      <c r="B53" s="182"/>
      <c r="C53" s="182"/>
      <c r="D53" s="182"/>
      <c r="E53" s="182"/>
      <c r="F53" s="182"/>
      <c r="G53" s="182"/>
      <c r="H53" s="182"/>
      <c r="I53" s="182"/>
      <c r="J53" s="164"/>
      <c r="K53" s="164"/>
      <c r="L53" s="164"/>
      <c r="M53" s="164"/>
      <c r="N53" s="164"/>
      <c r="O53" s="164"/>
      <c r="P53" s="164"/>
      <c r="Q53" s="164"/>
      <c r="R53" s="164"/>
      <c r="S53" s="164"/>
      <c r="T53" s="164"/>
      <c r="U53" s="164"/>
    </row>
    <row r="54" spans="1:21">
      <c r="A54" s="182"/>
      <c r="B54" s="182"/>
      <c r="C54" s="182"/>
      <c r="D54" s="182"/>
      <c r="E54" s="182"/>
      <c r="F54" s="182"/>
      <c r="G54" s="182"/>
      <c r="H54" s="182"/>
      <c r="I54" s="182"/>
      <c r="J54" s="164"/>
      <c r="K54" s="164"/>
      <c r="L54" s="164"/>
      <c r="M54" s="164"/>
      <c r="N54" s="164"/>
      <c r="O54" s="164"/>
      <c r="P54" s="164"/>
      <c r="Q54" s="164"/>
      <c r="R54" s="164"/>
      <c r="S54" s="164"/>
      <c r="T54" s="164"/>
      <c r="U54" s="164"/>
    </row>
    <row r="55" spans="1:21">
      <c r="A55" s="182"/>
      <c r="B55" s="182"/>
      <c r="C55" s="182"/>
      <c r="D55" s="182"/>
      <c r="E55" s="182"/>
      <c r="F55" s="182"/>
      <c r="G55" s="182"/>
      <c r="H55" s="182"/>
      <c r="I55" s="182"/>
      <c r="J55" s="164"/>
      <c r="K55" s="164"/>
      <c r="L55" s="164"/>
      <c r="M55" s="164"/>
      <c r="N55" s="164"/>
      <c r="O55" s="164"/>
      <c r="P55" s="164"/>
      <c r="Q55" s="164"/>
      <c r="R55" s="164"/>
      <c r="S55" s="164"/>
      <c r="T55" s="164"/>
      <c r="U55" s="164"/>
    </row>
    <row r="56" spans="1:21">
      <c r="A56" s="182"/>
      <c r="B56" s="182"/>
      <c r="C56" s="182"/>
      <c r="D56" s="182"/>
      <c r="E56" s="182"/>
      <c r="F56" s="182"/>
      <c r="G56" s="182"/>
      <c r="H56" s="182"/>
      <c r="I56" s="182"/>
      <c r="J56" s="164"/>
      <c r="K56" s="164"/>
      <c r="L56" s="164"/>
      <c r="M56" s="164"/>
      <c r="N56" s="164"/>
      <c r="O56" s="164"/>
      <c r="P56" s="164"/>
      <c r="Q56" s="164"/>
      <c r="R56" s="164"/>
      <c r="S56" s="164"/>
      <c r="T56" s="164"/>
      <c r="U56" s="164"/>
    </row>
    <row r="57" spans="1:21">
      <c r="A57" s="182"/>
      <c r="B57" s="182"/>
      <c r="C57" s="182"/>
      <c r="D57" s="182"/>
      <c r="E57" s="182"/>
      <c r="F57" s="182"/>
      <c r="G57" s="182"/>
      <c r="H57" s="182"/>
      <c r="I57" s="182"/>
      <c r="J57" s="164"/>
      <c r="K57" s="164"/>
      <c r="L57" s="164"/>
      <c r="M57" s="164"/>
      <c r="N57" s="164"/>
      <c r="O57" s="164"/>
      <c r="P57" s="164"/>
      <c r="Q57" s="164"/>
      <c r="R57" s="164"/>
      <c r="S57" s="164"/>
      <c r="T57" s="164"/>
      <c r="U57" s="164"/>
    </row>
    <row r="58" spans="1:21">
      <c r="A58" s="182"/>
      <c r="B58" s="182"/>
      <c r="C58" s="182"/>
      <c r="D58" s="182"/>
      <c r="E58" s="182"/>
      <c r="F58" s="182"/>
      <c r="G58" s="182"/>
      <c r="H58" s="182"/>
      <c r="I58" s="182"/>
      <c r="J58" s="164"/>
      <c r="K58" s="164"/>
      <c r="L58" s="164"/>
      <c r="M58" s="164"/>
      <c r="N58" s="164"/>
      <c r="O58" s="164"/>
      <c r="P58" s="164"/>
      <c r="Q58" s="164"/>
      <c r="R58" s="164"/>
      <c r="S58" s="164"/>
      <c r="T58" s="164"/>
      <c r="U58" s="164"/>
    </row>
    <row r="59" spans="1:21">
      <c r="A59" s="182"/>
      <c r="B59" s="182"/>
      <c r="C59" s="182"/>
      <c r="D59" s="182"/>
      <c r="E59" s="182"/>
      <c r="F59" s="182"/>
      <c r="G59" s="182"/>
      <c r="H59" s="182"/>
      <c r="I59" s="182"/>
    </row>
    <row r="60" spans="1:21">
      <c r="A60" s="182"/>
      <c r="B60" s="182"/>
      <c r="C60" s="182"/>
      <c r="D60" s="182"/>
      <c r="E60" s="182"/>
      <c r="F60" s="182"/>
      <c r="G60" s="182"/>
      <c r="H60" s="182"/>
      <c r="I60" s="182"/>
    </row>
    <row r="61" spans="1:21">
      <c r="A61" s="182"/>
      <c r="B61" s="182"/>
      <c r="C61" s="182"/>
      <c r="D61" s="182"/>
      <c r="E61" s="182"/>
      <c r="F61" s="182"/>
      <c r="G61" s="182"/>
      <c r="H61" s="182"/>
      <c r="I61" s="182"/>
    </row>
    <row r="62" spans="1:21">
      <c r="A62" s="182"/>
      <c r="B62" s="182"/>
      <c r="C62" s="182"/>
      <c r="D62" s="182"/>
      <c r="E62" s="182"/>
      <c r="F62" s="182"/>
      <c r="G62" s="182"/>
      <c r="H62" s="182"/>
      <c r="I62" s="182"/>
    </row>
    <row r="63" spans="1:21">
      <c r="A63" s="182"/>
      <c r="B63" s="182"/>
      <c r="C63" s="182"/>
      <c r="D63" s="182"/>
      <c r="E63" s="182"/>
      <c r="F63" s="182"/>
      <c r="G63" s="182"/>
      <c r="H63" s="182"/>
      <c r="I63" s="182"/>
    </row>
    <row r="64" spans="1:21">
      <c r="A64" s="182"/>
      <c r="B64" s="182"/>
      <c r="C64" s="182"/>
      <c r="D64" s="182"/>
      <c r="E64" s="182"/>
      <c r="F64" s="182"/>
      <c r="G64" s="182"/>
      <c r="H64" s="182"/>
      <c r="I64" s="182"/>
    </row>
    <row r="65" spans="1:9">
      <c r="A65" s="182"/>
      <c r="B65" s="182"/>
      <c r="C65" s="182"/>
      <c r="D65" s="182"/>
      <c r="E65" s="182"/>
      <c r="F65" s="182"/>
      <c r="G65" s="182"/>
      <c r="H65" s="182"/>
      <c r="I65" s="182"/>
    </row>
    <row r="66" spans="1:9">
      <c r="A66" s="182"/>
      <c r="B66" s="182"/>
      <c r="C66" s="182"/>
      <c r="D66" s="182"/>
      <c r="E66" s="182"/>
      <c r="F66" s="182"/>
      <c r="G66" s="182"/>
      <c r="H66" s="182"/>
      <c r="I66" s="182"/>
    </row>
    <row r="67" spans="1:9">
      <c r="A67" s="182"/>
      <c r="B67" s="182"/>
      <c r="C67" s="182"/>
      <c r="D67" s="182"/>
      <c r="E67" s="182"/>
      <c r="F67" s="182"/>
      <c r="G67" s="182"/>
      <c r="H67" s="182"/>
      <c r="I67" s="182"/>
    </row>
    <row r="68" spans="1:9">
      <c r="A68" s="182"/>
      <c r="B68" s="182"/>
      <c r="C68" s="182"/>
      <c r="D68" s="182"/>
      <c r="E68" s="182"/>
      <c r="F68" s="182"/>
      <c r="G68" s="182"/>
      <c r="H68" s="182"/>
      <c r="I68" s="182"/>
    </row>
    <row r="69" spans="1:9">
      <c r="A69" s="182"/>
      <c r="B69" s="182"/>
      <c r="C69" s="182"/>
      <c r="D69" s="182"/>
      <c r="E69" s="182"/>
      <c r="F69" s="182"/>
      <c r="G69" s="182"/>
      <c r="H69" s="182"/>
      <c r="I69" s="182"/>
    </row>
    <row r="70" spans="1:9">
      <c r="A70" s="182"/>
      <c r="B70" s="182"/>
      <c r="C70" s="182"/>
      <c r="D70" s="182"/>
      <c r="E70" s="182"/>
      <c r="F70" s="182"/>
      <c r="G70" s="182"/>
      <c r="H70" s="182"/>
      <c r="I70" s="182"/>
    </row>
    <row r="71" spans="1:9">
      <c r="A71" s="182"/>
      <c r="B71" s="182"/>
      <c r="C71" s="182"/>
      <c r="D71" s="182"/>
      <c r="E71" s="182"/>
      <c r="F71" s="182"/>
      <c r="G71" s="182"/>
      <c r="H71" s="182"/>
      <c r="I71" s="182"/>
    </row>
    <row r="72" spans="1:9">
      <c r="A72" s="182"/>
      <c r="B72" s="182"/>
      <c r="C72" s="182"/>
      <c r="D72" s="182"/>
      <c r="E72" s="182"/>
      <c r="F72" s="182"/>
      <c r="G72" s="182"/>
      <c r="H72" s="182"/>
      <c r="I72" s="182"/>
    </row>
    <row r="73" spans="1:9">
      <c r="A73" s="182"/>
      <c r="B73" s="182"/>
      <c r="C73" s="182"/>
      <c r="D73" s="182"/>
      <c r="E73" s="182"/>
      <c r="F73" s="182"/>
      <c r="G73" s="182"/>
      <c r="H73" s="182"/>
      <c r="I73" s="182"/>
    </row>
    <row r="74" spans="1:9">
      <c r="A74" s="182"/>
      <c r="B74" s="182"/>
      <c r="C74" s="182"/>
      <c r="D74" s="182"/>
      <c r="E74" s="182"/>
      <c r="F74" s="182"/>
      <c r="G74" s="182"/>
      <c r="H74" s="182"/>
      <c r="I74" s="182"/>
    </row>
    <row r="75" spans="1:9">
      <c r="A75" s="182"/>
      <c r="B75" s="182"/>
      <c r="C75" s="182"/>
      <c r="D75" s="182"/>
      <c r="E75" s="182"/>
      <c r="F75" s="182"/>
      <c r="G75" s="182"/>
      <c r="H75" s="182"/>
      <c r="I75" s="182"/>
    </row>
    <row r="76" spans="1:9">
      <c r="A76" s="182"/>
      <c r="B76" s="182"/>
      <c r="C76" s="182"/>
      <c r="D76" s="182"/>
      <c r="E76" s="182"/>
      <c r="F76" s="182"/>
      <c r="G76" s="182"/>
      <c r="H76" s="182"/>
      <c r="I76" s="182"/>
    </row>
    <row r="77" spans="1:9">
      <c r="A77" s="182"/>
      <c r="B77" s="182"/>
      <c r="C77" s="182"/>
      <c r="D77" s="182"/>
      <c r="E77" s="182"/>
      <c r="F77" s="182"/>
      <c r="G77" s="182"/>
      <c r="H77" s="182"/>
      <c r="I77" s="182"/>
    </row>
    <row r="78" spans="1:9">
      <c r="A78" s="182"/>
      <c r="B78" s="182"/>
      <c r="C78" s="182"/>
      <c r="D78" s="182"/>
      <c r="E78" s="182"/>
      <c r="F78" s="182"/>
      <c r="G78" s="182"/>
      <c r="H78" s="182"/>
      <c r="I78" s="182"/>
    </row>
    <row r="79" spans="1:9">
      <c r="A79" s="182"/>
      <c r="B79" s="182"/>
      <c r="C79" s="182"/>
      <c r="D79" s="182"/>
      <c r="E79" s="182"/>
      <c r="F79" s="182"/>
      <c r="G79" s="182"/>
      <c r="H79" s="182"/>
      <c r="I79" s="182"/>
    </row>
    <row r="80" spans="1:9">
      <c r="A80" s="182"/>
      <c r="B80" s="182"/>
      <c r="C80" s="182"/>
      <c r="D80" s="182"/>
      <c r="E80" s="182"/>
      <c r="F80" s="182"/>
      <c r="G80" s="182"/>
      <c r="H80" s="182"/>
      <c r="I80" s="182"/>
    </row>
    <row r="81" spans="1:9">
      <c r="A81" s="182"/>
      <c r="B81" s="182"/>
      <c r="C81" s="182"/>
      <c r="D81" s="182"/>
      <c r="E81" s="182"/>
      <c r="F81" s="182"/>
      <c r="G81" s="182"/>
      <c r="H81" s="182"/>
      <c r="I81" s="182"/>
    </row>
    <row r="82" spans="1:9">
      <c r="A82" s="182"/>
      <c r="B82" s="182"/>
      <c r="C82" s="182"/>
      <c r="D82" s="182"/>
      <c r="E82" s="182"/>
      <c r="F82" s="182"/>
      <c r="G82" s="182"/>
      <c r="H82" s="182"/>
      <c r="I82" s="182"/>
    </row>
    <row r="83" spans="1:9">
      <c r="A83" s="182"/>
      <c r="B83" s="182"/>
      <c r="C83" s="182"/>
      <c r="D83" s="182"/>
      <c r="E83" s="182"/>
      <c r="F83" s="182"/>
      <c r="G83" s="182"/>
      <c r="H83" s="182"/>
      <c r="I83" s="182"/>
    </row>
    <row r="84" spans="1:9">
      <c r="A84" s="182"/>
      <c r="B84" s="182"/>
      <c r="C84" s="182"/>
      <c r="D84" s="182"/>
      <c r="E84" s="182"/>
      <c r="F84" s="182"/>
      <c r="G84" s="182"/>
      <c r="H84" s="182"/>
      <c r="I84" s="182"/>
    </row>
    <row r="85" spans="1:9">
      <c r="A85" s="182"/>
      <c r="B85" s="182"/>
      <c r="C85" s="182"/>
      <c r="D85" s="182"/>
      <c r="E85" s="182"/>
      <c r="F85" s="182"/>
      <c r="G85" s="182"/>
      <c r="H85" s="182"/>
      <c r="I85" s="182"/>
    </row>
    <row r="86" spans="1:9">
      <c r="A86" s="182"/>
      <c r="B86" s="182"/>
      <c r="C86" s="182"/>
      <c r="D86" s="182"/>
      <c r="E86" s="182"/>
      <c r="F86" s="182"/>
      <c r="G86" s="182"/>
      <c r="H86" s="182"/>
      <c r="I86" s="182"/>
    </row>
    <row r="87" spans="1:9">
      <c r="A87" s="182"/>
      <c r="B87" s="182"/>
      <c r="C87" s="182"/>
      <c r="D87" s="182"/>
      <c r="E87" s="182"/>
      <c r="F87" s="182"/>
      <c r="G87" s="182"/>
      <c r="H87" s="182"/>
      <c r="I87" s="182"/>
    </row>
    <row r="88" spans="1:9">
      <c r="A88" s="182"/>
      <c r="B88" s="182"/>
      <c r="C88" s="182"/>
      <c r="D88" s="182"/>
      <c r="E88" s="182"/>
      <c r="F88" s="182"/>
      <c r="G88" s="182"/>
      <c r="H88" s="182"/>
      <c r="I88" s="182"/>
    </row>
    <row r="89" spans="1:9">
      <c r="A89" s="182"/>
      <c r="B89" s="182"/>
      <c r="C89" s="182"/>
      <c r="D89" s="182"/>
      <c r="E89" s="182"/>
      <c r="F89" s="182"/>
      <c r="G89" s="182"/>
      <c r="H89" s="182"/>
      <c r="I89" s="182"/>
    </row>
    <row r="90" spans="1:9">
      <c r="A90" s="182"/>
      <c r="B90" s="182"/>
      <c r="C90" s="182"/>
      <c r="D90" s="182"/>
      <c r="E90" s="182"/>
      <c r="F90" s="182"/>
      <c r="G90" s="182"/>
      <c r="H90" s="182"/>
      <c r="I90" s="182"/>
    </row>
    <row r="91" spans="1:9">
      <c r="A91" s="182"/>
      <c r="B91" s="182"/>
      <c r="C91" s="182"/>
      <c r="D91" s="182"/>
      <c r="E91" s="182"/>
      <c r="F91" s="182"/>
      <c r="G91" s="182"/>
      <c r="H91" s="182"/>
      <c r="I91" s="182"/>
    </row>
    <row r="92" spans="1:9">
      <c r="A92" s="182"/>
      <c r="B92" s="182"/>
      <c r="C92" s="182"/>
      <c r="D92" s="182"/>
      <c r="E92" s="182"/>
      <c r="F92" s="182"/>
      <c r="G92" s="182"/>
      <c r="H92" s="182"/>
      <c r="I92" s="182"/>
    </row>
    <row r="93" spans="1:9">
      <c r="A93" s="182"/>
      <c r="B93" s="182"/>
      <c r="C93" s="182"/>
      <c r="D93" s="182"/>
      <c r="E93" s="182"/>
      <c r="F93" s="182"/>
      <c r="G93" s="182"/>
      <c r="H93" s="182"/>
      <c r="I93" s="182"/>
    </row>
    <row r="94" spans="1:9">
      <c r="A94" s="182"/>
      <c r="B94" s="182"/>
      <c r="C94" s="182"/>
      <c r="D94" s="182"/>
      <c r="E94" s="182"/>
      <c r="F94" s="182"/>
      <c r="G94" s="182"/>
      <c r="H94" s="182"/>
      <c r="I94" s="182"/>
    </row>
    <row r="95" spans="1:9">
      <c r="A95" s="182"/>
      <c r="B95" s="182"/>
      <c r="C95" s="182"/>
      <c r="D95" s="182"/>
      <c r="E95" s="182"/>
      <c r="F95" s="182"/>
      <c r="G95" s="182"/>
      <c r="H95" s="182"/>
      <c r="I95" s="182"/>
    </row>
    <row r="96" spans="1:9">
      <c r="A96" s="182"/>
      <c r="B96" s="182"/>
      <c r="C96" s="182"/>
      <c r="D96" s="182"/>
      <c r="E96" s="182"/>
      <c r="F96" s="182"/>
      <c r="G96" s="182"/>
      <c r="H96" s="182"/>
      <c r="I96" s="182"/>
    </row>
    <row r="97" spans="1:9">
      <c r="A97" s="182"/>
      <c r="B97" s="182"/>
      <c r="C97" s="182"/>
      <c r="D97" s="182"/>
      <c r="E97" s="182"/>
      <c r="F97" s="182"/>
      <c r="G97" s="182"/>
      <c r="H97" s="182"/>
      <c r="I97" s="182"/>
    </row>
    <row r="98" spans="1:9">
      <c r="A98" s="182"/>
      <c r="B98" s="182"/>
      <c r="C98" s="182"/>
      <c r="D98" s="182"/>
      <c r="E98" s="182"/>
      <c r="F98" s="182"/>
      <c r="G98" s="182"/>
      <c r="H98" s="182"/>
      <c r="I98" s="182"/>
    </row>
    <row r="99" spans="1:9">
      <c r="A99" s="182"/>
      <c r="B99" s="182"/>
      <c r="C99" s="182"/>
      <c r="D99" s="182"/>
      <c r="E99" s="182"/>
      <c r="F99" s="182"/>
      <c r="G99" s="182"/>
      <c r="H99" s="182"/>
      <c r="I99" s="182"/>
    </row>
    <row r="100" spans="1:9">
      <c r="A100" s="182"/>
      <c r="B100" s="182"/>
      <c r="C100" s="182"/>
      <c r="D100" s="182"/>
      <c r="E100" s="182"/>
      <c r="F100" s="182"/>
      <c r="G100" s="182"/>
      <c r="H100" s="182"/>
      <c r="I100" s="182"/>
    </row>
    <row r="101" spans="1:9">
      <c r="A101" s="182"/>
      <c r="B101" s="182"/>
      <c r="C101" s="182"/>
      <c r="D101" s="182"/>
      <c r="E101" s="182"/>
      <c r="F101" s="182"/>
      <c r="G101" s="182"/>
      <c r="H101" s="182"/>
      <c r="I101" s="182"/>
    </row>
    <row r="102" spans="1:9">
      <c r="A102" s="182"/>
      <c r="B102" s="182"/>
      <c r="C102" s="182"/>
      <c r="D102" s="182"/>
      <c r="E102" s="182"/>
      <c r="F102" s="182"/>
      <c r="G102" s="182"/>
      <c r="H102" s="182"/>
      <c r="I102" s="182"/>
    </row>
    <row r="103" spans="1:9">
      <c r="A103" s="182"/>
      <c r="B103" s="182"/>
      <c r="C103" s="182"/>
      <c r="D103" s="182"/>
      <c r="E103" s="182"/>
      <c r="F103" s="182"/>
      <c r="G103" s="182"/>
      <c r="H103" s="182"/>
      <c r="I103" s="182"/>
    </row>
    <row r="104" spans="1:9">
      <c r="A104" s="182"/>
      <c r="B104" s="182"/>
      <c r="C104" s="182"/>
      <c r="D104" s="182"/>
      <c r="E104" s="182"/>
      <c r="F104" s="182"/>
      <c r="G104" s="182"/>
      <c r="H104" s="182"/>
      <c r="I104" s="182"/>
    </row>
    <row r="105" spans="1:9">
      <c r="A105" s="182"/>
      <c r="B105" s="182"/>
      <c r="C105" s="182"/>
      <c r="D105" s="182"/>
      <c r="E105" s="182"/>
      <c r="F105" s="182"/>
      <c r="G105" s="182"/>
      <c r="H105" s="182"/>
      <c r="I105" s="182"/>
    </row>
    <row r="106" spans="1:9">
      <c r="A106" s="182"/>
      <c r="B106" s="182"/>
      <c r="C106" s="182"/>
      <c r="D106" s="182"/>
      <c r="E106" s="182"/>
      <c r="F106" s="182"/>
      <c r="G106" s="182"/>
      <c r="H106" s="182"/>
      <c r="I106" s="182"/>
    </row>
    <row r="107" spans="1:9">
      <c r="A107" s="182"/>
      <c r="B107" s="182"/>
      <c r="C107" s="182"/>
      <c r="D107" s="182"/>
      <c r="E107" s="182"/>
      <c r="F107" s="182"/>
      <c r="G107" s="182"/>
      <c r="H107" s="182"/>
      <c r="I107" s="182"/>
    </row>
    <row r="108" spans="1:9">
      <c r="A108" s="182"/>
      <c r="B108" s="182"/>
      <c r="C108" s="182"/>
      <c r="D108" s="182"/>
      <c r="E108" s="182"/>
      <c r="F108" s="182"/>
      <c r="G108" s="182"/>
      <c r="H108" s="182"/>
      <c r="I108" s="182"/>
    </row>
    <row r="109" spans="1:9">
      <c r="A109" s="182"/>
      <c r="B109" s="182"/>
      <c r="C109" s="182"/>
      <c r="D109" s="182"/>
      <c r="E109" s="182"/>
      <c r="F109" s="182"/>
      <c r="G109" s="182"/>
      <c r="H109" s="182"/>
      <c r="I109" s="182"/>
    </row>
    <row r="110" spans="1:9">
      <c r="A110" s="182"/>
      <c r="B110" s="182"/>
      <c r="C110" s="182"/>
      <c r="D110" s="182"/>
      <c r="E110" s="182"/>
      <c r="F110" s="182"/>
      <c r="G110" s="182"/>
      <c r="H110" s="182"/>
      <c r="I110" s="182"/>
    </row>
    <row r="111" spans="1:9">
      <c r="A111" s="182"/>
      <c r="B111" s="182"/>
      <c r="C111" s="182"/>
      <c r="D111" s="182"/>
      <c r="E111" s="182"/>
      <c r="F111" s="182"/>
      <c r="G111" s="182"/>
      <c r="H111" s="182"/>
      <c r="I111" s="182"/>
    </row>
    <row r="112" spans="1:9">
      <c r="A112" s="182"/>
      <c r="B112" s="182"/>
      <c r="C112" s="182"/>
      <c r="D112" s="182"/>
      <c r="E112" s="182"/>
      <c r="F112" s="182"/>
      <c r="G112" s="182"/>
      <c r="H112" s="182"/>
      <c r="I112" s="182"/>
    </row>
    <row r="113" spans="1:9">
      <c r="A113" s="182"/>
      <c r="B113" s="182"/>
      <c r="C113" s="182"/>
      <c r="D113" s="182"/>
      <c r="E113" s="182"/>
      <c r="F113" s="182"/>
      <c r="G113" s="182"/>
      <c r="H113" s="182"/>
      <c r="I113" s="182"/>
    </row>
    <row r="114" spans="1:9">
      <c r="A114" s="182"/>
      <c r="B114" s="182"/>
      <c r="C114" s="182"/>
      <c r="D114" s="182"/>
      <c r="E114" s="182"/>
      <c r="F114" s="182"/>
      <c r="G114" s="182"/>
      <c r="H114" s="182"/>
      <c r="I114" s="182"/>
    </row>
    <row r="115" spans="1:9">
      <c r="A115" s="182"/>
      <c r="B115" s="182"/>
      <c r="C115" s="182"/>
      <c r="D115" s="182"/>
      <c r="E115" s="182"/>
      <c r="F115" s="182"/>
      <c r="G115" s="182"/>
      <c r="H115" s="182"/>
      <c r="I115" s="182"/>
    </row>
    <row r="116" spans="1:9">
      <c r="A116" s="182"/>
      <c r="B116" s="182"/>
      <c r="C116" s="182"/>
      <c r="D116" s="182"/>
      <c r="E116" s="182"/>
      <c r="F116" s="182"/>
      <c r="G116" s="182"/>
      <c r="H116" s="182"/>
      <c r="I116" s="182"/>
    </row>
    <row r="117" spans="1:9">
      <c r="A117" s="182"/>
      <c r="B117" s="182"/>
      <c r="C117" s="182"/>
      <c r="D117" s="182"/>
      <c r="E117" s="182"/>
      <c r="F117" s="182"/>
      <c r="G117" s="182"/>
      <c r="H117" s="182"/>
      <c r="I117" s="182"/>
    </row>
    <row r="118" spans="1:9">
      <c r="A118" s="182"/>
      <c r="B118" s="182"/>
      <c r="C118" s="182"/>
      <c r="D118" s="182"/>
      <c r="E118" s="182"/>
      <c r="F118" s="182"/>
      <c r="G118" s="182"/>
      <c r="H118" s="182"/>
      <c r="I118" s="182"/>
    </row>
    <row r="119" spans="1:9">
      <c r="A119" s="182"/>
      <c r="B119" s="182"/>
      <c r="C119" s="182"/>
      <c r="D119" s="182"/>
      <c r="E119" s="182"/>
      <c r="F119" s="182"/>
      <c r="G119" s="182"/>
      <c r="H119" s="182"/>
      <c r="I119" s="182"/>
    </row>
    <row r="120" spans="1:9">
      <c r="A120" s="182"/>
      <c r="B120" s="182"/>
      <c r="C120" s="182"/>
      <c r="D120" s="182"/>
      <c r="E120" s="182"/>
      <c r="F120" s="182"/>
      <c r="G120" s="182"/>
      <c r="H120" s="182"/>
      <c r="I120" s="182"/>
    </row>
    <row r="121" spans="1:9">
      <c r="A121" s="182"/>
      <c r="B121" s="182"/>
      <c r="C121" s="182"/>
      <c r="D121" s="182"/>
      <c r="E121" s="182"/>
      <c r="F121" s="182"/>
      <c r="G121" s="182"/>
      <c r="H121" s="182"/>
      <c r="I121" s="182"/>
    </row>
    <row r="122" spans="1:9">
      <c r="A122" s="182"/>
      <c r="B122" s="182"/>
      <c r="C122" s="182"/>
      <c r="D122" s="182"/>
      <c r="E122" s="182"/>
      <c r="F122" s="182"/>
      <c r="G122" s="182"/>
      <c r="H122" s="182"/>
      <c r="I122" s="182"/>
    </row>
    <row r="123" spans="1:9">
      <c r="A123" s="182"/>
      <c r="B123" s="182"/>
      <c r="C123" s="182"/>
      <c r="D123" s="182"/>
      <c r="E123" s="182"/>
      <c r="F123" s="182"/>
      <c r="G123" s="182"/>
      <c r="H123" s="182"/>
      <c r="I123" s="182"/>
    </row>
    <row r="124" spans="1:9">
      <c r="A124" s="182"/>
      <c r="B124" s="182"/>
      <c r="C124" s="182"/>
      <c r="D124" s="182"/>
      <c r="E124" s="182"/>
      <c r="F124" s="182"/>
      <c r="G124" s="182"/>
      <c r="H124" s="182"/>
      <c r="I124" s="182"/>
    </row>
    <row r="125" spans="1:9">
      <c r="A125" s="182"/>
      <c r="B125" s="182"/>
      <c r="C125" s="182"/>
      <c r="D125" s="182"/>
      <c r="E125" s="182"/>
      <c r="F125" s="182"/>
      <c r="G125" s="182"/>
      <c r="H125" s="182"/>
      <c r="I125" s="182"/>
    </row>
    <row r="126" spans="1:9">
      <c r="A126" s="182"/>
      <c r="B126" s="182"/>
      <c r="C126" s="182"/>
      <c r="D126" s="182"/>
      <c r="E126" s="182"/>
      <c r="F126" s="182"/>
      <c r="G126" s="182"/>
      <c r="H126" s="182"/>
      <c r="I126" s="182"/>
    </row>
    <row r="127" spans="1:9">
      <c r="A127" s="182"/>
      <c r="B127" s="182"/>
      <c r="C127" s="182"/>
      <c r="D127" s="182"/>
      <c r="E127" s="182"/>
      <c r="F127" s="182"/>
      <c r="G127" s="182"/>
      <c r="H127" s="182"/>
      <c r="I127" s="182"/>
    </row>
    <row r="128" spans="1:9">
      <c r="A128" s="182"/>
      <c r="B128" s="182"/>
      <c r="C128" s="182"/>
      <c r="D128" s="182"/>
      <c r="E128" s="182"/>
      <c r="F128" s="182"/>
      <c r="G128" s="182"/>
      <c r="H128" s="182"/>
      <c r="I128" s="182"/>
    </row>
    <row r="129" spans="1:9">
      <c r="A129" s="182"/>
      <c r="B129" s="182"/>
      <c r="C129" s="182"/>
      <c r="D129" s="182"/>
      <c r="E129" s="182"/>
      <c r="F129" s="182"/>
      <c r="G129" s="182"/>
      <c r="H129" s="182"/>
      <c r="I129" s="182"/>
    </row>
    <row r="130" spans="1:9">
      <c r="A130" s="182"/>
      <c r="B130" s="182"/>
      <c r="C130" s="182"/>
      <c r="D130" s="182"/>
      <c r="E130" s="182"/>
      <c r="F130" s="182"/>
      <c r="G130" s="182"/>
      <c r="H130" s="182"/>
      <c r="I130" s="182"/>
    </row>
    <row r="131" spans="1:9">
      <c r="A131" s="182"/>
      <c r="B131" s="182"/>
      <c r="C131" s="182"/>
      <c r="D131" s="182"/>
      <c r="E131" s="182"/>
      <c r="F131" s="182"/>
      <c r="G131" s="182"/>
      <c r="H131" s="182"/>
      <c r="I131" s="182"/>
    </row>
    <row r="132" spans="1:9">
      <c r="A132" s="182"/>
      <c r="B132" s="182"/>
      <c r="C132" s="182"/>
      <c r="D132" s="182"/>
      <c r="E132" s="182"/>
      <c r="F132" s="182"/>
      <c r="G132" s="182"/>
      <c r="H132" s="182"/>
      <c r="I132" s="182"/>
    </row>
    <row r="133" spans="1:9">
      <c r="A133" s="182"/>
      <c r="B133" s="182"/>
      <c r="C133" s="182"/>
      <c r="D133" s="182"/>
      <c r="E133" s="182"/>
      <c r="F133" s="182"/>
      <c r="G133" s="182"/>
      <c r="H133" s="182"/>
      <c r="I133" s="182"/>
    </row>
    <row r="134" spans="1:9">
      <c r="A134" s="182"/>
      <c r="B134" s="182"/>
      <c r="C134" s="182"/>
      <c r="D134" s="182"/>
      <c r="E134" s="182"/>
      <c r="F134" s="182"/>
      <c r="G134" s="182"/>
      <c r="H134" s="182"/>
      <c r="I134" s="182"/>
    </row>
    <row r="135" spans="1:9">
      <c r="A135" s="182"/>
      <c r="B135" s="182"/>
      <c r="C135" s="182"/>
      <c r="D135" s="182"/>
      <c r="E135" s="182"/>
      <c r="F135" s="182"/>
      <c r="G135" s="182"/>
      <c r="H135" s="182"/>
      <c r="I135" s="182"/>
    </row>
    <row r="136" spans="1:9">
      <c r="A136" s="182"/>
      <c r="B136" s="182"/>
      <c r="C136" s="182"/>
      <c r="D136" s="182"/>
      <c r="E136" s="182"/>
      <c r="F136" s="182"/>
      <c r="G136" s="182"/>
      <c r="H136" s="182"/>
      <c r="I136" s="182"/>
    </row>
    <row r="137" spans="1:9">
      <c r="A137" s="182"/>
      <c r="B137" s="182"/>
      <c r="C137" s="182"/>
      <c r="D137" s="182"/>
      <c r="E137" s="182"/>
      <c r="F137" s="182"/>
      <c r="G137" s="182"/>
      <c r="H137" s="182"/>
      <c r="I137" s="182"/>
    </row>
    <row r="138" spans="1:9">
      <c r="A138" s="182"/>
      <c r="B138" s="182"/>
      <c r="C138" s="182"/>
      <c r="D138" s="182"/>
      <c r="E138" s="182"/>
      <c r="F138" s="182"/>
      <c r="G138" s="182"/>
      <c r="H138" s="182"/>
      <c r="I138" s="182"/>
    </row>
    <row r="139" spans="1:9">
      <c r="A139" s="182"/>
      <c r="B139" s="182"/>
      <c r="C139" s="182"/>
      <c r="D139" s="182"/>
      <c r="E139" s="182"/>
      <c r="F139" s="182"/>
      <c r="G139" s="182"/>
      <c r="H139" s="182"/>
      <c r="I139" s="182"/>
    </row>
    <row r="140" spans="1:9">
      <c r="A140" s="182"/>
      <c r="B140" s="182"/>
      <c r="C140" s="182"/>
      <c r="D140" s="182"/>
      <c r="E140" s="182"/>
      <c r="F140" s="182"/>
      <c r="G140" s="182"/>
      <c r="H140" s="182"/>
      <c r="I140" s="182"/>
    </row>
    <row r="141" spans="1:9">
      <c r="A141" s="182"/>
      <c r="B141" s="182"/>
      <c r="C141" s="182"/>
      <c r="D141" s="182"/>
      <c r="E141" s="182"/>
      <c r="F141" s="182"/>
      <c r="G141" s="182"/>
      <c r="H141" s="182"/>
      <c r="I141" s="182"/>
    </row>
    <row r="142" spans="1:9">
      <c r="A142" s="182"/>
      <c r="B142" s="182"/>
      <c r="C142" s="182"/>
      <c r="D142" s="182"/>
      <c r="E142" s="182"/>
      <c r="F142" s="182"/>
      <c r="G142" s="182"/>
      <c r="H142" s="182"/>
      <c r="I142" s="182"/>
    </row>
    <row r="143" spans="1:9">
      <c r="A143" s="182"/>
      <c r="B143" s="182"/>
      <c r="C143" s="182"/>
      <c r="D143" s="182"/>
      <c r="E143" s="182"/>
      <c r="F143" s="182"/>
      <c r="G143" s="182"/>
      <c r="H143" s="182"/>
      <c r="I143" s="182"/>
    </row>
    <row r="144" spans="1:9">
      <c r="A144" s="182"/>
      <c r="B144" s="182"/>
      <c r="C144" s="182"/>
      <c r="D144" s="182"/>
      <c r="E144" s="182"/>
      <c r="F144" s="182"/>
      <c r="G144" s="182"/>
      <c r="H144" s="182"/>
      <c r="I144" s="182"/>
    </row>
    <row r="145" spans="1:9">
      <c r="A145" s="182"/>
      <c r="B145" s="182"/>
      <c r="C145" s="182"/>
      <c r="D145" s="182"/>
      <c r="E145" s="182"/>
      <c r="F145" s="182"/>
      <c r="G145" s="182"/>
      <c r="H145" s="182"/>
      <c r="I145" s="182"/>
    </row>
    <row r="146" spans="1:9">
      <c r="A146" s="182"/>
      <c r="B146" s="182"/>
      <c r="C146" s="182"/>
      <c r="D146" s="182"/>
      <c r="E146" s="182"/>
      <c r="F146" s="182"/>
      <c r="G146" s="182"/>
      <c r="H146" s="182"/>
      <c r="I146" s="182"/>
    </row>
    <row r="147" spans="1:9">
      <c r="A147" s="182"/>
      <c r="B147" s="182"/>
      <c r="C147" s="182"/>
      <c r="D147" s="182"/>
      <c r="E147" s="182"/>
      <c r="F147" s="182"/>
      <c r="G147" s="182"/>
      <c r="H147" s="182"/>
      <c r="I147" s="182"/>
    </row>
    <row r="148" spans="1:9">
      <c r="A148" s="182"/>
      <c r="B148" s="182"/>
      <c r="C148" s="182"/>
      <c r="D148" s="182"/>
      <c r="E148" s="182"/>
      <c r="F148" s="182"/>
      <c r="G148" s="182"/>
      <c r="H148" s="182"/>
      <c r="I148" s="182"/>
    </row>
    <row r="149" spans="1:9">
      <c r="A149" s="182"/>
      <c r="B149" s="182"/>
      <c r="C149" s="182"/>
      <c r="D149" s="182"/>
      <c r="E149" s="182"/>
      <c r="F149" s="182"/>
      <c r="G149" s="182"/>
      <c r="H149" s="182"/>
      <c r="I149" s="182"/>
    </row>
    <row r="150" spans="1:9">
      <c r="A150" s="182"/>
      <c r="B150" s="182"/>
      <c r="C150" s="182"/>
      <c r="D150" s="182"/>
      <c r="E150" s="182"/>
      <c r="F150" s="182"/>
      <c r="G150" s="182"/>
      <c r="H150" s="182"/>
      <c r="I150" s="182"/>
    </row>
    <row r="151" spans="1:9">
      <c r="A151" s="182"/>
      <c r="B151" s="182"/>
      <c r="C151" s="182"/>
      <c r="D151" s="182"/>
      <c r="E151" s="182"/>
      <c r="F151" s="182"/>
      <c r="G151" s="182"/>
      <c r="H151" s="182"/>
      <c r="I151" s="182"/>
    </row>
    <row r="152" spans="1:9">
      <c r="A152" s="182"/>
      <c r="B152" s="182"/>
      <c r="C152" s="182"/>
      <c r="D152" s="182"/>
      <c r="E152" s="182"/>
      <c r="F152" s="182"/>
      <c r="G152" s="182"/>
      <c r="H152" s="182"/>
      <c r="I152" s="182"/>
    </row>
    <row r="153" spans="1:9">
      <c r="A153" s="182"/>
      <c r="B153" s="182"/>
      <c r="C153" s="182"/>
      <c r="D153" s="182"/>
      <c r="E153" s="182"/>
      <c r="F153" s="182"/>
      <c r="G153" s="182"/>
      <c r="H153" s="182"/>
      <c r="I153" s="182"/>
    </row>
    <row r="154" spans="1:9">
      <c r="A154" s="182"/>
      <c r="B154" s="182"/>
      <c r="C154" s="182"/>
      <c r="D154" s="182"/>
      <c r="E154" s="182"/>
      <c r="F154" s="182"/>
      <c r="G154" s="182"/>
      <c r="H154" s="182"/>
      <c r="I154" s="182"/>
    </row>
    <row r="155" spans="1:9">
      <c r="A155" s="182"/>
      <c r="B155" s="182"/>
      <c r="C155" s="182"/>
      <c r="D155" s="182"/>
      <c r="E155" s="182"/>
      <c r="F155" s="182"/>
      <c r="G155" s="182"/>
      <c r="H155" s="182"/>
      <c r="I155" s="182"/>
    </row>
    <row r="156" spans="1:9">
      <c r="A156" s="182"/>
      <c r="B156" s="182"/>
      <c r="C156" s="182"/>
      <c r="D156" s="182"/>
      <c r="E156" s="182"/>
      <c r="F156" s="182"/>
      <c r="G156" s="182"/>
      <c r="H156" s="182"/>
      <c r="I156" s="182"/>
    </row>
    <row r="157" spans="1:9">
      <c r="A157" s="182"/>
      <c r="B157" s="182"/>
      <c r="C157" s="182"/>
      <c r="D157" s="182"/>
      <c r="E157" s="182"/>
      <c r="F157" s="182"/>
      <c r="G157" s="182"/>
      <c r="H157" s="182"/>
      <c r="I157" s="182"/>
    </row>
    <row r="158" spans="1:9">
      <c r="A158" s="182"/>
      <c r="B158" s="182"/>
      <c r="C158" s="182"/>
      <c r="D158" s="182"/>
      <c r="E158" s="182"/>
      <c r="F158" s="182"/>
      <c r="G158" s="182"/>
      <c r="H158" s="182"/>
      <c r="I158" s="182"/>
    </row>
    <row r="159" spans="1:9">
      <c r="A159" s="182"/>
      <c r="B159" s="182"/>
      <c r="C159" s="182"/>
      <c r="D159" s="182"/>
      <c r="E159" s="182"/>
      <c r="F159" s="182"/>
      <c r="G159" s="182"/>
      <c r="H159" s="182"/>
      <c r="I159" s="182"/>
    </row>
    <row r="160" spans="1:9">
      <c r="A160" s="182"/>
      <c r="B160" s="182"/>
      <c r="C160" s="182"/>
      <c r="D160" s="182"/>
      <c r="E160" s="182"/>
      <c r="F160" s="182"/>
      <c r="G160" s="182"/>
      <c r="H160" s="182"/>
      <c r="I160" s="182"/>
    </row>
    <row r="161" spans="1:9">
      <c r="A161" s="182"/>
      <c r="B161" s="182"/>
      <c r="C161" s="182"/>
      <c r="D161" s="182"/>
      <c r="E161" s="182"/>
      <c r="F161" s="182"/>
      <c r="G161" s="182"/>
      <c r="H161" s="182"/>
      <c r="I161" s="182"/>
    </row>
    <row r="162" spans="1:9">
      <c r="A162" s="182"/>
      <c r="B162" s="182"/>
      <c r="C162" s="182"/>
      <c r="D162" s="182"/>
      <c r="E162" s="182"/>
      <c r="F162" s="182"/>
      <c r="G162" s="182"/>
      <c r="H162" s="182"/>
      <c r="I162" s="182"/>
    </row>
    <row r="163" spans="1:9">
      <c r="A163" s="182"/>
      <c r="B163" s="182"/>
      <c r="C163" s="182"/>
      <c r="D163" s="182"/>
      <c r="E163" s="182"/>
      <c r="F163" s="182"/>
      <c r="G163" s="182"/>
      <c r="H163" s="182"/>
      <c r="I163" s="182"/>
    </row>
    <row r="164" spans="1:9">
      <c r="A164" s="182"/>
      <c r="B164" s="182"/>
      <c r="C164" s="182"/>
      <c r="D164" s="182"/>
      <c r="E164" s="182"/>
      <c r="F164" s="182"/>
      <c r="G164" s="182"/>
      <c r="H164" s="182"/>
      <c r="I164" s="182"/>
    </row>
    <row r="165" spans="1:9">
      <c r="A165" s="182"/>
      <c r="B165" s="182"/>
      <c r="C165" s="182"/>
      <c r="D165" s="182"/>
      <c r="E165" s="182"/>
      <c r="F165" s="182"/>
      <c r="G165" s="182"/>
      <c r="H165" s="182"/>
      <c r="I165" s="182"/>
    </row>
    <row r="166" spans="1:9">
      <c r="A166" s="182"/>
      <c r="B166" s="182"/>
      <c r="C166" s="182"/>
      <c r="D166" s="182"/>
      <c r="E166" s="182"/>
      <c r="F166" s="182"/>
      <c r="G166" s="182"/>
      <c r="H166" s="182"/>
      <c r="I166" s="182"/>
    </row>
    <row r="167" spans="1:9">
      <c r="A167" s="182"/>
      <c r="B167" s="182"/>
      <c r="C167" s="182"/>
      <c r="D167" s="182"/>
      <c r="E167" s="182"/>
      <c r="F167" s="182"/>
      <c r="G167" s="182"/>
      <c r="H167" s="182"/>
      <c r="I167" s="182"/>
    </row>
    <row r="168" spans="1:9">
      <c r="A168" s="182"/>
      <c r="B168" s="182"/>
      <c r="C168" s="182"/>
      <c r="D168" s="182"/>
      <c r="E168" s="182"/>
      <c r="F168" s="182"/>
      <c r="G168" s="182"/>
      <c r="H168" s="182"/>
      <c r="I168" s="182"/>
    </row>
    <row r="169" spans="1:9">
      <c r="A169" s="182"/>
      <c r="B169" s="182"/>
      <c r="C169" s="182"/>
      <c r="D169" s="182"/>
      <c r="E169" s="182"/>
      <c r="F169" s="182"/>
      <c r="G169" s="182"/>
      <c r="H169" s="182"/>
      <c r="I169" s="182"/>
    </row>
    <row r="170" spans="1:9">
      <c r="A170" s="182"/>
      <c r="B170" s="182"/>
      <c r="C170" s="182"/>
      <c r="D170" s="182"/>
      <c r="E170" s="182"/>
      <c r="F170" s="182"/>
      <c r="G170" s="182"/>
      <c r="H170" s="182"/>
      <c r="I170" s="182"/>
    </row>
    <row r="171" spans="1:9">
      <c r="A171" s="182"/>
      <c r="B171" s="182"/>
      <c r="C171" s="182"/>
      <c r="D171" s="182"/>
      <c r="E171" s="182"/>
      <c r="F171" s="182"/>
      <c r="G171" s="182"/>
      <c r="H171" s="182"/>
      <c r="I171" s="182"/>
    </row>
    <row r="172" spans="1:9">
      <c r="A172" s="182"/>
      <c r="B172" s="182"/>
      <c r="C172" s="182"/>
      <c r="D172" s="182"/>
      <c r="E172" s="182"/>
      <c r="F172" s="182"/>
      <c r="G172" s="182"/>
      <c r="H172" s="182"/>
      <c r="I172" s="182"/>
    </row>
    <row r="173" spans="1:9">
      <c r="A173" s="182"/>
      <c r="B173" s="182"/>
      <c r="C173" s="182"/>
      <c r="D173" s="182"/>
      <c r="E173" s="182"/>
      <c r="F173" s="182"/>
      <c r="G173" s="182"/>
      <c r="H173" s="182"/>
      <c r="I173" s="182"/>
    </row>
    <row r="174" spans="1:9">
      <c r="A174" s="182"/>
      <c r="B174" s="182"/>
      <c r="C174" s="182"/>
      <c r="D174" s="182"/>
      <c r="E174" s="182"/>
      <c r="F174" s="182"/>
      <c r="G174" s="182"/>
      <c r="H174" s="182"/>
      <c r="I174" s="182"/>
    </row>
    <row r="175" spans="1:9">
      <c r="A175" s="182"/>
      <c r="B175" s="182"/>
      <c r="C175" s="182"/>
      <c r="D175" s="182"/>
      <c r="E175" s="182"/>
      <c r="F175" s="182"/>
      <c r="G175" s="182"/>
      <c r="H175" s="182"/>
      <c r="I175" s="182"/>
    </row>
    <row r="176" spans="1:9">
      <c r="A176" s="182"/>
      <c r="B176" s="182"/>
      <c r="C176" s="182"/>
      <c r="D176" s="182"/>
      <c r="E176" s="182"/>
      <c r="F176" s="182"/>
      <c r="G176" s="182"/>
      <c r="H176" s="182"/>
      <c r="I176" s="182"/>
    </row>
    <row r="177" spans="1:9">
      <c r="A177" s="182"/>
      <c r="B177" s="182"/>
      <c r="C177" s="182"/>
      <c r="D177" s="182"/>
      <c r="E177" s="182"/>
      <c r="F177" s="182"/>
      <c r="G177" s="182"/>
      <c r="H177" s="182"/>
      <c r="I177" s="182"/>
    </row>
    <row r="178" spans="1:9">
      <c r="A178" s="182"/>
      <c r="B178" s="182"/>
      <c r="C178" s="182"/>
      <c r="D178" s="182"/>
      <c r="E178" s="182"/>
      <c r="F178" s="182"/>
      <c r="G178" s="182"/>
      <c r="H178" s="182"/>
      <c r="I178" s="182"/>
    </row>
    <row r="179" spans="1:9">
      <c r="A179" s="182"/>
      <c r="B179" s="182"/>
      <c r="C179" s="182"/>
      <c r="D179" s="182"/>
      <c r="E179" s="182"/>
      <c r="F179" s="182"/>
      <c r="G179" s="182"/>
      <c r="H179" s="182"/>
      <c r="I179" s="182"/>
    </row>
    <row r="180" spans="1:9">
      <c r="A180" s="182"/>
      <c r="B180" s="182"/>
      <c r="C180" s="182"/>
      <c r="D180" s="182"/>
      <c r="E180" s="182"/>
      <c r="F180" s="182"/>
      <c r="G180" s="182"/>
      <c r="H180" s="182"/>
      <c r="I180" s="182"/>
    </row>
    <row r="181" spans="1:9">
      <c r="A181" s="182"/>
      <c r="B181" s="182"/>
      <c r="C181" s="182"/>
      <c r="D181" s="182"/>
      <c r="E181" s="182"/>
      <c r="F181" s="182"/>
      <c r="G181" s="182"/>
      <c r="H181" s="182"/>
      <c r="I181" s="182"/>
    </row>
    <row r="182" spans="1:9">
      <c r="A182" s="182"/>
      <c r="B182" s="182"/>
      <c r="C182" s="182"/>
      <c r="D182" s="182"/>
      <c r="E182" s="182"/>
      <c r="F182" s="182"/>
      <c r="G182" s="182"/>
      <c r="H182" s="182"/>
      <c r="I182" s="182"/>
    </row>
    <row r="183" spans="1:9">
      <c r="A183" s="182"/>
      <c r="B183" s="182"/>
      <c r="C183" s="182"/>
      <c r="D183" s="182"/>
      <c r="E183" s="182"/>
      <c r="F183" s="182"/>
      <c r="G183" s="182"/>
      <c r="H183" s="182"/>
      <c r="I183" s="182"/>
    </row>
    <row r="184" spans="1:9">
      <c r="A184" s="182"/>
      <c r="B184" s="182"/>
      <c r="C184" s="182"/>
      <c r="D184" s="182"/>
      <c r="E184" s="182"/>
      <c r="F184" s="182"/>
      <c r="G184" s="182"/>
      <c r="H184" s="182"/>
      <c r="I184" s="182"/>
    </row>
    <row r="185" spans="1:9">
      <c r="A185" s="182"/>
      <c r="B185" s="182"/>
      <c r="C185" s="182"/>
      <c r="D185" s="182"/>
      <c r="E185" s="182"/>
      <c r="F185" s="182"/>
      <c r="G185" s="182"/>
      <c r="H185" s="182"/>
      <c r="I185" s="182"/>
    </row>
    <row r="186" spans="1:9">
      <c r="A186" s="182"/>
      <c r="B186" s="182"/>
      <c r="C186" s="182"/>
      <c r="D186" s="182"/>
      <c r="E186" s="182"/>
      <c r="F186" s="182"/>
      <c r="G186" s="182"/>
      <c r="H186" s="182"/>
      <c r="I186" s="182"/>
    </row>
    <row r="187" spans="1:9">
      <c r="A187" s="182"/>
      <c r="B187" s="182"/>
      <c r="C187" s="182"/>
      <c r="D187" s="182"/>
      <c r="E187" s="182"/>
      <c r="F187" s="182"/>
      <c r="G187" s="182"/>
      <c r="H187" s="182"/>
      <c r="I187" s="182"/>
    </row>
    <row r="188" spans="1:9">
      <c r="A188" s="182"/>
      <c r="B188" s="182"/>
      <c r="C188" s="182"/>
      <c r="D188" s="182"/>
      <c r="E188" s="182"/>
      <c r="F188" s="182"/>
      <c r="G188" s="182"/>
      <c r="H188" s="182"/>
      <c r="I188" s="182"/>
    </row>
    <row r="189" spans="1:9">
      <c r="A189" s="182"/>
      <c r="B189" s="182"/>
      <c r="C189" s="182"/>
      <c r="D189" s="182"/>
      <c r="E189" s="182"/>
      <c r="F189" s="182"/>
      <c r="G189" s="182"/>
      <c r="H189" s="182"/>
      <c r="I189" s="182"/>
    </row>
    <row r="190" spans="1:9">
      <c r="A190" s="182"/>
      <c r="B190" s="182"/>
      <c r="C190" s="182"/>
      <c r="D190" s="182"/>
      <c r="E190" s="182"/>
      <c r="F190" s="182"/>
      <c r="G190" s="182"/>
      <c r="H190" s="182"/>
      <c r="I190" s="182"/>
    </row>
    <row r="191" spans="1:9">
      <c r="A191" s="182"/>
      <c r="B191" s="182"/>
      <c r="C191" s="182"/>
      <c r="D191" s="182"/>
      <c r="E191" s="182"/>
      <c r="F191" s="182"/>
      <c r="G191" s="182"/>
      <c r="H191" s="182"/>
      <c r="I191" s="182"/>
    </row>
    <row r="192" spans="1:9">
      <c r="A192" s="182"/>
      <c r="B192" s="182"/>
      <c r="C192" s="182"/>
      <c r="D192" s="182"/>
      <c r="E192" s="182"/>
      <c r="F192" s="182"/>
      <c r="G192" s="182"/>
      <c r="H192" s="182"/>
      <c r="I192" s="182"/>
    </row>
    <row r="193" spans="1:9">
      <c r="A193" s="182"/>
      <c r="B193" s="182"/>
      <c r="C193" s="182"/>
      <c r="D193" s="182"/>
      <c r="E193" s="182"/>
      <c r="F193" s="182"/>
      <c r="G193" s="182"/>
      <c r="H193" s="182"/>
      <c r="I193" s="182"/>
    </row>
    <row r="194" spans="1:9">
      <c r="A194" s="182"/>
      <c r="B194" s="182"/>
      <c r="C194" s="182"/>
      <c r="D194" s="182"/>
      <c r="E194" s="182"/>
      <c r="F194" s="182"/>
      <c r="G194" s="182"/>
      <c r="H194" s="182"/>
      <c r="I194" s="182"/>
    </row>
    <row r="195" spans="1:9">
      <c r="A195" s="182"/>
      <c r="B195" s="182"/>
      <c r="C195" s="182"/>
      <c r="D195" s="182"/>
      <c r="E195" s="182"/>
      <c r="F195" s="182"/>
      <c r="G195" s="182"/>
      <c r="H195" s="182"/>
      <c r="I195" s="182"/>
    </row>
    <row r="196" spans="1:9">
      <c r="A196" s="182"/>
      <c r="B196" s="182"/>
      <c r="C196" s="182"/>
      <c r="D196" s="182"/>
      <c r="E196" s="182"/>
      <c r="F196" s="182"/>
      <c r="G196" s="182"/>
      <c r="H196" s="182"/>
      <c r="I196" s="182"/>
    </row>
    <row r="197" spans="1:9">
      <c r="A197" s="182"/>
      <c r="B197" s="182"/>
      <c r="C197" s="182"/>
      <c r="D197" s="182"/>
      <c r="E197" s="182"/>
      <c r="F197" s="182"/>
      <c r="G197" s="182"/>
      <c r="H197" s="182"/>
      <c r="I197" s="182"/>
    </row>
    <row r="198" spans="1:9">
      <c r="A198" s="182"/>
      <c r="B198" s="182"/>
      <c r="C198" s="182"/>
      <c r="D198" s="182"/>
      <c r="E198" s="182"/>
      <c r="F198" s="182"/>
      <c r="G198" s="182"/>
      <c r="H198" s="182"/>
      <c r="I198" s="182"/>
    </row>
    <row r="199" spans="1:9">
      <c r="A199" s="182"/>
      <c r="B199" s="182"/>
      <c r="C199" s="182"/>
      <c r="D199" s="182"/>
      <c r="E199" s="182"/>
      <c r="F199" s="182"/>
      <c r="G199" s="182"/>
      <c r="H199" s="182"/>
      <c r="I199" s="182"/>
    </row>
    <row r="200" spans="1:9">
      <c r="A200" s="182"/>
      <c r="B200" s="182"/>
      <c r="C200" s="182"/>
      <c r="D200" s="182"/>
      <c r="E200" s="182"/>
      <c r="F200" s="182"/>
      <c r="G200" s="182"/>
      <c r="H200" s="182"/>
      <c r="I200" s="182"/>
    </row>
    <row r="201" spans="1:9">
      <c r="A201" s="182"/>
      <c r="B201" s="182"/>
      <c r="C201" s="182"/>
      <c r="D201" s="182"/>
      <c r="E201" s="182"/>
      <c r="F201" s="182"/>
      <c r="G201" s="182"/>
      <c r="H201" s="182"/>
      <c r="I201" s="182"/>
    </row>
    <row r="202" spans="1:9">
      <c r="A202" s="182"/>
      <c r="B202" s="182"/>
      <c r="C202" s="182"/>
      <c r="D202" s="182"/>
      <c r="E202" s="182"/>
      <c r="F202" s="182"/>
      <c r="G202" s="182"/>
      <c r="H202" s="182"/>
      <c r="I202" s="182"/>
    </row>
    <row r="203" spans="1:9">
      <c r="A203" s="182"/>
      <c r="B203" s="182"/>
      <c r="C203" s="182"/>
      <c r="D203" s="182"/>
      <c r="E203" s="182"/>
      <c r="F203" s="182"/>
      <c r="G203" s="182"/>
      <c r="H203" s="182"/>
      <c r="I203" s="182"/>
    </row>
    <row r="204" spans="1:9">
      <c r="A204" s="182"/>
      <c r="B204" s="182"/>
      <c r="C204" s="182"/>
      <c r="D204" s="182"/>
      <c r="E204" s="182"/>
      <c r="F204" s="182"/>
      <c r="G204" s="182"/>
      <c r="H204" s="182"/>
      <c r="I204" s="182"/>
    </row>
    <row r="205" spans="1:9">
      <c r="A205" s="182"/>
      <c r="B205" s="182"/>
      <c r="C205" s="182"/>
      <c r="D205" s="182"/>
      <c r="E205" s="182"/>
      <c r="F205" s="182"/>
      <c r="G205" s="182"/>
      <c r="H205" s="182"/>
      <c r="I205" s="182"/>
    </row>
    <row r="206" spans="1:9">
      <c r="A206" s="182"/>
      <c r="B206" s="182"/>
      <c r="C206" s="182"/>
      <c r="D206" s="182"/>
      <c r="E206" s="182"/>
      <c r="F206" s="182"/>
      <c r="G206" s="182"/>
      <c r="H206" s="182"/>
      <c r="I206" s="182"/>
    </row>
    <row r="207" spans="1:9">
      <c r="A207" s="182"/>
      <c r="B207" s="182"/>
      <c r="C207" s="182"/>
      <c r="D207" s="182"/>
      <c r="E207" s="182"/>
      <c r="F207" s="182"/>
      <c r="G207" s="182"/>
      <c r="H207" s="182"/>
      <c r="I207" s="182"/>
    </row>
    <row r="208" spans="1:9">
      <c r="A208" s="182"/>
      <c r="B208" s="182"/>
      <c r="C208" s="182"/>
      <c r="D208" s="182"/>
      <c r="E208" s="182"/>
      <c r="F208" s="182"/>
      <c r="G208" s="182"/>
      <c r="H208" s="182"/>
      <c r="I208" s="182"/>
    </row>
    <row r="209" spans="1:9">
      <c r="A209" s="182"/>
      <c r="B209" s="182"/>
      <c r="C209" s="182"/>
      <c r="D209" s="182"/>
      <c r="E209" s="182"/>
      <c r="F209" s="182"/>
      <c r="G209" s="182"/>
      <c r="H209" s="182"/>
      <c r="I209" s="182"/>
    </row>
    <row r="210" spans="1:9">
      <c r="A210" s="182"/>
      <c r="B210" s="182"/>
      <c r="C210" s="182"/>
      <c r="D210" s="182"/>
      <c r="E210" s="182"/>
      <c r="F210" s="182"/>
      <c r="G210" s="182"/>
      <c r="H210" s="182"/>
      <c r="I210" s="182"/>
    </row>
    <row r="211" spans="1:9">
      <c r="A211" s="182"/>
      <c r="B211" s="182"/>
      <c r="C211" s="182"/>
      <c r="D211" s="182"/>
      <c r="E211" s="182"/>
      <c r="F211" s="182"/>
      <c r="G211" s="182"/>
      <c r="H211" s="182"/>
      <c r="I211" s="182"/>
    </row>
    <row r="212" spans="1:9">
      <c r="A212" s="182"/>
      <c r="B212" s="182"/>
      <c r="C212" s="182"/>
      <c r="D212" s="182"/>
      <c r="E212" s="182"/>
      <c r="F212" s="182"/>
      <c r="G212" s="182"/>
      <c r="H212" s="182"/>
      <c r="I212" s="182"/>
    </row>
    <row r="213" spans="1:9">
      <c r="A213" s="182"/>
      <c r="B213" s="182"/>
      <c r="C213" s="182"/>
      <c r="D213" s="182"/>
      <c r="E213" s="182"/>
      <c r="F213" s="182"/>
      <c r="G213" s="182"/>
      <c r="H213" s="182"/>
      <c r="I213" s="182"/>
    </row>
    <row r="214" spans="1:9">
      <c r="A214" s="182"/>
      <c r="B214" s="182"/>
      <c r="C214" s="182"/>
      <c r="D214" s="182"/>
      <c r="E214" s="182"/>
      <c r="F214" s="182"/>
      <c r="G214" s="182"/>
      <c r="H214" s="182"/>
      <c r="I214" s="182"/>
    </row>
    <row r="215" spans="1:9">
      <c r="A215" s="182"/>
      <c r="B215" s="182"/>
      <c r="C215" s="182"/>
      <c r="D215" s="182"/>
      <c r="E215" s="182"/>
      <c r="F215" s="182"/>
      <c r="G215" s="182"/>
      <c r="H215" s="182"/>
      <c r="I215" s="182"/>
    </row>
    <row r="216" spans="1:9">
      <c r="A216" s="182"/>
      <c r="B216" s="182"/>
      <c r="C216" s="182"/>
      <c r="D216" s="182"/>
      <c r="E216" s="182"/>
      <c r="F216" s="182"/>
      <c r="G216" s="182"/>
      <c r="H216" s="182"/>
      <c r="I216" s="182"/>
    </row>
    <row r="217" spans="1:9">
      <c r="A217" s="182"/>
      <c r="B217" s="182"/>
      <c r="C217" s="182"/>
      <c r="D217" s="182"/>
      <c r="E217" s="182"/>
      <c r="F217" s="182"/>
      <c r="G217" s="182"/>
      <c r="H217" s="182"/>
      <c r="I217" s="182"/>
    </row>
    <row r="218" spans="1:9">
      <c r="A218" s="182"/>
      <c r="B218" s="182"/>
      <c r="C218" s="182"/>
      <c r="D218" s="182"/>
      <c r="E218" s="182"/>
      <c r="F218" s="182"/>
      <c r="G218" s="182"/>
      <c r="H218" s="182"/>
      <c r="I218" s="182"/>
    </row>
    <row r="219" spans="1:9">
      <c r="A219" s="182"/>
      <c r="B219" s="182"/>
      <c r="C219" s="182"/>
      <c r="D219" s="182"/>
      <c r="E219" s="182"/>
      <c r="F219" s="182"/>
      <c r="G219" s="182"/>
      <c r="H219" s="182"/>
      <c r="I219" s="182"/>
    </row>
    <row r="220" spans="1:9">
      <c r="A220" s="182"/>
      <c r="B220" s="182"/>
      <c r="C220" s="182"/>
      <c r="D220" s="182"/>
      <c r="E220" s="182"/>
      <c r="F220" s="182"/>
      <c r="G220" s="182"/>
      <c r="H220" s="182"/>
      <c r="I220" s="182"/>
    </row>
    <row r="221" spans="1:9">
      <c r="A221" s="182"/>
      <c r="B221" s="182"/>
      <c r="C221" s="182"/>
      <c r="D221" s="182"/>
      <c r="E221" s="182"/>
      <c r="F221" s="182"/>
      <c r="G221" s="182"/>
      <c r="H221" s="182"/>
      <c r="I221" s="182"/>
    </row>
    <row r="222" spans="1:9">
      <c r="A222" s="182"/>
      <c r="B222" s="182"/>
      <c r="C222" s="182"/>
      <c r="D222" s="182"/>
      <c r="E222" s="182"/>
      <c r="F222" s="182"/>
      <c r="G222" s="182"/>
      <c r="H222" s="182"/>
      <c r="I222" s="182"/>
    </row>
    <row r="223" spans="1:9">
      <c r="A223" s="182"/>
      <c r="B223" s="182"/>
      <c r="C223" s="182"/>
      <c r="D223" s="182"/>
      <c r="E223" s="182"/>
      <c r="F223" s="182"/>
      <c r="G223" s="182"/>
      <c r="H223" s="182"/>
      <c r="I223" s="182"/>
    </row>
    <row r="224" spans="1:9">
      <c r="A224" s="182"/>
      <c r="B224" s="182"/>
      <c r="C224" s="182"/>
      <c r="D224" s="182"/>
      <c r="E224" s="182"/>
      <c r="F224" s="182"/>
      <c r="G224" s="182"/>
      <c r="H224" s="182"/>
      <c r="I224" s="182"/>
    </row>
    <row r="225" spans="1:9">
      <c r="A225" s="182"/>
      <c r="B225" s="182"/>
      <c r="C225" s="182"/>
      <c r="D225" s="182"/>
      <c r="E225" s="182"/>
      <c r="F225" s="182"/>
      <c r="G225" s="182"/>
      <c r="H225" s="182"/>
      <c r="I225" s="182"/>
    </row>
    <row r="226" spans="1:9">
      <c r="A226" s="182"/>
      <c r="B226" s="182"/>
      <c r="C226" s="182"/>
      <c r="D226" s="182"/>
      <c r="E226" s="182"/>
      <c r="F226" s="182"/>
      <c r="G226" s="182"/>
      <c r="H226" s="182"/>
      <c r="I226" s="182"/>
    </row>
    <row r="227" spans="1:9">
      <c r="A227" s="182"/>
      <c r="B227" s="182"/>
      <c r="C227" s="182"/>
      <c r="D227" s="182"/>
      <c r="E227" s="182"/>
      <c r="F227" s="182"/>
      <c r="G227" s="182"/>
      <c r="H227" s="182"/>
      <c r="I227" s="182"/>
    </row>
    <row r="228" spans="1:9">
      <c r="A228" s="182"/>
      <c r="B228" s="182"/>
      <c r="C228" s="182"/>
      <c r="D228" s="182"/>
      <c r="E228" s="182"/>
      <c r="F228" s="182"/>
      <c r="G228" s="182"/>
      <c r="H228" s="182"/>
      <c r="I228" s="182"/>
    </row>
    <row r="229" spans="1:9">
      <c r="A229" s="182"/>
      <c r="B229" s="182"/>
      <c r="C229" s="182"/>
      <c r="D229" s="182"/>
      <c r="E229" s="182"/>
      <c r="F229" s="182"/>
      <c r="G229" s="182"/>
      <c r="H229" s="182"/>
      <c r="I229" s="182"/>
    </row>
    <row r="230" spans="1:9">
      <c r="A230" s="182"/>
      <c r="B230" s="182"/>
      <c r="C230" s="182"/>
      <c r="D230" s="182"/>
      <c r="E230" s="182"/>
      <c r="F230" s="182"/>
      <c r="G230" s="182"/>
      <c r="H230" s="182"/>
      <c r="I230" s="182"/>
    </row>
    <row r="231" spans="1:9">
      <c r="A231" s="182"/>
      <c r="B231" s="182"/>
      <c r="C231" s="182"/>
      <c r="D231" s="182"/>
      <c r="E231" s="182"/>
      <c r="F231" s="182"/>
      <c r="G231" s="182"/>
      <c r="H231" s="182"/>
      <c r="I231" s="182"/>
    </row>
    <row r="232" spans="1:9">
      <c r="A232" s="182"/>
      <c r="B232" s="182"/>
      <c r="C232" s="182"/>
      <c r="D232" s="182"/>
      <c r="E232" s="182"/>
      <c r="F232" s="182"/>
      <c r="G232" s="182"/>
      <c r="H232" s="182"/>
      <c r="I232" s="182"/>
    </row>
    <row r="233" spans="1:9">
      <c r="A233" s="182"/>
      <c r="B233" s="182"/>
      <c r="C233" s="182"/>
      <c r="D233" s="182"/>
      <c r="E233" s="182"/>
      <c r="F233" s="182"/>
      <c r="G233" s="182"/>
      <c r="H233" s="182"/>
      <c r="I233" s="182"/>
    </row>
    <row r="234" spans="1:9">
      <c r="A234" s="182"/>
      <c r="B234" s="182"/>
      <c r="C234" s="182"/>
      <c r="D234" s="182"/>
      <c r="E234" s="182"/>
      <c r="F234" s="182"/>
      <c r="G234" s="182"/>
      <c r="H234" s="182"/>
      <c r="I234" s="182"/>
    </row>
    <row r="235" spans="1:9">
      <c r="A235" s="182"/>
      <c r="B235" s="182"/>
      <c r="C235" s="182"/>
      <c r="D235" s="182"/>
      <c r="E235" s="182"/>
      <c r="F235" s="182"/>
      <c r="G235" s="182"/>
      <c r="H235" s="182"/>
      <c r="I235" s="182"/>
    </row>
    <row r="236" spans="1:9">
      <c r="A236" s="182"/>
      <c r="B236" s="182"/>
      <c r="C236" s="182"/>
      <c r="D236" s="182"/>
      <c r="E236" s="182"/>
      <c r="F236" s="182"/>
      <c r="G236" s="182"/>
      <c r="H236" s="182"/>
      <c r="I236" s="182"/>
    </row>
    <row r="237" spans="1:9">
      <c r="A237" s="182"/>
      <c r="B237" s="182"/>
      <c r="C237" s="182"/>
      <c r="D237" s="182"/>
      <c r="E237" s="182"/>
      <c r="F237" s="182"/>
      <c r="G237" s="182"/>
      <c r="H237" s="182"/>
      <c r="I237" s="182"/>
    </row>
    <row r="238" spans="1:9">
      <c r="A238" s="182"/>
      <c r="B238" s="182"/>
      <c r="C238" s="182"/>
      <c r="D238" s="182"/>
      <c r="E238" s="182"/>
      <c r="F238" s="182"/>
      <c r="G238" s="182"/>
      <c r="H238" s="182"/>
      <c r="I238" s="182"/>
    </row>
    <row r="239" spans="1:9">
      <c r="A239" s="182"/>
      <c r="B239" s="182"/>
      <c r="C239" s="182"/>
      <c r="D239" s="182"/>
      <c r="E239" s="182"/>
      <c r="F239" s="182"/>
      <c r="G239" s="182"/>
      <c r="H239" s="182"/>
      <c r="I239" s="182"/>
    </row>
    <row r="240" spans="1:9">
      <c r="A240" s="182"/>
      <c r="B240" s="182"/>
      <c r="C240" s="182"/>
      <c r="D240" s="182"/>
      <c r="E240" s="182"/>
      <c r="F240" s="182"/>
      <c r="G240" s="182"/>
      <c r="H240" s="182"/>
      <c r="I240" s="182"/>
    </row>
    <row r="241" spans="1:9">
      <c r="A241" s="182"/>
      <c r="B241" s="182"/>
      <c r="C241" s="182"/>
      <c r="D241" s="182"/>
      <c r="E241" s="182"/>
      <c r="F241" s="182"/>
      <c r="G241" s="182"/>
      <c r="H241" s="182"/>
      <c r="I241" s="182"/>
    </row>
    <row r="242" spans="1:9">
      <c r="A242" s="182"/>
      <c r="B242" s="182"/>
      <c r="C242" s="182"/>
      <c r="D242" s="182"/>
      <c r="E242" s="182"/>
      <c r="F242" s="182"/>
      <c r="G242" s="182"/>
      <c r="H242" s="182"/>
      <c r="I242" s="182"/>
    </row>
    <row r="243" spans="1:9">
      <c r="A243" s="182"/>
      <c r="B243" s="182"/>
      <c r="C243" s="182"/>
      <c r="D243" s="182"/>
      <c r="E243" s="182"/>
      <c r="F243" s="182"/>
      <c r="G243" s="182"/>
      <c r="H243" s="182"/>
      <c r="I243" s="182"/>
    </row>
    <row r="244" spans="1:9">
      <c r="A244" s="182"/>
      <c r="B244" s="182"/>
      <c r="C244" s="182"/>
      <c r="D244" s="182"/>
      <c r="E244" s="182"/>
      <c r="F244" s="182"/>
      <c r="G244" s="182"/>
      <c r="H244" s="182"/>
      <c r="I244" s="182"/>
    </row>
    <row r="245" spans="1:9">
      <c r="A245" s="182"/>
      <c r="B245" s="182"/>
      <c r="C245" s="182"/>
      <c r="D245" s="182"/>
      <c r="E245" s="182"/>
      <c r="F245" s="182"/>
      <c r="G245" s="182"/>
      <c r="H245" s="182"/>
      <c r="I245" s="182"/>
    </row>
    <row r="246" spans="1:9">
      <c r="A246" s="182"/>
      <c r="B246" s="182"/>
      <c r="C246" s="182"/>
      <c r="D246" s="182"/>
      <c r="E246" s="182"/>
      <c r="F246" s="182"/>
      <c r="G246" s="182"/>
      <c r="H246" s="182"/>
      <c r="I246" s="182"/>
    </row>
  </sheetData>
  <mergeCells count="9">
    <mergeCell ref="C12:F12"/>
    <mergeCell ref="C13:F13"/>
    <mergeCell ref="C14:F14"/>
    <mergeCell ref="C15:F15"/>
    <mergeCell ref="B3:F3"/>
    <mergeCell ref="B7:F7"/>
    <mergeCell ref="C9:F9"/>
    <mergeCell ref="C10:F10"/>
    <mergeCell ref="C11:F1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H109"/>
  <sheetViews>
    <sheetView showGridLines="0" workbookViewId="0">
      <selection activeCell="D108" sqref="D108"/>
    </sheetView>
  </sheetViews>
  <sheetFormatPr baseColWidth="10" defaultColWidth="11.44140625" defaultRowHeight="14.4"/>
  <cols>
    <col min="2" max="2" width="35" customWidth="1"/>
    <col min="3" max="5" width="30.6640625" customWidth="1"/>
    <col min="6" max="6" width="53.109375" customWidth="1"/>
    <col min="7" max="7" width="25.33203125" customWidth="1"/>
    <col min="8" max="8" width="13.6640625" customWidth="1"/>
  </cols>
  <sheetData>
    <row r="3" spans="2:6">
      <c r="B3" s="41" t="s">
        <v>172</v>
      </c>
    </row>
    <row r="6" spans="2:6">
      <c r="B6" s="457" t="s">
        <v>173</v>
      </c>
      <c r="C6" s="457"/>
      <c r="D6" s="351" t="s">
        <v>663</v>
      </c>
      <c r="E6" s="352" t="s">
        <v>521</v>
      </c>
    </row>
    <row r="7" spans="2:6">
      <c r="B7" s="19"/>
      <c r="C7" s="19"/>
      <c r="D7" s="3"/>
      <c r="E7" s="19"/>
    </row>
    <row r="8" spans="2:6" ht="41.4" customHeight="1">
      <c r="B8" s="214" t="s">
        <v>507</v>
      </c>
      <c r="C8" s="215">
        <f>'Choix années'!C4</f>
        <v>2019</v>
      </c>
      <c r="D8" s="215">
        <f>'Choix années'!C5</f>
        <v>2030</v>
      </c>
      <c r="E8" s="4"/>
      <c r="F8" s="4"/>
    </row>
    <row r="9" spans="2:6" ht="36.450000000000003" customHeight="1">
      <c r="B9" s="212" t="s">
        <v>342</v>
      </c>
      <c r="C9" s="222">
        <f>SUM(C13,C25,C29,C33,C41,C45,C53,C65,C69)</f>
        <v>81.495069587956721</v>
      </c>
      <c r="D9" s="222">
        <f>SUM(D13,D25,D29,D33,D41,D45,D53,D65,D69)</f>
        <v>45.268573231635038</v>
      </c>
      <c r="E9" s="5"/>
      <c r="F9" s="5"/>
    </row>
    <row r="10" spans="2:6" ht="30" customHeight="1">
      <c r="B10" s="224" t="str">
        <f>"% de baisse vs "&amp;TEXT($C$8,"#")</f>
        <v>% de baisse vs 2019</v>
      </c>
      <c r="C10" s="212"/>
      <c r="D10" s="217">
        <f>1-(D9/C9)</f>
        <v>0.44452377965298662</v>
      </c>
    </row>
    <row r="11" spans="2:6" ht="30" customHeight="1">
      <c r="B11" s="186" t="str">
        <f>"Variation annuelle moyenne entre " &amp;TEXT($D$8,"#")&amp;" et "&amp;TEXT($C$8,"#")&amp;" "</f>
        <v xml:space="preserve">Variation annuelle moyenne entre 2030 et 2019 </v>
      </c>
      <c r="C11" s="212"/>
      <c r="D11" s="217">
        <f>((D9/C9)^(1/($D$8-$C$8))-1)</f>
        <v>-5.2044894017300392E-2</v>
      </c>
    </row>
    <row r="12" spans="2:6" ht="28.2" customHeight="1">
      <c r="B12" s="192" t="s">
        <v>100</v>
      </c>
      <c r="C12" s="193"/>
      <c r="D12" s="194"/>
    </row>
    <row r="13" spans="2:6" ht="22.95" customHeight="1">
      <c r="B13" s="193" t="s">
        <v>342</v>
      </c>
      <c r="C13" s="195">
        <f>VLOOKUP($B$12,'Résultats détaillés GES'!$A$66:$BJ$82,MATCH(C$8,'Résultats détaillés GES'!$A$66:$BJ$66),FALSE)</f>
        <v>18.954202849852887</v>
      </c>
      <c r="D13" s="195">
        <f>VLOOKUP($B$12,'Résultats détaillés GES'!$A$66:$BJ$82,MATCH(D$8,'Résultats détaillés GES'!$A$66:$BJ$66),FALSE)+IF(OR($D$6="Emissions avec CCS",$D$6="Emissions avec CCS et BECCS"),VLOOKUP($B$12,'Résultats détaillés GES'!$A$87:$BJ$103,MATCH(D$8,'Résultats détaillés GES'!$A$87:$BJ$87),FALSE),0)+IF($D$6="Emissions avec CCS et BECCS",VLOOKUP($B$12,'Résultats détaillés GES'!$A$106:$BJ$122,MATCH(D$8,'Résultats détaillés GES'!$A$106:$BJ$106),FALSE),0)</f>
        <v>12.448735262354351</v>
      </c>
      <c r="E13" s="315"/>
      <c r="F13" s="315"/>
    </row>
    <row r="14" spans="2:6" ht="22.95" customHeight="1">
      <c r="B14" s="193" t="str">
        <f>"% de baisse vs "&amp;TEXT($C$8,"#")</f>
        <v>% de baisse vs 2019</v>
      </c>
      <c r="C14" s="196"/>
      <c r="D14" s="197">
        <f>1-(D13/C13)</f>
        <v>0.3432203210566056</v>
      </c>
    </row>
    <row r="15" spans="2:6" ht="25.95" customHeight="1">
      <c r="B15" s="198" t="str">
        <f>"Variation annuelle moyenne entre " &amp;TEXT($D$8,"#")&amp;" et "&amp;TEXT($C$8,"#")&amp;" "</f>
        <v xml:space="preserve">Variation annuelle moyenne entre 2030 et 2019 </v>
      </c>
      <c r="C15" s="196"/>
      <c r="D15" s="197">
        <f>((D13/C13)^(1/($D$8-$C$8))-1)</f>
        <v>-3.7497665478770204E-2</v>
      </c>
    </row>
    <row r="16" spans="2:6" ht="25.95" customHeight="1">
      <c r="B16" s="225" t="s">
        <v>230</v>
      </c>
      <c r="C16" s="207"/>
      <c r="D16" s="226"/>
      <c r="E16" s="245" t="s">
        <v>615</v>
      </c>
    </row>
    <row r="17" spans="1:6" ht="25.95" customHeight="1">
      <c r="B17" s="208" t="s">
        <v>342</v>
      </c>
      <c r="C17" s="227">
        <f>VLOOKUP($B$16,'Résultats détaillés GES'!$A$66:$BJ$82,MATCH(C$8,'Résultats détaillés GES'!$A$66:$BJ$66),FALSE)</f>
        <v>4.6801559493755596</v>
      </c>
      <c r="D17" s="227">
        <f>VLOOKUP($B$16,'Résultats détaillés GES'!$A$66:$BJ$82,MATCH(D$8,'Résultats détaillés GES'!$A$66:$BJ$66),FALSE)+IF(OR($D$6="Emissions avec CCS",$D$6="Emissions avec CCS et BECCS"),VLOOKUP($B$16,'Résultats détaillés GES'!$A$87:$BJ$103,MATCH(D$8,'Résultats détaillés GES'!$A$87:$BJ$87),FALSE),0)+IF($D$6="Emissions avec CCS et BECCS",VLOOKUP($B$16,'Résultats détaillés GES'!$A$106:$BJ$122,MATCH(D$8,'Résultats détaillés GES'!$A$106:$BJ$106),FALSE),0)</f>
        <v>3.284871251780348</v>
      </c>
    </row>
    <row r="18" spans="1:6" ht="25.95" customHeight="1">
      <c r="B18" s="208" t="str">
        <f>"% de baisse vs "&amp;TEXT($C$8,"#")</f>
        <v>% de baisse vs 2019</v>
      </c>
      <c r="C18" s="221"/>
      <c r="D18" s="228">
        <f>IFERROR(1-(D17/C17),"")</f>
        <v>0.29812782152726658</v>
      </c>
    </row>
    <row r="19" spans="1:6" ht="25.95" customHeight="1">
      <c r="B19" s="229" t="str">
        <f>"Variation annuelle moyenne entre " &amp;TEXT($D$8,"#")&amp;" et "&amp;TEXT($C$8,"#")&amp;" "</f>
        <v xml:space="preserve">Variation annuelle moyenne entre 2030 et 2019 </v>
      </c>
      <c r="C19" s="221"/>
      <c r="D19" s="230">
        <f>IFERROR(((D17/C17)^(1/($D$8-$C$8))-1),"")</f>
        <v>-3.1669843805053777E-2</v>
      </c>
    </row>
    <row r="20" spans="1:6" ht="25.95" customHeight="1">
      <c r="B20" s="225" t="s">
        <v>231</v>
      </c>
      <c r="C20" s="207"/>
      <c r="D20" s="226"/>
      <c r="E20" s="245" t="s">
        <v>615</v>
      </c>
    </row>
    <row r="21" spans="1:6" ht="25.95" customHeight="1">
      <c r="B21" s="208" t="s">
        <v>342</v>
      </c>
      <c r="C21" s="227">
        <f>VLOOKUP($B$20,'Résultats détaillés GES'!$A$66:$BJ$82,MATCH(C$8,'Résultats détaillés GES'!$A$66:$BJ$66),FALSE)</f>
        <v>2.4962507050501079</v>
      </c>
      <c r="D21" s="227">
        <f>VLOOKUP($B$20,'Résultats détaillés GES'!$A$66:$BJ$82,MATCH(D$8,'Résultats détaillés GES'!$A$66:$BJ$66),FALSE)+IF(OR($D$6="Emissions avec CCS",$D$6="Emissions avec CCS et BECCS"),VLOOKUP($B$20,'Résultats détaillés GES'!$A$87:$BJ$103,MATCH(D$8,'Résultats détaillés GES'!$A$87:$BJ$87),FALSE),0)+IF($D$6="Emissions avec CCS et BECCS",VLOOKUP($B$20,'Résultats détaillés GES'!$A$106:$BJ$122,MATCH(D$8,'Résultats détaillés GES'!$A$106:$BJ$106),FALSE),0)</f>
        <v>1.5820537860818049</v>
      </c>
    </row>
    <row r="22" spans="1:6" ht="25.95" customHeight="1">
      <c r="B22" s="208" t="str">
        <f>"% de baisse vs "&amp;TEXT($C$8,"#")</f>
        <v>% de baisse vs 2019</v>
      </c>
      <c r="C22" s="221"/>
      <c r="D22" s="228">
        <f>IFERROR(1-(D21/C21),"")</f>
        <v>0.36622800631315278</v>
      </c>
    </row>
    <row r="23" spans="1:6" ht="25.95" customHeight="1">
      <c r="B23" s="229" t="str">
        <f>"Variation annuelle moyenne entre " &amp;TEXT($D$8,"#")&amp;" et "&amp;TEXT($C$8,"#")&amp;" "</f>
        <v xml:space="preserve">Variation annuelle moyenne entre 2030 et 2019 </v>
      </c>
      <c r="C23" s="221"/>
      <c r="D23" s="230">
        <f>IFERROR(((D21/C21)^(1/($D$8-$C$8))-1),"")</f>
        <v>-4.0612815019727466E-2</v>
      </c>
    </row>
    <row r="24" spans="1:6">
      <c r="B24" s="192" t="s">
        <v>16</v>
      </c>
      <c r="C24" s="193"/>
      <c r="D24" s="194"/>
    </row>
    <row r="25" spans="1:6" ht="22.95" customHeight="1">
      <c r="B25" s="193" t="s">
        <v>342</v>
      </c>
      <c r="C25" s="195">
        <f>VLOOKUP($B$24,'Résultats détaillés GES'!$A$66:$BJ$82,MATCH(C$8,'Résultats détaillés GES'!$A$66:$BJ$66),FALSE)</f>
        <v>5.0307253379031325</v>
      </c>
      <c r="D25" s="195">
        <f>VLOOKUP($B$24,'Résultats détaillés GES'!$A$66:$BJ$82,MATCH(D$8,'Résultats détaillés GES'!$A$66:$BJ$66),FALSE)+IF(OR($D$6="Emissions avec CCS",$D$6="Emissions avec CCS et BECCS"),VLOOKUP($B$24,'Résultats détaillés GES'!$A$87:$BJ$103,MATCH(D$8,'Résultats détaillés GES'!$A$87:$BJ$87),FALSE),0)+IF($D$6="Emissions avec CCS et BECCS",VLOOKUP($B$24,'Résultats détaillés GES'!$A$106:$BJ$122,MATCH(D$8,'Résultats détaillés GES'!$A$106:$BJ$106),FALSE),0)</f>
        <v>1.7193904009360792</v>
      </c>
      <c r="E25" s="5"/>
      <c r="F25" s="5"/>
    </row>
    <row r="26" spans="1:6" ht="22.95" customHeight="1">
      <c r="B26" s="193" t="str">
        <f>"% de baisse vs "&amp;TEXT($C$8,"#")</f>
        <v>% de baisse vs 2019</v>
      </c>
      <c r="C26" s="199"/>
      <c r="D26" s="200">
        <f>1-(D25/C25)</f>
        <v>0.65822216768988984</v>
      </c>
    </row>
    <row r="27" spans="1:6" ht="27" customHeight="1">
      <c r="B27" s="198" t="str">
        <f>"Variation annuelle moyenne entre " &amp;TEXT($D$8,"#")&amp;" et "&amp;TEXT($C$8,"#")&amp;" "</f>
        <v xml:space="preserve">Variation annuelle moyenne entre 2030 et 2019 </v>
      </c>
      <c r="C27" s="199"/>
      <c r="D27" s="197">
        <f>((D25/C25)^(1/($D$8-$C$8))-1)</f>
        <v>-9.2987899599375923E-2</v>
      </c>
    </row>
    <row r="28" spans="1:6" ht="28.8">
      <c r="B28" s="218" t="s">
        <v>101</v>
      </c>
      <c r="C28" s="193"/>
      <c r="D28" s="193"/>
    </row>
    <row r="29" spans="1:6" ht="22.95" customHeight="1">
      <c r="B29" s="193" t="s">
        <v>342</v>
      </c>
      <c r="C29" s="195">
        <f>VLOOKUP($B$28,'Résultats détaillés GES'!$A$66:$BJ$82,MATCH(C$8,'Résultats détaillés GES'!$A$66:$BJ$66),FALSE)</f>
        <v>3.1668673533701464</v>
      </c>
      <c r="D29" s="195">
        <f>VLOOKUP($B$28,'Résultats détaillés GES'!$A$66:$BJ$82,MATCH(D$8,'Résultats détaillés GES'!$A$66:$BJ$66),FALSE)+IF(OR($D$6="Emissions avec CCS",$D$6="Emissions avec CCS et BECCS"),VLOOKUP($B$28,'Résultats détaillés GES'!$A$87:$BJ$103,MATCH(D$8,'Résultats détaillés GES'!$A$87:$BJ$87),FALSE),0)+IF($D$6="Emissions avec CCS et BECCS",VLOOKUP($B$28,'Résultats détaillés GES'!$A$106:$BJ$122,MATCH(D$8,'Résultats détaillés GES'!$A$106:$BJ$106),FALSE),0)</f>
        <v>1.5501050784515291</v>
      </c>
      <c r="E29" s="5"/>
      <c r="F29" s="5"/>
    </row>
    <row r="30" spans="1:6" ht="22.95" customHeight="1">
      <c r="A30" t="s">
        <v>188</v>
      </c>
      <c r="B30" s="193" t="str">
        <f>"% de baisse vs "&amp;TEXT($C$8,"#")</f>
        <v>% de baisse vs 2019</v>
      </c>
      <c r="C30" s="190"/>
      <c r="D30" s="201">
        <f>1-(D29/C29)</f>
        <v>0.51052415352922065</v>
      </c>
    </row>
    <row r="31" spans="1:6" ht="31.2" customHeight="1">
      <c r="B31" s="198" t="str">
        <f>"Variation annuelle moyenne entre " &amp;TEXT($D$8,"#")&amp;" et "&amp;TEXT($C$8,"#")&amp;" "</f>
        <v xml:space="preserve">Variation annuelle moyenne entre 2030 et 2019 </v>
      </c>
      <c r="C31" s="190"/>
      <c r="D31" s="197">
        <f>((D29/C29)^(1/($D$8-$C$8))-1)</f>
        <v>-6.2883140066509191E-2</v>
      </c>
    </row>
    <row r="32" spans="1:6">
      <c r="B32" s="192" t="s">
        <v>232</v>
      </c>
      <c r="C32" s="193"/>
      <c r="D32" s="193"/>
    </row>
    <row r="33" spans="1:8" ht="22.95" customHeight="1">
      <c r="B33" s="193" t="s">
        <v>342</v>
      </c>
      <c r="C33" s="195">
        <f>VLOOKUP($B$32,'Résultats détaillés GES'!$A$66:$BJ$82,MATCH(C$8,'Résultats détaillés GES'!$A$66:$BJ$66),FALSE)</f>
        <v>10.19132945229352</v>
      </c>
      <c r="D33" s="195">
        <f>VLOOKUP($B$32,'Résultats détaillés GES'!$A$66:$BJ$82,MATCH(D$8,'Résultats détaillés GES'!$A$66:$BJ$66),FALSE)+IF(OR($D$6="Emissions avec CCS",$D$6="Emissions avec CCS et BECCS"),VLOOKUP($B$32,'Résultats détaillés GES'!$A$87:$BJ$103,MATCH(D$8,'Résultats détaillés GES'!$A$87:$BJ$87),FALSE),0)+IF($D$6="Emissions avec CCS et BECCS",VLOOKUP($B$32,'Résultats détaillés GES'!$A$106:$BJ$122,MATCH(D$8,'Résultats détaillés GES'!$A$106:$BJ$106),FALSE),0)</f>
        <v>3.517245794422494</v>
      </c>
      <c r="E33" s="5"/>
      <c r="F33" s="5"/>
    </row>
    <row r="34" spans="1:8" ht="22.95" customHeight="1">
      <c r="A34" t="s">
        <v>188</v>
      </c>
      <c r="B34" s="193" t="str">
        <f>"% de baisse vs "&amp;TEXT($C$8,"#")</f>
        <v>% de baisse vs 2019</v>
      </c>
      <c r="C34" s="190"/>
      <c r="D34" s="201">
        <f>1-(D33/C33)</f>
        <v>0.65487860922492791</v>
      </c>
    </row>
    <row r="35" spans="1:8" ht="30.6" customHeight="1">
      <c r="B35" s="198" t="str">
        <f>"Variation annuelle moyenne entre " &amp;TEXT($D$8,"#")&amp;" et "&amp;TEXT($C$8,"#")&amp;" "</f>
        <v xml:space="preserve">Variation annuelle moyenne entre 2030 et 2019 </v>
      </c>
      <c r="C35" s="190"/>
      <c r="D35" s="197">
        <f>((D33/C33)^(1/($D$8-$C$8))-1)</f>
        <v>-9.2184813861294956E-2</v>
      </c>
    </row>
    <row r="36" spans="1:8" ht="30.6" customHeight="1">
      <c r="B36" s="225" t="s">
        <v>233</v>
      </c>
      <c r="C36" s="207"/>
      <c r="D36" s="226"/>
      <c r="E36" s="245" t="s">
        <v>615</v>
      </c>
    </row>
    <row r="37" spans="1:8" ht="30.6" customHeight="1">
      <c r="B37" s="208" t="s">
        <v>342</v>
      </c>
      <c r="C37" s="227">
        <f>VLOOKUP($B$36,'Résultats détaillés GES'!$A$66:$BJ$82,MATCH(C$8,'Résultats détaillés GES'!$A$66:$BJ$66),FALSE)</f>
        <v>1.8250520019531249</v>
      </c>
      <c r="D37" s="227">
        <f>VLOOKUP($B$36,'Résultats détaillés GES'!$A$66:$BJ$82,MATCH(D$8,'Résultats détaillés GES'!$A$66:$BJ$66),FALSE)+IF(OR($D$6="Emissions avec CCS",$D$6="Emissions avec CCS et BECCS"),VLOOKUP($B$36,'Résultats détaillés GES'!$A$87:$BJ$103,MATCH(D$8,'Résultats détaillés GES'!$A$87:$BJ$87),FALSE),0)+IF($D$6="Emissions avec CCS et BECCS",VLOOKUP($B$36,'Résultats détaillés GES'!$A$106:$BJ$122,MATCH(D$8,'Résultats détaillés GES'!$A$106:$BJ$106),FALSE),0)</f>
        <v>1.2947054443359376</v>
      </c>
    </row>
    <row r="38" spans="1:8" ht="30.6" customHeight="1">
      <c r="B38" s="208" t="str">
        <f>"% de baisse vs "&amp;TEXT($C$8,"#")</f>
        <v>% de baisse vs 2019</v>
      </c>
      <c r="C38" s="221"/>
      <c r="D38" s="228">
        <f>IFERROR(1-(D37/C37),"")</f>
        <v>0.29059257327989763</v>
      </c>
    </row>
    <row r="39" spans="1:8" ht="30.6" customHeight="1">
      <c r="B39" s="229" t="str">
        <f>"Variation annuelle moyenne entre " &amp;TEXT($D$8,"#")&amp;" et "&amp;TEXT($C$8,"#")&amp;" "</f>
        <v xml:space="preserve">Variation annuelle moyenne entre 2030 et 2019 </v>
      </c>
      <c r="C39" s="221"/>
      <c r="D39" s="230">
        <f>IFERROR(((D37/C37)^(1/($D$8-$C$8))-1),"")</f>
        <v>-3.0729340739397482E-2</v>
      </c>
    </row>
    <row r="40" spans="1:8" ht="28.8">
      <c r="B40" s="218" t="s">
        <v>234</v>
      </c>
      <c r="C40" s="202"/>
      <c r="D40" s="203"/>
      <c r="G40" s="6"/>
      <c r="H40" s="6"/>
    </row>
    <row r="41" spans="1:8" ht="22.95" customHeight="1">
      <c r="B41" s="193" t="s">
        <v>342</v>
      </c>
      <c r="C41" s="195">
        <f>VLOOKUP($B$40,'Résultats détaillés GES'!$A$66:$BJ$82,MATCH(C$8,'Résultats détaillés GES'!$A$66:$BJ$66),FALSE)</f>
        <v>16.853746326450157</v>
      </c>
      <c r="D41" s="195">
        <f>VLOOKUP($B$40,'Résultats détaillés GES'!$A$66:$BJ$82,MATCH(D$8,'Résultats détaillés GES'!$A$66:$BJ$66),FALSE)+IF(OR($D$6="Emissions avec CCS",$D$6="Emissions avec CCS et BECCS"),VLOOKUP($B$40,'Résultats détaillés GES'!$A$87:$BJ$103,MATCH(D$8,'Résultats détaillés GES'!$A$87:$BJ$87),FALSE),0)+IF($D$6="Emissions avec CCS et BECCS",VLOOKUP($B$40,'Résultats détaillés GES'!$A$106:$BJ$122,MATCH(D$8,'Résultats détaillés GES'!$A$106:$BJ$106),FALSE),0)</f>
        <v>11.388228443380402</v>
      </c>
      <c r="E41" s="5"/>
      <c r="F41" s="5"/>
      <c r="G41" s="6"/>
      <c r="H41" s="6"/>
    </row>
    <row r="42" spans="1:8" ht="22.95" customHeight="1">
      <c r="A42" t="s">
        <v>188</v>
      </c>
      <c r="B42" s="193" t="str">
        <f>"% de baisse vs "&amp;TEXT($C$8,"#")</f>
        <v>% de baisse vs 2019</v>
      </c>
      <c r="C42" s="196"/>
      <c r="D42" s="205">
        <f>1-(D41/C41)</f>
        <v>0.32429097823148123</v>
      </c>
      <c r="G42" s="6"/>
      <c r="H42" s="6"/>
    </row>
    <row r="43" spans="1:8" ht="32.4" customHeight="1">
      <c r="B43" s="198" t="str">
        <f>"Variation annuelle moyenne entre " &amp;TEXT($D$8,"#")&amp;" et "&amp;TEXT($C$8,"#")&amp;" "</f>
        <v xml:space="preserve">Variation annuelle moyenne entre 2030 et 2019 </v>
      </c>
      <c r="C43" s="196"/>
      <c r="D43" s="197">
        <f>((D41/C41)^(1/($D$8-$C$8))-1)</f>
        <v>-3.5008227265580505E-2</v>
      </c>
      <c r="G43" s="6"/>
      <c r="H43" s="6"/>
    </row>
    <row r="44" spans="1:8">
      <c r="B44" s="192" t="s">
        <v>29</v>
      </c>
      <c r="C44" s="202"/>
      <c r="D44" s="203"/>
    </row>
    <row r="45" spans="1:8" ht="22.95" customHeight="1">
      <c r="B45" s="193" t="s">
        <v>342</v>
      </c>
      <c r="C45" s="195">
        <f>VLOOKUP($B$44,'Résultats détaillés GES'!$A$66:$BJ$82,MATCH(C$8,'Résultats détaillés GES'!$A$66:$BJ$66),FALSE)</f>
        <v>2.443724681039031</v>
      </c>
      <c r="D45" s="195">
        <f>VLOOKUP($B$44,'Résultats détaillés GES'!$A$66:$BJ$82,MATCH(D$8,'Résultats détaillés GES'!$A$66:$BJ$66),FALSE)+IF(OR($D$6="Emissions avec CCS",$D$6="Emissions avec CCS et BECCS"),VLOOKUP($B$44,'Résultats détaillés GES'!$A$87:$BJ$103,MATCH(D$8,'Résultats détaillés GES'!$A$87:$BJ$87),FALSE),0)+IF($D$6="Emissions avec CCS et BECCS",VLOOKUP($B$44,'Résultats détaillés GES'!$A$106:$BJ$122,MATCH(D$8,'Résultats détaillés GES'!$A$106:$BJ$106),FALSE),0)</f>
        <v>1.3729198552096222</v>
      </c>
      <c r="E45" s="5"/>
      <c r="F45" s="5"/>
    </row>
    <row r="46" spans="1:8" ht="22.95" customHeight="1">
      <c r="A46" t="s">
        <v>188</v>
      </c>
      <c r="B46" s="193" t="str">
        <f>"% de baisse vs "&amp;TEXT($C$8,"#")</f>
        <v>% de baisse vs 2019</v>
      </c>
      <c r="C46" s="196"/>
      <c r="D46" s="205">
        <f>1-(D45/C45)</f>
        <v>0.43818554280595978</v>
      </c>
    </row>
    <row r="47" spans="1:8" ht="30.6" customHeight="1">
      <c r="B47" s="198" t="str">
        <f>"Variation annuelle moyenne entre " &amp;TEXT($D$8,"#")&amp;" et "&amp;TEXT($C$8,"#")&amp;" "</f>
        <v xml:space="preserve">Variation annuelle moyenne entre 2030 et 2019 </v>
      </c>
      <c r="C47" s="196"/>
      <c r="D47" s="197">
        <f>((D45/C45)^(1/($D$8-$C$8))-1)</f>
        <v>-5.1066630129644741E-2</v>
      </c>
    </row>
    <row r="48" spans="1:8">
      <c r="B48" s="225" t="s">
        <v>235</v>
      </c>
      <c r="C48" s="207"/>
      <c r="D48" s="226"/>
      <c r="E48" s="245" t="s">
        <v>615</v>
      </c>
    </row>
    <row r="49" spans="1:8" s="6" customFormat="1" ht="22.95" customHeight="1">
      <c r="B49" s="208" t="s">
        <v>342</v>
      </c>
      <c r="C49" s="227">
        <f>VLOOKUP($B$48,'Résultats détaillés GES'!$A$66:$BJ$82,MATCH(C$8,'Résultats détaillés GES'!$A$66:$BJ$66),FALSE)</f>
        <v>1.2314296853923843</v>
      </c>
      <c r="D49" s="227">
        <f>VLOOKUP($B$48,'Résultats détaillés GES'!$A$66:$BJ$82,MATCH(D$8,'Résultats détaillés GES'!$A$66:$BJ$66),FALSE)+IF(OR($D$6="Emissions avec CCS",$D$6="Emissions avec CCS et BECCS"),VLOOKUP($B$48,'Résultats détaillés GES'!$A$87:$BJ$103,MATCH(D$8,'Résultats détaillés GES'!$A$87:$BJ$87),FALSE),0)+IF($D$6="Emissions avec CCS et BECCS",VLOOKUP($B$48,'Résultats détaillés GES'!$A$106:$BJ$122,MATCH(D$8,'Résultats détaillés GES'!$A$106:$BJ$106),FALSE),0)</f>
        <v>0.70018645646962363</v>
      </c>
      <c r="E49" s="5"/>
      <c r="F49" s="5"/>
      <c r="G49"/>
      <c r="H49"/>
    </row>
    <row r="50" spans="1:8" ht="22.95" customHeight="1">
      <c r="B50" s="208" t="str">
        <f>"% de baisse vs "&amp;TEXT($C$8,"#")</f>
        <v>% de baisse vs 2019</v>
      </c>
      <c r="C50" s="221"/>
      <c r="D50" s="228">
        <f>IFERROR(1-(D49/C49),"")</f>
        <v>0.43140362395396104</v>
      </c>
    </row>
    <row r="51" spans="1:8" ht="30.6" customHeight="1">
      <c r="B51" s="229" t="str">
        <f>"Variation annuelle moyenne entre " &amp;TEXT($D$8,"#")&amp;" et "&amp;TEXT($C$8,"#")&amp;" "</f>
        <v xml:space="preserve">Variation annuelle moyenne entre 2030 et 2019 </v>
      </c>
      <c r="C51" s="221"/>
      <c r="D51" s="230">
        <f>IFERROR(((D49/C49)^(1/($D$8-$C$8))-1),"")</f>
        <v>-5.0030936245465285E-2</v>
      </c>
    </row>
    <row r="52" spans="1:8" ht="28.8">
      <c r="B52" s="218" t="s">
        <v>31</v>
      </c>
      <c r="C52" s="202"/>
      <c r="D52" s="203"/>
    </row>
    <row r="53" spans="1:8" ht="22.95" customHeight="1">
      <c r="B53" s="193" t="s">
        <v>342</v>
      </c>
      <c r="C53" s="195">
        <f>VLOOKUP($B$52,'Résultats détaillés GES'!$A$66:$BJ$82,MATCH(C$8,'Résultats détaillés GES'!$A$66:$BJ$66),FALSE)</f>
        <v>19.552406543291401</v>
      </c>
      <c r="D53" s="195">
        <f>VLOOKUP($B$52,'Résultats détaillés GES'!$A$66:$BJ$82,MATCH(D$8,'Résultats détaillés GES'!$A$66:$BJ$66),FALSE)+IF(OR($D$6="Emissions avec CCS",$D$6="Emissions avec CCS et BECCS"),VLOOKUP($B$52,'Résultats détaillés GES'!$A$87:$BJ$103,MATCH(D$8,'Résultats détaillés GES'!$A$87:$BJ$87),FALSE),0)+IF($D$6="Emissions avec CCS et BECCS",VLOOKUP($B$52,'Résultats détaillés GES'!$A$106:$BJ$122,MATCH(D$8,'Résultats détaillés GES'!$A$106:$BJ$106),FALSE),0)</f>
        <v>10.912724662674371</v>
      </c>
      <c r="E53" s="5"/>
      <c r="F53" s="5"/>
    </row>
    <row r="54" spans="1:8" ht="22.95" customHeight="1">
      <c r="A54" t="s">
        <v>188</v>
      </c>
      <c r="B54" s="193" t="str">
        <f>"% de baisse vs "&amp;TEXT($C$8,"#")</f>
        <v>% de baisse vs 2019</v>
      </c>
      <c r="C54" s="196"/>
      <c r="D54" s="205">
        <f>1-(D53/C53)</f>
        <v>0.44187306874413257</v>
      </c>
    </row>
    <row r="55" spans="1:8" ht="30.6" customHeight="1">
      <c r="B55" s="198" t="str">
        <f>"Variation annuelle moyenne entre " &amp;TEXT($D$8,"#")&amp;" et "&amp;TEXT($C$8,"#")&amp;" "</f>
        <v xml:space="preserve">Variation annuelle moyenne entre 2030 et 2019 </v>
      </c>
      <c r="C55" s="196"/>
      <c r="D55" s="197">
        <f>((D53/C53)^(1/($D$8-$C$8))-1)</f>
        <v>-5.1634546513483315E-2</v>
      </c>
    </row>
    <row r="56" spans="1:8">
      <c r="B56" s="220" t="s">
        <v>236</v>
      </c>
      <c r="C56" s="207"/>
      <c r="D56" s="226"/>
      <c r="E56" s="245" t="s">
        <v>615</v>
      </c>
    </row>
    <row r="57" spans="1:8" s="6" customFormat="1" ht="22.95" customHeight="1">
      <c r="B57" s="208" t="s">
        <v>342</v>
      </c>
      <c r="C57" s="227">
        <f>VLOOKUP($B$56,'Résultats détaillés GES'!$A$66:$BJ$82,MATCH(C$8,'Résultats détaillés GES'!$A$66:$BJ$66),FALSE)</f>
        <v>9.4286610506694082</v>
      </c>
      <c r="D57" s="227">
        <f>VLOOKUP($B$56,'Résultats détaillés GES'!$A$66:$BJ$82,MATCH(D$8,'Résultats détaillés GES'!$A$66:$BJ$66),FALSE)+IF(OR($D$6="Emissions avec CCS",$D$6="Emissions avec CCS et BECCS"),VLOOKUP($B$56,'Résultats détaillés GES'!$A$87:$BJ$103,MATCH(D$8,'Résultats détaillés GES'!$A$87:$BJ$87),FALSE),0)+IF($D$6="Emissions avec CCS et BECCS",VLOOKUP($B$56,'Résultats détaillés GES'!$A$106:$BJ$122,MATCH(D$8,'Résultats détaillés GES'!$A$106:$BJ$106),FALSE),0)</f>
        <v>7.2203194904198043</v>
      </c>
      <c r="E57" s="5"/>
      <c r="F57" s="5"/>
      <c r="G57"/>
      <c r="H57"/>
    </row>
    <row r="58" spans="1:8" ht="22.95" customHeight="1">
      <c r="B58" s="208" t="str">
        <f>"% de baisse vs "&amp;TEXT($C$8,"#")</f>
        <v>% de baisse vs 2019</v>
      </c>
      <c r="C58" s="221"/>
      <c r="D58" s="228">
        <f>IFERROR(1-(D57/C57),"")</f>
        <v>0.23421581795994439</v>
      </c>
    </row>
    <row r="59" spans="1:8" ht="33" customHeight="1">
      <c r="B59" s="229" t="str">
        <f>"Variation annuelle moyenne entre " &amp;TEXT($D$8,"#")&amp;" et "&amp;TEXT($C$8,"#")&amp;" "</f>
        <v xml:space="preserve">Variation annuelle moyenne entre 2030 et 2019 </v>
      </c>
      <c r="C59" s="221"/>
      <c r="D59" s="230">
        <f>IFERROR(((D57/C57)^(1/($D$8-$C$8))-1),"")</f>
        <v>-2.3967638618721754E-2</v>
      </c>
    </row>
    <row r="60" spans="1:8" ht="22.95" customHeight="1">
      <c r="B60" s="220" t="s">
        <v>367</v>
      </c>
      <c r="C60" s="196"/>
      <c r="D60" s="205"/>
      <c r="E60" s="245" t="s">
        <v>615</v>
      </c>
    </row>
    <row r="61" spans="1:8" ht="22.95" customHeight="1">
      <c r="B61" s="208" t="s">
        <v>342</v>
      </c>
      <c r="C61" s="227">
        <f>IF(C8&gt;=2015,VLOOKUP($B$60,'Résultats détaillés GES'!$A$66:$BJ$82,MATCH(C$8,'Résultats détaillés GES'!$A$66:$BJ$66),FALSE),"Indisponible")</f>
        <v>3.0333811604055017</v>
      </c>
      <c r="D61" s="227">
        <f>IF(D8&gt;=2015,VLOOKUP($B$60,'Résultats détaillés GES'!$A$66:$BJ$82,MATCH(D$8,'Résultats détaillés GES'!$A$66:$BJ$66),FALSE),"Indisponible")+IF(OR($D$6="Emissions avec CCS",$D$6="Emissions avec CCS et BECCS"),VLOOKUP($B$60,'Résultats détaillés GES'!$A$87:$BJ$103,MATCH(D$8,'Résultats détaillés GES'!$A$87:$BJ$87),FALSE),0)+IF($D$6="Emissions avec CCS et BECCS",VLOOKUP($B$60,'Résultats détaillés GES'!$A$106:$BJ$122,MATCH(D$8,'Résultats détaillés GES'!$A$106:$BJ$106),FALSE),0)</f>
        <v>1.3328273505896977</v>
      </c>
    </row>
    <row r="62" spans="1:8" ht="22.95" customHeight="1">
      <c r="B62" s="208" t="str">
        <f>"% de baisse vs "&amp;TEXT($C$8,"#")</f>
        <v>% de baisse vs 2019</v>
      </c>
      <c r="C62" s="196"/>
      <c r="D62" s="228">
        <f>IFERROR(1-(D61/C61),"")</f>
        <v>0.5606132958208504</v>
      </c>
    </row>
    <row r="63" spans="1:8" ht="33" customHeight="1">
      <c r="B63" s="229" t="str">
        <f>"Variation annuelle moyenne entre " &amp;TEXT($D$8,"#")&amp;" et "&amp;TEXT($C$8,"#")&amp;" "</f>
        <v xml:space="preserve">Variation annuelle moyenne entre 2030 et 2019 </v>
      </c>
      <c r="C63" s="196"/>
      <c r="D63" s="230">
        <f>IFERROR(((D61/C61)^(1/($D$8-$C$8))-1),"")</f>
        <v>-7.2035125853788462E-2</v>
      </c>
    </row>
    <row r="64" spans="1:8">
      <c r="B64" s="192" t="s">
        <v>34</v>
      </c>
      <c r="C64" s="202"/>
      <c r="D64" s="203"/>
    </row>
    <row r="65" spans="1:6" ht="22.95" customHeight="1">
      <c r="B65" s="193" t="s">
        <v>342</v>
      </c>
      <c r="C65" s="195">
        <f>VLOOKUP($B$64,'Résultats détaillés GES'!$A$66:$BJ$82,MATCH(C$8,'Résultats détaillés GES'!$A$66:$BJ$66),FALSE)</f>
        <v>2.4632580997546101</v>
      </c>
      <c r="D65" s="195">
        <f>VLOOKUP($B$64,'Résultats détaillés GES'!$A$66:$BJ$82,MATCH(D$8,'Résultats détaillés GES'!$A$66:$BJ$66),FALSE)+IF(OR($D$6="Emissions avec CCS",$D$6="Emissions avec CCS et BECCS"),VLOOKUP($B$64,'Résultats détaillés GES'!$A$87:$BJ$103,MATCH(D$8,'Résultats détaillés GES'!$A$87:$BJ$87),FALSE),0)+IF($D$6="Emissions avec CCS et BECCS",VLOOKUP($B$64,'Résultats détaillés GES'!$A$106:$BJ$122,MATCH(D$8,'Résultats détaillés GES'!$A$106:$BJ$106),FALSE),0)</f>
        <v>0.97828297076302839</v>
      </c>
      <c r="E65" s="5"/>
      <c r="F65" s="5"/>
    </row>
    <row r="66" spans="1:6" ht="22.95" customHeight="1">
      <c r="A66" t="s">
        <v>237</v>
      </c>
      <c r="B66" s="193" t="str">
        <f>"% de baisse vs "&amp;TEXT($C$8,"#")</f>
        <v>% de baisse vs 2019</v>
      </c>
      <c r="C66" s="196"/>
      <c r="D66" s="205">
        <f>1-(D65/C65)</f>
        <v>0.60284999332368583</v>
      </c>
    </row>
    <row r="67" spans="1:6" ht="34.200000000000003" customHeight="1">
      <c r="B67" s="198" t="str">
        <f>"Variation annuelle moyenne entre " &amp;TEXT($D$8,"#")&amp;" et "&amp;TEXT($C$8,"#")&amp;" "</f>
        <v xml:space="preserve">Variation annuelle moyenne entre 2030 et 2019 </v>
      </c>
      <c r="C67" s="196"/>
      <c r="D67" s="197">
        <f>((D65/C65)^(1/($D$8-$C$8))-1)</f>
        <v>-8.0522037206600894E-2</v>
      </c>
    </row>
    <row r="68" spans="1:6">
      <c r="B68" s="192" t="s">
        <v>35</v>
      </c>
      <c r="C68" s="202"/>
      <c r="D68" s="203"/>
    </row>
    <row r="69" spans="1:6" ht="22.95" customHeight="1">
      <c r="B69" s="193" t="s">
        <v>342</v>
      </c>
      <c r="C69" s="195">
        <f>VLOOKUP($B$68,'Résultats détaillés GES'!$A$66:$BJ$82,MATCH(C$8,'Résultats détaillés GES'!$A$66:$BJ$66),FALSE)</f>
        <v>2.838808944001844</v>
      </c>
      <c r="D69" s="195">
        <f>VLOOKUP($B$68,'Résultats détaillés GES'!$A$66:$BJ$82,MATCH(D$8,'Résultats détaillés GES'!$A$66:$BJ$66),FALSE)+IF(OR($D$6="Emissions avec CCS",$D$6="Emissions avec CCS et BECCS"),VLOOKUP($B$68,'Résultats détaillés GES'!$A$87:$BJ$103,MATCH(D$8,'Résultats détaillés GES'!$A$87:$BJ$87),FALSE),0)+IF($D$6="Emissions avec CCS et BECCS",VLOOKUP($B$68,'Résultats détaillés GES'!$A$106:$BJ$122,MATCH(D$8,'Résultats détaillés GES'!$A$106:$BJ$106),FALSE),0)</f>
        <v>1.3809407634431656</v>
      </c>
      <c r="E69" s="5"/>
      <c r="F69" s="5"/>
    </row>
    <row r="70" spans="1:6" ht="22.95" customHeight="1">
      <c r="A70" t="s">
        <v>188</v>
      </c>
      <c r="B70" s="193" t="str">
        <f>"% de baisse vs "&amp;TEXT($C$8,"#")</f>
        <v>% de baisse vs 2019</v>
      </c>
      <c r="C70" s="196"/>
      <c r="D70" s="205">
        <f>1-(D69/C69)</f>
        <v>0.51354924171245364</v>
      </c>
    </row>
    <row r="71" spans="1:6" ht="32.4" customHeight="1">
      <c r="B71" s="198" t="str">
        <f>"Variation annuelle moyenne entre " &amp;TEXT($D$8,"#")&amp;" et "&amp;TEXT($C$8,"#")&amp;" "</f>
        <v xml:space="preserve">Variation annuelle moyenne entre 2030 et 2019 </v>
      </c>
      <c r="C71" s="196"/>
      <c r="D71" s="197">
        <f>((D69/C69)^(1/($D$8-$C$8))-1)</f>
        <v>-6.3411136463969675E-2</v>
      </c>
    </row>
    <row r="72" spans="1:6" ht="22.95" customHeight="1">
      <c r="D72" s="5"/>
      <c r="E72" s="5"/>
    </row>
    <row r="74" spans="1:6">
      <c r="B74" s="28" t="s">
        <v>601</v>
      </c>
    </row>
    <row r="75" spans="1:6" ht="28.2" customHeight="1">
      <c r="B75" s="53"/>
      <c r="C75" s="52"/>
    </row>
    <row r="76" spans="1:6" ht="36" customHeight="1">
      <c r="B76" s="171" t="str">
        <f>"Baisse globale entre "&amp;TEXT($D$8,"#")&amp;" et "&amp;TEXT($C$8,"#")&amp;" "</f>
        <v xml:space="preserve">Baisse globale entre 2030 et 2019 </v>
      </c>
      <c r="C76" s="458">
        <f>D10</f>
        <v>0.44452377965298662</v>
      </c>
      <c r="D76" s="458"/>
      <c r="E76" s="458"/>
    </row>
    <row r="77" spans="1:6" ht="36" customHeight="1">
      <c r="B77" s="171" t="s">
        <v>189</v>
      </c>
      <c r="C77" s="486" t="s">
        <v>600</v>
      </c>
      <c r="D77" s="486"/>
      <c r="E77" s="486"/>
    </row>
    <row r="78" spans="1:6" ht="71.400000000000006" customHeight="1">
      <c r="B78" s="444" t="s">
        <v>134</v>
      </c>
      <c r="C78" s="451" t="s">
        <v>550</v>
      </c>
      <c r="D78" s="451"/>
      <c r="E78" s="451"/>
    </row>
    <row r="79" spans="1:6" ht="47.4" customHeight="1">
      <c r="B79" s="453"/>
      <c r="C79" s="460" t="s">
        <v>633</v>
      </c>
      <c r="D79" s="461"/>
      <c r="E79" s="462"/>
    </row>
    <row r="80" spans="1:6" ht="58.95" customHeight="1">
      <c r="B80" s="444" t="s">
        <v>135</v>
      </c>
      <c r="C80" s="446" t="s">
        <v>632</v>
      </c>
      <c r="D80" s="447"/>
      <c r="E80" s="448"/>
    </row>
    <row r="81" spans="2:5" ht="73.2" customHeight="1">
      <c r="B81" s="445"/>
      <c r="C81" s="451" t="s">
        <v>549</v>
      </c>
      <c r="D81" s="451"/>
      <c r="E81" s="451"/>
    </row>
    <row r="82" spans="2:5" ht="46.2" customHeight="1">
      <c r="B82" s="444" t="s">
        <v>546</v>
      </c>
      <c r="C82" s="446" t="s">
        <v>548</v>
      </c>
      <c r="D82" s="447"/>
      <c r="E82" s="448"/>
    </row>
    <row r="83" spans="2:5" ht="41.4" customHeight="1">
      <c r="B83" s="453"/>
      <c r="C83" s="460" t="s">
        <v>547</v>
      </c>
      <c r="D83" s="461"/>
      <c r="E83" s="462"/>
    </row>
    <row r="84" spans="2:5" ht="78.599999999999994" customHeight="1">
      <c r="B84" s="445"/>
      <c r="C84" s="446" t="s">
        <v>606</v>
      </c>
      <c r="D84" s="447"/>
      <c r="E84" s="448"/>
    </row>
    <row r="85" spans="2:5" ht="45" customHeight="1">
      <c r="B85" s="452" t="s">
        <v>136</v>
      </c>
      <c r="C85" s="451" t="s">
        <v>238</v>
      </c>
      <c r="D85" s="451"/>
      <c r="E85" s="451"/>
    </row>
    <row r="86" spans="2:5" ht="58.2" customHeight="1">
      <c r="B86" s="452"/>
      <c r="C86" s="459" t="s">
        <v>631</v>
      </c>
      <c r="D86" s="459"/>
      <c r="E86" s="459"/>
    </row>
    <row r="87" spans="2:5" ht="58.8" customHeight="1">
      <c r="B87" s="169" t="s">
        <v>137</v>
      </c>
      <c r="C87" s="451" t="s">
        <v>583</v>
      </c>
      <c r="D87" s="451"/>
      <c r="E87" s="451"/>
    </row>
    <row r="88" spans="2:5" ht="45" customHeight="1">
      <c r="B88" s="483" t="s">
        <v>138</v>
      </c>
      <c r="C88" s="451" t="s">
        <v>605</v>
      </c>
      <c r="D88" s="451"/>
      <c r="E88" s="451"/>
    </row>
    <row r="89" spans="2:5" ht="45" customHeight="1">
      <c r="B89" s="484"/>
      <c r="C89" s="446" t="s">
        <v>569</v>
      </c>
      <c r="D89" s="447"/>
      <c r="E89" s="448"/>
    </row>
    <row r="90" spans="2:5" ht="87" customHeight="1">
      <c r="B90" s="484"/>
      <c r="C90" s="446" t="s">
        <v>551</v>
      </c>
      <c r="D90" s="447"/>
      <c r="E90" s="448"/>
    </row>
    <row r="91" spans="2:5" ht="87" customHeight="1">
      <c r="B91" s="485"/>
      <c r="C91" s="446" t="s">
        <v>552</v>
      </c>
      <c r="D91" s="447"/>
      <c r="E91" s="448"/>
    </row>
    <row r="92" spans="2:5" ht="45" customHeight="1">
      <c r="B92" s="169" t="s">
        <v>139</v>
      </c>
      <c r="C92" s="451" t="s">
        <v>630</v>
      </c>
      <c r="D92" s="451"/>
      <c r="E92" s="451"/>
    </row>
    <row r="95" spans="2:5">
      <c r="B95" s="41" t="s">
        <v>193</v>
      </c>
    </row>
    <row r="98" spans="1:6">
      <c r="B98" s="171" t="s">
        <v>194</v>
      </c>
      <c r="C98" s="171">
        <f>C8</f>
        <v>2019</v>
      </c>
      <c r="D98" s="171">
        <f>D8</f>
        <v>2030</v>
      </c>
      <c r="E98" s="171" t="s">
        <v>195</v>
      </c>
      <c r="F98" s="171" t="s">
        <v>196</v>
      </c>
    </row>
    <row r="99" spans="1:6" ht="28.8">
      <c r="A99" s="323" t="str">
        <f>Intensités!B34</f>
        <v>Production de la branche chimie diffuse /2019</v>
      </c>
      <c r="B99" s="193" t="s">
        <v>100</v>
      </c>
      <c r="C99" s="236"/>
      <c r="D99" s="205">
        <f>VLOOKUP($A99,Tableau14[[Variables]:[Intégrée au calcul d''intensité]],MATCH(TEXT(D$98,"#"),Tableau14[[#Headers],[2019]:[2050]])+2,FALSE)/VLOOKUP($A99,Tableau14[[Variables]:[Intégrée au calcul d''intensité]],MATCH(TEXT(C$98,"#"),Tableau14[[#Headers],[2019]:[2050]])+2,FALSE)-1</f>
        <v>-0.37725341884451336</v>
      </c>
      <c r="E99" s="236" t="s">
        <v>419</v>
      </c>
      <c r="F99" s="326" t="s">
        <v>585</v>
      </c>
    </row>
    <row r="100" spans="1:6">
      <c r="A100" s="323" t="str">
        <f>Intensités!B33</f>
        <v>Production d'éthylène</v>
      </c>
      <c r="B100" s="325" t="s">
        <v>239</v>
      </c>
      <c r="C100" s="236">
        <f>VLOOKUP($A100,Tableau14[[Variables]:[Intégrée au calcul d''intensité]],MATCH(TEXT(C$98,"#"),Tableau14[[#Headers],[2019]:[2050]])+2,FALSE)</f>
        <v>1.9998653346563446</v>
      </c>
      <c r="D100" s="236">
        <f>VLOOKUP($A100,Tableau14[[Variables]:[Intégrée au calcul d''intensité]],MATCH(TEXT(D$98,"#"),Tableau14[[#Headers],[2019]:[2050]])+2,FALSE)</f>
        <v>1.7288795194218678</v>
      </c>
      <c r="E100" s="236" t="str">
        <f>VLOOKUP($A100,Tableau14[[Variables]:[Intégrée au calcul d''intensité]],MATCH("Unité",Tableau14[#Headers],0)-1,FALSE)</f>
        <v>Mt CO2e/Mt</v>
      </c>
      <c r="F100" s="326" t="s">
        <v>197</v>
      </c>
    </row>
    <row r="101" spans="1:6" ht="28.8">
      <c r="A101" s="323" t="str">
        <f>Intensités!B40</f>
        <v>Production de la branche construction / 2019</v>
      </c>
      <c r="B101" s="193" t="s">
        <v>16</v>
      </c>
      <c r="C101" s="236"/>
      <c r="D101" s="205">
        <f>VLOOKUP($A101,Tableau14[[Variables]:[Intégrée au calcul d''intensité]],MATCH(TEXT(D$98,"#"),Tableau14[[#Headers],[2019]:[2050]])+2,FALSE)/VLOOKUP($A101,Tableau14[[Variables]:[Intégrée au calcul d''intensité]],MATCH(TEXT(C$98,"#"),Tableau14[[#Headers],[2019]:[2050]])+2,FALSE)-1</f>
        <v>-0.64819941510593448</v>
      </c>
      <c r="E101" s="236" t="s">
        <v>419</v>
      </c>
      <c r="F101" s="326" t="s">
        <v>585</v>
      </c>
    </row>
    <row r="102" spans="1:6" ht="28.8">
      <c r="A102" s="323" t="str">
        <f>Intensités!B35</f>
        <v>Production de la branche équipements diffuse /2019</v>
      </c>
      <c r="B102" s="193" t="s">
        <v>240</v>
      </c>
      <c r="C102" s="236"/>
      <c r="D102" s="205">
        <f>VLOOKUP($A102,Tableau14[[Variables]:[Intégrée au calcul d''intensité]],MATCH(TEXT(D$98,"#"),Tableau14[[#Headers],[2019]:[2050]])+2,FALSE)/VLOOKUP($A102,Tableau14[[Variables]:[Intégrée au calcul d''intensité]],MATCH(TEXT(C$98,"#"),Tableau14[[#Headers],[2019]:[2050]])+2,FALSE)-1</f>
        <v>-0.45768066674759711</v>
      </c>
      <c r="E102" s="236" t="s">
        <v>419</v>
      </c>
      <c r="F102" s="326" t="s">
        <v>585</v>
      </c>
    </row>
    <row r="103" spans="1:6" ht="28.8">
      <c r="A103" s="323" t="str">
        <f>'Données d''activité'!B39</f>
        <v>Production de la branche agro-alimentaire / 2019</v>
      </c>
      <c r="B103" s="193" t="s">
        <v>102</v>
      </c>
      <c r="C103" s="236"/>
      <c r="D103" s="205">
        <f>VLOOKUP($A103,Tableau14[[Variables]:[Intégrée au calcul d''intensité]],MATCH(TEXT(D$98,"#"),Tableau14[[#Headers],[2019]:[2050]])+2,FALSE)/VLOOKUP($A103,Tableau14[[Variables]:[Intégrée au calcul d''intensité]],MATCH(TEXT(C$98,"#"),Tableau14[[#Headers],[2019]:[2050]])+2,FALSE)-1</f>
        <v>-0.65279038316303128</v>
      </c>
      <c r="E103" s="236" t="s">
        <v>419</v>
      </c>
      <c r="F103" s="326" t="s">
        <v>585</v>
      </c>
    </row>
    <row r="104" spans="1:6" ht="28.8">
      <c r="A104" s="323" t="str">
        <f>'Données d''activité'!B37</f>
        <v>Production de la branche métaux primaire diffuse / 2019</v>
      </c>
      <c r="B104" s="193" t="s">
        <v>22</v>
      </c>
      <c r="C104" s="236"/>
      <c r="D104" s="205">
        <f>VLOOKUP($A104,Tableau14[[Variables]:[Intégrée au calcul d''intensité]],MATCH(TEXT(D$98,"#"),Tableau14[[#Headers],[2019]:[2050]])+2,FALSE)/VLOOKUP($A104,Tableau14[[Variables]:[Intégrée au calcul d''intensité]],MATCH(TEXT(C$98,"#"),Tableau14[[#Headers],[2019]:[2050]])+2,FALSE)-1</f>
        <v>-0.3293479807975781</v>
      </c>
      <c r="E104" s="236" t="s">
        <v>419</v>
      </c>
      <c r="F104" s="326" t="s">
        <v>585</v>
      </c>
    </row>
    <row r="105" spans="1:6">
      <c r="A105" s="323" t="str">
        <f>Intensités!B26</f>
        <v>Production d'aluminium</v>
      </c>
      <c r="B105" s="325" t="s">
        <v>235</v>
      </c>
      <c r="C105" s="236">
        <f>VLOOKUP($A105,Tableau14[[Variables]:[Intégrée au calcul d''intensité]],MATCH(TEXT(C$98,"#"),Tableau14[[#Headers],[2019]:[2050]])+2,FALSE)</f>
        <v>1.377438126837119</v>
      </c>
      <c r="D105" s="236">
        <f>VLOOKUP($A105,Tableau14[[Variables]:[Intégrée au calcul d''intensité]],MATCH(TEXT(D$98,"#"),Tableau14[[#Headers],[2019]:[2050]])+2,FALSE)</f>
        <v>0.7695633733302425</v>
      </c>
      <c r="E105" s="236" t="str">
        <f>VLOOKUP($A105,Tableau14[[Variables]:[Intégrée au calcul d''intensité]],MATCH("Unité",Tableau14[#Headers],0)-1,FALSE)</f>
        <v>Mt CO2e/Mt</v>
      </c>
      <c r="F105" s="326" t="s">
        <v>197</v>
      </c>
    </row>
    <row r="106" spans="1:6" ht="28.8">
      <c r="A106" s="323" t="str">
        <f>'Données d''activité'!B36</f>
        <v>Production de la branche non métallique diffuse /2019</v>
      </c>
      <c r="B106" s="198" t="s">
        <v>241</v>
      </c>
      <c r="C106" s="236"/>
      <c r="D106" s="205">
        <f>VLOOKUP($A106,Tableau14[[Variables]:[Intégrée au calcul d''intensité]],MATCH(TEXT(D$98,"#"),Tableau14[[#Headers],[2019]:[2050]])+2,FALSE)/VLOOKUP($A106,Tableau14[[Variables]:[Intégrée au calcul d''intensité]],MATCH(TEXT(C$98,"#"),Tableau14[[#Headers],[2019]:[2050]])+2,FALSE)-1</f>
        <v>-0.45455667664595023</v>
      </c>
      <c r="E106" s="236" t="s">
        <v>419</v>
      </c>
      <c r="F106" s="326" t="s">
        <v>585</v>
      </c>
    </row>
    <row r="107" spans="1:6">
      <c r="A107" s="323" t="str">
        <f>'Données d''activité'!B25</f>
        <v>Production de clinker</v>
      </c>
      <c r="B107" s="325" t="s">
        <v>106</v>
      </c>
      <c r="C107" s="236">
        <f>VLOOKUP($A107,Tableau14[[Variables]:[Intégrée au calcul d''intensité]],MATCH(TEXT(C$98,"#"),Tableau14[[#Headers],[2019]:[2050]])+2,FALSE)</f>
        <v>0.72887376373509383</v>
      </c>
      <c r="D107" s="236">
        <f>VLOOKUP($A107,Tableau14[[Variables]:[Intégrée au calcul d''intensité]],MATCH(TEXT(D$98,"#"),Tableau14[[#Headers],[2019]:[2050]])+2,FALSE)</f>
        <v>0.70100187929265112</v>
      </c>
      <c r="E107" s="236" t="str">
        <f>VLOOKUP($A107,Tableau14[[Variables]:[Intégrée au calcul d''intensité]],MATCH("Unité",Tableau14[#Headers],0)-1,FALSE)</f>
        <v>Mt CO2e/Mt</v>
      </c>
      <c r="F107" s="326" t="s">
        <v>197</v>
      </c>
    </row>
    <row r="108" spans="1:6">
      <c r="A108" s="323" t="str">
        <f>'Données d''activité'!B32</f>
        <v>Production de verre</v>
      </c>
      <c r="B108" s="325" t="s">
        <v>242</v>
      </c>
      <c r="C108" s="236">
        <f>VLOOKUP($A108,Tableau14[[Variables]:[Intégrée au calcul d''intensité]],MATCH(TEXT(C$98,"#"),Tableau14[[#Headers],[2019]:[2050]])+2,FALSE)</f>
        <v>0.52858562863212566</v>
      </c>
      <c r="D108" s="236">
        <f>VLOOKUP($A108,Tableau14[[Variables]:[Intégrée au calcul d''intensité]],MATCH(TEXT(D$98,"#"),Tableau14[[#Headers],[2019]:[2050]])+2,FALSE)</f>
        <v>0.27093489264483289</v>
      </c>
      <c r="E108" s="236" t="str">
        <f>VLOOKUP($A108,Tableau14[[Variables]:[Intégrée au calcul d''intensité]],MATCH("Unité",Tableau14[#Headers],0)-1,FALSE)</f>
        <v>Mt CO2e/Mt</v>
      </c>
      <c r="F108" s="326" t="s">
        <v>197</v>
      </c>
    </row>
    <row r="109" spans="1:6">
      <c r="A109" s="323" t="str">
        <f>'Données d''activité'!B27</f>
        <v>Production de papier</v>
      </c>
      <c r="B109" s="193" t="s">
        <v>34</v>
      </c>
      <c r="C109" s="236">
        <f>VLOOKUP($A109,Tableau14[[Variables]:[Intégrée au calcul d''intensité]],MATCH(TEXT(C$98,"#"),Tableau14[[#Headers],[2019]:[2050]])+2,FALSE)</f>
        <v>0.33637281165568894</v>
      </c>
      <c r="D109" s="236">
        <f>VLOOKUP($A109,Tableau14[[Variables]:[Intégrée au calcul d''intensité]],MATCH(TEXT(D$98,"#"),Tableau14[[#Headers],[2019]:[2050]])+2,FALSE)</f>
        <v>0.13326927274548409</v>
      </c>
      <c r="E109" s="236" t="str">
        <f>VLOOKUP($A109,Tableau14[[Variables]:[Intégrée au calcul d''intensité]],MATCH("Unité",Tableau14[#Headers],0)-1,FALSE)</f>
        <v>Mt CO2e/Mt</v>
      </c>
      <c r="F109" s="326" t="s">
        <v>197</v>
      </c>
    </row>
  </sheetData>
  <mergeCells count="23">
    <mergeCell ref="B88:B91"/>
    <mergeCell ref="B82:B84"/>
    <mergeCell ref="B6:C6"/>
    <mergeCell ref="C76:E76"/>
    <mergeCell ref="C77:E77"/>
    <mergeCell ref="C88:E88"/>
    <mergeCell ref="B85:B86"/>
    <mergeCell ref="C86:E86"/>
    <mergeCell ref="C85:E85"/>
    <mergeCell ref="C79:E79"/>
    <mergeCell ref="C80:E80"/>
    <mergeCell ref="B78:B79"/>
    <mergeCell ref="B80:B81"/>
    <mergeCell ref="C82:E82"/>
    <mergeCell ref="C83:E83"/>
    <mergeCell ref="C92:E92"/>
    <mergeCell ref="C87:E87"/>
    <mergeCell ref="C81:E81"/>
    <mergeCell ref="C78:E78"/>
    <mergeCell ref="C89:E89"/>
    <mergeCell ref="C84:E84"/>
    <mergeCell ref="C90:E90"/>
    <mergeCell ref="C91:E91"/>
  </mergeCells>
  <dataValidations count="1">
    <dataValidation type="list" allowBlank="1" showInputMessage="1" showErrorMessage="1" sqref="D6" xr:uid="{E1E0EFB5-F2E1-40CE-9EA1-8714C476233E}">
      <formula1>"Emissions hors CCS et BECCS, Emissions avec CCS,  Emissions avec CCS et BECCS"</formula1>
    </dataValidation>
  </dataValidations>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G74"/>
  <sheetViews>
    <sheetView showGridLines="0" workbookViewId="0"/>
  </sheetViews>
  <sheetFormatPr baseColWidth="10" defaultColWidth="11.44140625" defaultRowHeight="14.4"/>
  <cols>
    <col min="2" max="2" width="40.44140625" customWidth="1"/>
    <col min="3" max="5" width="30.6640625" customWidth="1"/>
    <col min="6" max="6" width="32.6640625" customWidth="1"/>
    <col min="7" max="7" width="23.6640625" customWidth="1"/>
    <col min="8" max="8" width="18.6640625" customWidth="1"/>
    <col min="9" max="9" width="47.109375" customWidth="1"/>
    <col min="10" max="10" width="11.6640625" bestFit="1" customWidth="1"/>
    <col min="14" max="14" width="51.6640625" customWidth="1"/>
  </cols>
  <sheetData>
    <row r="3" spans="2:6">
      <c r="B3" s="41" t="s">
        <v>172</v>
      </c>
    </row>
    <row r="4" spans="2:6">
      <c r="E4" s="44"/>
    </row>
    <row r="5" spans="2:6">
      <c r="D5" s="27"/>
      <c r="E5" s="27"/>
    </row>
    <row r="6" spans="2:6">
      <c r="B6" s="457" t="s">
        <v>173</v>
      </c>
      <c r="C6" s="457"/>
      <c r="D6" s="351" t="s">
        <v>663</v>
      </c>
      <c r="E6" s="352" t="s">
        <v>521</v>
      </c>
    </row>
    <row r="7" spans="2:6">
      <c r="B7" s="19"/>
      <c r="C7" s="19"/>
      <c r="D7" s="3"/>
      <c r="E7" s="19"/>
    </row>
    <row r="8" spans="2:6" ht="52.2" customHeight="1">
      <c r="B8" s="214" t="s">
        <v>72</v>
      </c>
      <c r="C8" s="215">
        <f>'Choix années'!$C$4</f>
        <v>2019</v>
      </c>
      <c r="D8" s="215">
        <f>'Choix années'!$C$5</f>
        <v>2030</v>
      </c>
      <c r="E8" s="4"/>
      <c r="F8" s="4"/>
    </row>
    <row r="9" spans="2:6" ht="22.95" customHeight="1">
      <c r="B9" s="212" t="s">
        <v>342</v>
      </c>
      <c r="C9" s="216">
        <f>VLOOKUP("Total Industrie de l'énergie",'Résultats détaillés GES'!$A$24:$BJ$34,MATCH(C$8,'Résultats détaillés GES'!$A$24:$BJ$24),FALSE)</f>
        <v>46.03278751693</v>
      </c>
      <c r="D9" s="216">
        <f>D13+D17+D21+D25+D29+D33+D37+D41+D45</f>
        <v>24.73401712911258</v>
      </c>
      <c r="E9" s="5"/>
      <c r="F9" s="5"/>
    </row>
    <row r="10" spans="2:6" ht="30" customHeight="1">
      <c r="B10" s="212" t="str">
        <f>"% de baisse vs "&amp;TEXT($C$8,"#")</f>
        <v>% de baisse vs 2019</v>
      </c>
      <c r="C10" s="212"/>
      <c r="D10" s="217">
        <f>1-(D9/C9)</f>
        <v>0.46268695720380026</v>
      </c>
    </row>
    <row r="11" spans="2:6" ht="30" customHeight="1">
      <c r="B11" s="231" t="str">
        <f>"Variation annuelle moyenne entre " &amp;TEXT($D$8,"#")&amp;" et "&amp;TEXT($C$8,"#")&amp;" "</f>
        <v xml:space="preserve">Variation annuelle moyenne entre 2030 et 2019 </v>
      </c>
      <c r="C11" s="212"/>
      <c r="D11" s="217">
        <f>((D9/C9)^(1/($D$8-$C$8))-1)</f>
        <v>-5.4905541710758676E-2</v>
      </c>
    </row>
    <row r="12" spans="2:6">
      <c r="B12" s="192" t="s">
        <v>74</v>
      </c>
      <c r="C12" s="193"/>
      <c r="D12" s="194"/>
    </row>
    <row r="13" spans="2:6" ht="47.4" customHeight="1">
      <c r="B13" s="193" t="s">
        <v>342</v>
      </c>
      <c r="C13" s="195">
        <f>VLOOKUP($B$12,'Résultats détaillés GES'!$A$24:$BJ$34,MATCH(C$8,'Résultats détaillés GES'!$A$24:$BJ$24),FALSE)</f>
        <v>19.932334844671963</v>
      </c>
      <c r="D13" s="195">
        <f>VLOOKUP($B$12,'Résultats détaillés GES'!$A$24:$BJ$34,MATCH(D$8,'Résultats détaillés GES'!$A$24:$BJ$24),FALSE)+IF(OR($D$6="Emissions avec CCS",$D$6="Emissions avec CCS et BECCS"),VLOOKUP($B$12,'Résultats détaillés GES'!$A$39:$BJ$49,MATCH(D$8,'Résultats détaillés GES'!$A$39:$BJ$39),FALSE),0)+IF($D$6="Emissions avec CCS et BECCS",VLOOKUP($B$12,'Résultats détaillés GES'!$A$52:$BJ$62,MATCH(D$8,'Résultats détaillés GES'!$A$52:$BJ$52),FALSE),0)</f>
        <v>5.5295028770822228</v>
      </c>
      <c r="E13" s="5"/>
      <c r="F13" s="5"/>
    </row>
    <row r="14" spans="2:6" ht="35.700000000000003" customHeight="1">
      <c r="B14" s="193" t="str">
        <f>"% de baisse vs "&amp;TEXT($C$8,"#")</f>
        <v>% de baisse vs 2019</v>
      </c>
      <c r="C14" s="195"/>
      <c r="D14" s="197">
        <f>1-(D13/C13)</f>
        <v>0.72258629407079755</v>
      </c>
      <c r="E14" s="5"/>
      <c r="F14" s="5"/>
    </row>
    <row r="15" spans="2:6" ht="35.700000000000003" customHeight="1">
      <c r="B15" s="198" t="str">
        <f>"Variation annuelle moyenne entre " &amp;TEXT($D$8,"#")&amp;" et "&amp;TEXT($C$8,"#")&amp;" "</f>
        <v xml:space="preserve">Variation annuelle moyenne entre 2030 et 2019 </v>
      </c>
      <c r="C15" s="196"/>
      <c r="D15" s="197">
        <f>((D13/C13)^(1/($D$8-$C$8))-1)</f>
        <v>-0.11003020972541477</v>
      </c>
      <c r="E15" s="5"/>
      <c r="F15" s="5"/>
    </row>
    <row r="16" spans="2:6" ht="35.700000000000003" customHeight="1">
      <c r="B16" s="192" t="s">
        <v>76</v>
      </c>
      <c r="C16" s="232"/>
      <c r="D16" s="194"/>
      <c r="E16" s="5"/>
      <c r="F16" s="5"/>
    </row>
    <row r="17" spans="1:6" ht="39" customHeight="1">
      <c r="B17" s="193" t="s">
        <v>342</v>
      </c>
      <c r="C17" s="195">
        <f>VLOOKUP($B$16,'Résultats détaillés GES'!$A$24:$BJ$34,MATCH(C$8,'Résultats détaillés GES'!$A$24:$BJ$24),FALSE)</f>
        <v>5.698075944751718</v>
      </c>
      <c r="D17" s="195">
        <f>VLOOKUP($B$16,'Résultats détaillés GES'!$A$24:$BJ$34,MATCH(D$8,'Résultats détaillés GES'!$A$24:$BJ$24),FALSE)+IF(OR($D$6="Emissions avec CCS",$D$6="Emissions avec CCS et BECCS"),VLOOKUP($B$16,'Résultats détaillés GES'!$A$39:$BJ$49,MATCH(D$8,'Résultats détaillés GES'!$A$39:$BJ$39),FALSE),0)+IF($D$6="Emissions avec CCS et BECCS",VLOOKUP($B$16,'Résultats détaillés GES'!$A$52:$BJ$62,MATCH(D$8,'Résultats détaillés GES'!$A$52:$BJ$52),FALSE),0)</f>
        <v>5.3721962900340809</v>
      </c>
      <c r="E17" s="5"/>
      <c r="F17" s="5"/>
    </row>
    <row r="18" spans="1:6" ht="25.5" customHeight="1">
      <c r="B18" s="193" t="str">
        <f>"% de baisse vs "&amp;TEXT($C$8,"#")</f>
        <v>% de baisse vs 2019</v>
      </c>
      <c r="C18" s="233"/>
      <c r="D18" s="200">
        <f>1-(D17/C17)</f>
        <v>5.7191174332766215E-2</v>
      </c>
      <c r="E18" s="5"/>
      <c r="F18" s="5"/>
    </row>
    <row r="19" spans="1:6" ht="33.6" customHeight="1">
      <c r="B19" s="198" t="str">
        <f>"Variation annuelle moyenne entre " &amp;TEXT($D$8,"#")&amp;" et "&amp;TEXT($C$8,"#")&amp;" "</f>
        <v xml:space="preserve">Variation annuelle moyenne entre 2030 et 2019 </v>
      </c>
      <c r="C19" s="196"/>
      <c r="D19" s="197">
        <f>((D17/C17)^(1/($D$8-$C$8))-1)</f>
        <v>-5.3394891478550921E-3</v>
      </c>
      <c r="E19" s="5"/>
      <c r="F19" s="5"/>
    </row>
    <row r="20" spans="1:6" ht="35.700000000000003" customHeight="1">
      <c r="B20" s="218" t="s">
        <v>78</v>
      </c>
      <c r="C20" s="232"/>
      <c r="D20" s="193"/>
      <c r="E20" s="5"/>
      <c r="F20" s="5"/>
    </row>
    <row r="21" spans="1:6" ht="47.4" customHeight="1">
      <c r="B21" s="193" t="s">
        <v>342</v>
      </c>
      <c r="C21" s="195">
        <f>VLOOKUP($B$20,'Résultats détaillés GES'!$A$24:$BJ$34,MATCH(C$8,'Résultats détaillés GES'!$A$24:$BJ$24),FALSE)</f>
        <v>8.708580521774735</v>
      </c>
      <c r="D21" s="195">
        <f>VLOOKUP($B$20,'Résultats détaillés GES'!$A$24:$BJ$34,MATCH(D$8,'Résultats détaillés GES'!$A$24:$BJ$24),FALSE)+IF(OR($D$6="Emissions avec CCS",$D$6="Emissions avec CCS et BECCS"),VLOOKUP($B$20,'Résultats détaillés GES'!$A$39:$BJ$49,MATCH(D$8,'Résultats détaillés GES'!$A$39:$BJ$39),FALSE),0)+IF($D$6="Emissions avec CCS et BECCS",VLOOKUP($B$20,'Résultats détaillés GES'!$A$52:$BJ$62,MATCH(D$8,'Résultats détaillés GES'!$A$52:$BJ$52),FALSE),0)</f>
        <v>4.9962991856854186</v>
      </c>
      <c r="E21" s="5"/>
      <c r="F21" s="5"/>
    </row>
    <row r="22" spans="1:6" ht="33" customHeight="1">
      <c r="A22" t="s">
        <v>188</v>
      </c>
      <c r="B22" s="193" t="str">
        <f>"% de baisse vs "&amp;TEXT($C$8,"#")</f>
        <v>% de baisse vs 2019</v>
      </c>
      <c r="C22" s="234"/>
      <c r="D22" s="201">
        <f>1-(D21/C21)</f>
        <v>0.42627857970736027</v>
      </c>
      <c r="E22" s="5"/>
      <c r="F22" s="5"/>
    </row>
    <row r="23" spans="1:6" ht="33" customHeight="1">
      <c r="B23" s="198" t="str">
        <f>"Variation annuelle moyenne entre " &amp;TEXT($D$8,"#")&amp;" et "&amp;TEXT($C$8,"#")&amp;" "</f>
        <v xml:space="preserve">Variation annuelle moyenne entre 2030 et 2019 </v>
      </c>
      <c r="C23" s="196"/>
      <c r="D23" s="197">
        <f>((D21/C21)^(1/($D$8-$C$8))-1)</f>
        <v>-4.9255693857257365E-2</v>
      </c>
      <c r="E23" s="5"/>
      <c r="F23" s="5"/>
    </row>
    <row r="24" spans="1:6" ht="26.4" customHeight="1">
      <c r="B24" s="192" t="s">
        <v>80</v>
      </c>
      <c r="C24" s="232"/>
      <c r="D24" s="193"/>
      <c r="E24" s="5"/>
      <c r="F24" s="5"/>
    </row>
    <row r="25" spans="1:6" ht="22.95" customHeight="1">
      <c r="B25" s="193" t="s">
        <v>342</v>
      </c>
      <c r="C25" s="195">
        <f>VLOOKUP($B$24,'Résultats détaillés GES'!$A$24:$BJ$34,MATCH(C$8,'Résultats détaillés GES'!$A$24:$BJ$24),FALSE)</f>
        <v>2.8472145429754812</v>
      </c>
      <c r="D25" s="195">
        <f>VLOOKUP($B$24,'Résultats détaillés GES'!$A$24:$BJ$34,MATCH(D$8,'Résultats détaillés GES'!$A$24:$BJ$24),FALSE)+IF(OR($D$6="Emissions avec CCS",$D$6="Emissions avec CCS et BECCS"),VLOOKUP($B$24,'Résultats détaillés GES'!$A$39:$BJ$49,MATCH(D$8,'Résultats détaillés GES'!$A$39:$BJ$39),FALSE),0)+IF($D$6="Emissions avec CCS et BECCS",VLOOKUP($B$24,'Résultats détaillés GES'!$A$52:$BJ$62,MATCH(D$8,'Résultats détaillés GES'!$A$52:$BJ$52),FALSE),0)</f>
        <v>1.0940053588438836</v>
      </c>
      <c r="E25" s="5"/>
      <c r="F25" s="5"/>
    </row>
    <row r="26" spans="1:6" ht="22.95" customHeight="1">
      <c r="A26" t="s">
        <v>188</v>
      </c>
      <c r="B26" s="193" t="str">
        <f>"% de baisse vs "&amp;TEXT($C$8,"#")</f>
        <v>% de baisse vs 2019</v>
      </c>
      <c r="C26" s="234"/>
      <c r="D26" s="201">
        <f>1-(D25/C25)</f>
        <v>0.6157629352017171</v>
      </c>
      <c r="E26" s="5"/>
      <c r="F26" s="5"/>
    </row>
    <row r="27" spans="1:6" ht="32.4" customHeight="1">
      <c r="B27" s="198" t="str">
        <f>"Variation annuelle moyenne entre " &amp;TEXT($D$8,"#")&amp;" et "&amp;TEXT($C$8,"#")&amp;" "</f>
        <v xml:space="preserve">Variation annuelle moyenne entre 2030 et 2019 </v>
      </c>
      <c r="C27" s="196"/>
      <c r="D27" s="197">
        <f>((D25/C25)^(1/($D$8-$C$8))-1)</f>
        <v>-8.3280866310946888E-2</v>
      </c>
      <c r="E27" s="5"/>
      <c r="F27" s="5"/>
    </row>
    <row r="28" spans="1:6">
      <c r="B28" s="192" t="s">
        <v>244</v>
      </c>
      <c r="C28" s="235"/>
      <c r="D28" s="203"/>
      <c r="E28" s="5"/>
      <c r="F28" s="5"/>
    </row>
    <row r="29" spans="1:6" ht="22.95" customHeight="1">
      <c r="B29" s="193" t="s">
        <v>342</v>
      </c>
      <c r="C29" s="195">
        <f>VLOOKUP($B$28,'Résultats détaillés GES'!$A$24:$BJ$34,MATCH(C$8,'Résultats détaillés GES'!$A$24:$BJ$24),FALSE)</f>
        <v>8.1293333333333356E-3</v>
      </c>
      <c r="D29" s="195">
        <f>VLOOKUP($B$28,'Résultats détaillés GES'!$A$24:$BJ$34,MATCH(D$8,'Résultats détaillés GES'!$A$24:$BJ$24),FALSE)+IF(OR($D$6="Emissions avec CCS",$D$6="Emissions avec CCS et BECCS"),VLOOKUP($B$28,'Résultats détaillés GES'!$A$39:$BJ$49,MATCH(D$8,'Résultats détaillés GES'!$A$39:$BJ$39),FALSE),0)+IF($D$6="Emissions avec CCS et BECCS",VLOOKUP($B$28,'Résultats détaillés GES'!$A$52:$BJ$62,MATCH(D$8,'Résultats détaillés GES'!$A$52:$BJ$52),FALSE),0)</f>
        <v>1.313199999999997E-3</v>
      </c>
      <c r="E29" s="5"/>
      <c r="F29" s="5"/>
    </row>
    <row r="30" spans="1:6" ht="22.95" customHeight="1">
      <c r="A30" t="s">
        <v>188</v>
      </c>
      <c r="B30" s="193" t="str">
        <f>"% de baisse vs "&amp;TEXT($C$8,"#")</f>
        <v>% de baisse vs 2019</v>
      </c>
      <c r="C30" s="195"/>
      <c r="D30" s="205">
        <f>1-(D29/C29)</f>
        <v>0.83846153846153881</v>
      </c>
      <c r="E30" s="5"/>
      <c r="F30" s="5"/>
    </row>
    <row r="31" spans="1:6" ht="36.6" customHeight="1">
      <c r="B31" s="198" t="str">
        <f>"Variation annuelle moyenne entre " &amp;TEXT($D$8,"#")&amp;" et "&amp;TEXT($C$8,"#")&amp;" "</f>
        <v xml:space="preserve">Variation annuelle moyenne entre 2030 et 2019 </v>
      </c>
      <c r="C31" s="196"/>
      <c r="D31" s="197">
        <f>((D29/C29)^(1/($D$8-$C$8))-1)</f>
        <v>-0.15272364697937013</v>
      </c>
      <c r="E31" s="5"/>
      <c r="F31" s="5"/>
    </row>
    <row r="32" spans="1:6">
      <c r="B32" s="192" t="s">
        <v>245</v>
      </c>
      <c r="C32" s="235"/>
      <c r="D32" s="203"/>
      <c r="E32" s="5"/>
      <c r="F32" s="5"/>
    </row>
    <row r="33" spans="1:7" ht="22.95" customHeight="1">
      <c r="B33" s="193" t="s">
        <v>342</v>
      </c>
      <c r="C33" s="195">
        <f>VLOOKUP($B$32,'Résultats détaillés GES'!$A$24:$BJ$34,MATCH(C$8,'Résultats détaillés GES'!$A$24:$BJ$24),FALSE)</f>
        <v>0.11556875148091968</v>
      </c>
      <c r="D33" s="195">
        <f>VLOOKUP($B$32,'Résultats détaillés GES'!$A$24:$BJ$34,MATCH(D$8,'Résultats détaillés GES'!$A$24:$BJ$24),FALSE)+IF(OR($D$6="Emissions avec CCS",$D$6="Emissions avec CCS et BECCS"),VLOOKUP($B$32,'Résultats détaillés GES'!$A$39:$BJ$49,MATCH(D$8,'Résultats détaillés GES'!$A$39:$BJ$39),FALSE),0)+IF($D$6="Emissions avec CCS et BECCS",VLOOKUP($B$32,'Résultats détaillés GES'!$A$52:$BJ$62,MATCH(D$8,'Résultats détaillés GES'!$A$52:$BJ$52),FALSE),0)</f>
        <v>8.710951770872627E-2</v>
      </c>
      <c r="E33" s="5"/>
      <c r="F33" s="5"/>
    </row>
    <row r="34" spans="1:7" ht="22.95" customHeight="1">
      <c r="A34" t="s">
        <v>188</v>
      </c>
      <c r="B34" s="193" t="str">
        <f>"% de baisse vs "&amp;TEXT($C$8,"#")</f>
        <v>% de baisse vs 2019</v>
      </c>
      <c r="C34" s="195"/>
      <c r="D34" s="205">
        <f>1-(D33/C33)</f>
        <v>0.24625370965344384</v>
      </c>
      <c r="E34" s="5"/>
      <c r="F34" s="5"/>
    </row>
    <row r="35" spans="1:7" ht="38.4" customHeight="1">
      <c r="B35" s="198" t="str">
        <f>"Variation annuelle moyenne entre " &amp;TEXT($D$8,"#")&amp;" et "&amp;TEXT($C$8,"#")&amp;" "</f>
        <v xml:space="preserve">Variation annuelle moyenne entre 2030 et 2019 </v>
      </c>
      <c r="C35" s="196"/>
      <c r="D35" s="197">
        <f>((D33/C33)^(1/($D$8-$C$8))-1)</f>
        <v>-2.5372517509419934E-2</v>
      </c>
      <c r="E35" s="5"/>
      <c r="F35" s="5"/>
    </row>
    <row r="36" spans="1:7">
      <c r="B36" s="192" t="s">
        <v>246</v>
      </c>
      <c r="C36" s="235"/>
      <c r="D36" s="203"/>
      <c r="E36" s="5"/>
      <c r="F36" s="5"/>
    </row>
    <row r="37" spans="1:7" ht="22.95" customHeight="1">
      <c r="B37" s="193" t="s">
        <v>342</v>
      </c>
      <c r="C37" s="195">
        <f>VLOOKUP($B$36,'Résultats détaillés GES'!$A$24:$BJ$34,MATCH(C$8,'Résultats détaillés GES'!$A$24:$BJ$24),FALSE)</f>
        <v>1.5819187238886312</v>
      </c>
      <c r="D37" s="195">
        <f>VLOOKUP($B$36,'Résultats détaillés GES'!$A$24:$BJ$34,MATCH(D$8,'Résultats détaillés GES'!$A$24:$BJ$24),FALSE)+IF(OR($D$6="Emissions avec CCS",$D$6="Emissions avec CCS et BECCS"),VLOOKUP($B$36,'Résultats détaillés GES'!$A$39:$BJ$49,MATCH(D$8,'Résultats détaillés GES'!$A$39:$BJ$39),FALSE),0)+IF($D$6="Emissions avec CCS et BECCS",VLOOKUP($B$36,'Résultats détaillés GES'!$A$52:$BJ$62,MATCH(D$8,'Résultats détaillés GES'!$A$52:$BJ$52),FALSE),0)</f>
        <v>0.89221190845960341</v>
      </c>
      <c r="E37" s="5"/>
      <c r="F37" s="5"/>
    </row>
    <row r="38" spans="1:7" ht="22.95" customHeight="1">
      <c r="A38" t="s">
        <v>188</v>
      </c>
      <c r="B38" s="193" t="str">
        <f>"% de baisse vs "&amp;TEXT($C$8,"#")</f>
        <v>% de baisse vs 2019</v>
      </c>
      <c r="C38" s="195"/>
      <c r="D38" s="205">
        <f>1-(D37/C37)</f>
        <v>0.43599383774509515</v>
      </c>
      <c r="E38" s="5"/>
      <c r="F38" s="5"/>
    </row>
    <row r="39" spans="1:7" ht="32.4" customHeight="1">
      <c r="B39" s="198" t="str">
        <f>"Variation annuelle moyenne entre " &amp;TEXT($D$8,"#")&amp;" et "&amp;TEXT($C$8,"#")&amp;" "</f>
        <v xml:space="preserve">Variation annuelle moyenne entre 2030 et 2019 </v>
      </c>
      <c r="C39" s="196"/>
      <c r="D39" s="197">
        <f>((D37/C37)^(1/($D$8-$C$8))-1)</f>
        <v>-5.0730688864556006E-2</v>
      </c>
      <c r="E39" s="5"/>
      <c r="F39" s="5"/>
    </row>
    <row r="40" spans="1:7">
      <c r="B40" s="192" t="s">
        <v>276</v>
      </c>
      <c r="C40" s="235"/>
      <c r="D40" s="203"/>
      <c r="E40" s="5"/>
      <c r="F40" s="5"/>
    </row>
    <row r="41" spans="1:7" ht="22.95" customHeight="1">
      <c r="B41" s="193" t="s">
        <v>342</v>
      </c>
      <c r="C41" s="219">
        <f>VLOOKUP($B$40,'Résultats détaillés GES'!$A$24:$BJ$34,MATCH(C$8,'Résultats détaillés GES'!$A$24:$BJ$24),FALSE)</f>
        <v>1.8180602929225075E-3</v>
      </c>
      <c r="D41" s="219">
        <f>VLOOKUP($B$40,'Résultats détaillés GES'!$A$24:$BJ$34,MATCH(D$8,'Résultats détaillés GES'!$A$24:$BJ$24),FALSE)+IF(OR($D$6="Emissions avec CCS",$D$6="Emissions avec CCS et BECCS"),VLOOKUP($B$40,'Résultats détaillés GES'!$A$39:$BJ$49,MATCH(D$8,'Résultats détaillés GES'!$A$39:$BJ$39),FALSE),0)+IF($D$6="Emissions avec CCS et BECCS",VLOOKUP($B$40,'Résultats détaillés GES'!$A$52:$BJ$62,MATCH(D$8,'Résultats détaillés GES'!$A$52:$BJ$52),FALSE),0)</f>
        <v>6.39184E-4</v>
      </c>
      <c r="E41" s="5"/>
      <c r="F41" s="5"/>
    </row>
    <row r="42" spans="1:7" ht="22.95" customHeight="1">
      <c r="A42" t="s">
        <v>188</v>
      </c>
      <c r="B42" s="193" t="str">
        <f>"% de baisse vs "&amp;TEXT($C$8,"#")</f>
        <v>% de baisse vs 2019</v>
      </c>
      <c r="C42" s="196"/>
      <c r="D42" s="205">
        <f>1-(D41/C41)</f>
        <v>0.64842530113645447</v>
      </c>
      <c r="E42" s="5"/>
      <c r="F42" s="5"/>
    </row>
    <row r="43" spans="1:7" ht="34.200000000000003" customHeight="1">
      <c r="B43" s="198" t="str">
        <f>"Variation annuelle moyenne entre " &amp;TEXT($D$8,"#")&amp;" et "&amp;TEXT($C$8,"#")&amp;" "</f>
        <v xml:space="preserve">Variation annuelle moyenne entre 2030 et 2019 </v>
      </c>
      <c r="C43" s="196"/>
      <c r="D43" s="197">
        <f>((D41/C41)^(1/($D$8-$C$8))-1)</f>
        <v>-9.0654600576961619E-2</v>
      </c>
      <c r="E43" s="5"/>
      <c r="F43" s="5"/>
    </row>
    <row r="44" spans="1:7">
      <c r="B44" s="192" t="s">
        <v>83</v>
      </c>
      <c r="C44" s="202"/>
      <c r="D44" s="203"/>
      <c r="E44" s="5"/>
      <c r="F44" s="5"/>
    </row>
    <row r="45" spans="1:7" ht="22.95" customHeight="1">
      <c r="B45" s="193" t="s">
        <v>342</v>
      </c>
      <c r="C45" s="195">
        <f>VLOOKUP($B$44,'Résultats détaillés GES'!$A$24:$BJ$34,MATCH(C$8,'Résultats détaillés GES'!$A$24:$BJ$24),FALSE)</f>
        <v>7.1391467937602959</v>
      </c>
      <c r="D45" s="195">
        <f>VLOOKUP($B$44,'Résultats détaillés GES'!$A$24:$BJ$34,MATCH(D$8,'Résultats détaillés GES'!$A$24:$BJ$24),FALSE)+IF(OR($D$6="Emissions avec CCS",$D$6="Emissions avec CCS et BECCS"),VLOOKUP($B$44,'Résultats détaillés GES'!$A$39:$BJ$49,MATCH(D$8,'Résultats détaillés GES'!$A$39:$BJ$39),FALSE),0)+IF($D$6="Emissions avec CCS et BECCS",VLOOKUP($B$44,'Résultats détaillés GES'!$A$52:$BJ$62,MATCH(D$8,'Résultats détaillés GES'!$A$52:$BJ$52),FALSE),0)</f>
        <v>6.760739607298647</v>
      </c>
      <c r="E45" s="5"/>
      <c r="F45" s="5"/>
    </row>
    <row r="46" spans="1:7" ht="22.95" customHeight="1">
      <c r="A46" t="s">
        <v>188</v>
      </c>
      <c r="B46" s="193" t="str">
        <f>"% de baisse vs "&amp;TEXT($C$8,"#")</f>
        <v>% de baisse vs 2019</v>
      </c>
      <c r="C46" s="195"/>
      <c r="D46" s="205">
        <f>1-(D45/C45)</f>
        <v>5.3004539252839211E-2</v>
      </c>
      <c r="E46" s="5"/>
      <c r="F46" s="5"/>
    </row>
    <row r="47" spans="1:7" ht="31.2" customHeight="1">
      <c r="B47" s="198" t="str">
        <f>"Variation annuelle moyenne entre " &amp;TEXT($D$8,"#")&amp;" et "&amp;TEXT($C$8,"#")&amp;" "</f>
        <v xml:space="preserve">Variation annuelle moyenne entre 2030 et 2019 </v>
      </c>
      <c r="C47" s="196"/>
      <c r="D47" s="197">
        <f>((D45/C45)^(1/($D$8-$C$8))-1)</f>
        <v>-4.9387621111556257E-3</v>
      </c>
      <c r="E47" s="5"/>
      <c r="F47" s="5"/>
    </row>
    <row r="48" spans="1:7" ht="31.2" customHeight="1">
      <c r="D48" s="7"/>
      <c r="E48" s="7"/>
      <c r="F48" s="5"/>
      <c r="G48" s="5"/>
    </row>
    <row r="49" spans="2:5">
      <c r="B49" s="28" t="s">
        <v>601</v>
      </c>
    </row>
    <row r="50" spans="2:5" ht="28.2" customHeight="1">
      <c r="B50" s="53"/>
      <c r="C50" s="52"/>
    </row>
    <row r="51" spans="2:5" ht="36" customHeight="1">
      <c r="B51" s="171" t="str">
        <f>"Baisse globale entre "&amp;TEXT($D$8,"#")&amp;" et "&amp;TEXT($C$8,"#")&amp;" "</f>
        <v xml:space="preserve">Baisse globale entre 2030 et 2019 </v>
      </c>
      <c r="C51" s="488">
        <f>D10</f>
        <v>0.46268695720380026</v>
      </c>
      <c r="D51" s="488"/>
      <c r="E51" s="488"/>
    </row>
    <row r="52" spans="2:5" ht="36" customHeight="1">
      <c r="B52" s="171" t="s">
        <v>189</v>
      </c>
      <c r="C52" s="486" t="s">
        <v>600</v>
      </c>
      <c r="D52" s="486"/>
      <c r="E52" s="486"/>
    </row>
    <row r="53" spans="2:5" ht="45" customHeight="1">
      <c r="B53" s="489" t="s">
        <v>553</v>
      </c>
      <c r="C53" s="487" t="s">
        <v>574</v>
      </c>
      <c r="D53" s="487"/>
      <c r="E53" s="487"/>
    </row>
    <row r="54" spans="2:5" ht="45" customHeight="1">
      <c r="B54" s="489"/>
      <c r="C54" s="451" t="s">
        <v>250</v>
      </c>
      <c r="D54" s="451"/>
      <c r="E54" s="451"/>
    </row>
    <row r="55" spans="2:5" ht="45" customHeight="1">
      <c r="B55" s="489"/>
      <c r="C55" s="446" t="s">
        <v>557</v>
      </c>
      <c r="D55" s="447"/>
      <c r="E55" s="448"/>
    </row>
    <row r="56" spans="2:5" ht="72.599999999999994" customHeight="1">
      <c r="B56" s="360" t="s">
        <v>560</v>
      </c>
      <c r="C56" s="446" t="s">
        <v>559</v>
      </c>
      <c r="D56" s="447"/>
      <c r="E56" s="448"/>
    </row>
    <row r="57" spans="2:5" ht="75" customHeight="1">
      <c r="B57" s="490" t="s">
        <v>165</v>
      </c>
      <c r="C57" s="451" t="s">
        <v>572</v>
      </c>
      <c r="D57" s="451"/>
      <c r="E57" s="451"/>
    </row>
    <row r="58" spans="2:5" ht="54.6" customHeight="1">
      <c r="B58" s="491"/>
      <c r="C58" s="446" t="s">
        <v>561</v>
      </c>
      <c r="D58" s="447"/>
      <c r="E58" s="448"/>
    </row>
    <row r="59" spans="2:5" ht="36.6" customHeight="1">
      <c r="B59" s="492"/>
      <c r="C59" s="446" t="s">
        <v>558</v>
      </c>
      <c r="D59" s="447"/>
      <c r="E59" s="448"/>
    </row>
    <row r="60" spans="2:5" ht="45" customHeight="1">
      <c r="B60" s="172" t="s">
        <v>556</v>
      </c>
      <c r="C60" s="446" t="s">
        <v>610</v>
      </c>
      <c r="D60" s="447"/>
      <c r="E60" s="448"/>
    </row>
    <row r="61" spans="2:5" ht="45" customHeight="1">
      <c r="B61" s="172" t="s">
        <v>166</v>
      </c>
      <c r="C61" s="487" t="s">
        <v>554</v>
      </c>
      <c r="D61" s="487"/>
      <c r="E61" s="487"/>
    </row>
    <row r="62" spans="2:5" ht="45" customHeight="1">
      <c r="B62" s="172" t="s">
        <v>167</v>
      </c>
      <c r="C62" s="487" t="s">
        <v>636</v>
      </c>
      <c r="D62" s="487"/>
      <c r="E62" s="487"/>
    </row>
    <row r="63" spans="2:5" ht="45" customHeight="1">
      <c r="B63" s="172" t="s">
        <v>555</v>
      </c>
      <c r="C63" s="487" t="s">
        <v>623</v>
      </c>
      <c r="D63" s="487"/>
      <c r="E63" s="487"/>
    </row>
    <row r="66" spans="1:6">
      <c r="B66" s="41" t="s">
        <v>193</v>
      </c>
    </row>
    <row r="69" spans="1:6">
      <c r="B69" s="214" t="s">
        <v>194</v>
      </c>
      <c r="C69" s="215">
        <f>C8</f>
        <v>2019</v>
      </c>
      <c r="D69" s="215">
        <f>D8</f>
        <v>2030</v>
      </c>
      <c r="E69" s="215" t="s">
        <v>195</v>
      </c>
      <c r="F69" s="215" t="s">
        <v>196</v>
      </c>
    </row>
    <row r="70" spans="1:6" ht="43.2">
      <c r="A70" s="323" t="str">
        <f>Intensités!B44</f>
        <v>Production d'électricité totale</v>
      </c>
      <c r="B70" s="198" t="s">
        <v>251</v>
      </c>
      <c r="C70" s="195">
        <f>VLOOKUP($A70,Tableau14[[Variables]:[Intégrée au calcul d''intensité]],MATCH(TEXT(C$69,"#"),Tableau14[[#Headers],[2019]:[2050]])+2,FALSE)</f>
        <v>34.910884938360454</v>
      </c>
      <c r="D70" s="195">
        <f>VLOOKUP($A70,Tableau14[[Variables]:[Intégrée au calcul d''intensité]],MATCH(TEXT(D$69,"#"),Tableau14[[#Headers],[2019]:[2050]])+2,FALSE)</f>
        <v>8.9931512504334723</v>
      </c>
      <c r="E70" s="239" t="str">
        <f>VLOOKUP($A70,Tableau14[[Variables]:[Intégrée au calcul d''intensité]],MATCH("Unité",Tableau14[#Headers],0)-1,FALSE)</f>
        <v>g CO2e/kWh</v>
      </c>
      <c r="F70" s="240" t="s">
        <v>252</v>
      </c>
    </row>
    <row r="71" spans="1:6" ht="43.2">
      <c r="A71" s="323" t="str">
        <f>Intensités!B50</f>
        <v>Production d'électricité totale hexagone</v>
      </c>
      <c r="B71" s="198" t="s">
        <v>253</v>
      </c>
      <c r="C71" s="195">
        <f>VLOOKUP($A71,Tableau14[[Variables]:[Intégrée au calcul d''intensité]],MATCH(TEXT(C$69,"#"),Tableau14[[#Headers],[2019]:[2050]])+2,FALSE)</f>
        <v>26.849421498454475</v>
      </c>
      <c r="D71" s="195">
        <f>VLOOKUP($A71,Tableau14[[Variables]:[Intégrée au calcul d''intensité]],MATCH(TEXT(D$69,"#"),Tableau14[[#Headers],[2019]:[2050]])+2,FALSE)</f>
        <v>8.8557885072134681</v>
      </c>
      <c r="E71" s="239" t="str">
        <f>VLOOKUP($A71,Tableau14[[Variables]:[Intégrée au calcul d''intensité]],MATCH("Unité",Tableau14[#Headers],0)-1,FALSE)</f>
        <v>g CO2e/kWh</v>
      </c>
      <c r="F71" s="240" t="s">
        <v>252</v>
      </c>
    </row>
    <row r="72" spans="1:6">
      <c r="A72" s="323" t="str">
        <f>Intensités!B45</f>
        <v>Production de chaleur vendue</v>
      </c>
      <c r="B72" s="198" t="s">
        <v>76</v>
      </c>
      <c r="C72" s="195">
        <f>VLOOKUP($A72,Tableau14[[Variables]:[Intégrée au calcul d''intensité]],MATCH(TEXT(C$69,"#"),Tableau14[[#Headers],[2019]:[2050]])+2,FALSE)</f>
        <v>119.85921416825713</v>
      </c>
      <c r="D72" s="195">
        <f>VLOOKUP($A72,Tableau14[[Variables]:[Intégrée au calcul d''intensité]],MATCH(TEXT(D$69,"#"),Tableau14[[#Headers],[2019]:[2050]])+2,FALSE)</f>
        <v>68.778396249913271</v>
      </c>
      <c r="E72" s="239" t="str">
        <f>VLOOKUP($A72,Tableau14[[Variables]:[Intégrée au calcul d''intensité]],MATCH("Unité",Tableau14[#Headers],0)-1,FALSE)</f>
        <v>g CO2e/kWh</v>
      </c>
      <c r="F72" s="240" t="s">
        <v>254</v>
      </c>
    </row>
    <row r="73" spans="1:6" ht="43.2">
      <c r="A73" s="323" t="str">
        <f>Intensités!B47</f>
        <v>Quantité de charbon transformée dans les cokeries</v>
      </c>
      <c r="B73" s="198" t="s">
        <v>80</v>
      </c>
      <c r="C73" s="195">
        <f>VLOOKUP($A73,Tableau14[[Variables]:[Intégrée au calcul d''intensité]],MATCH(TEXT(C$69,"#"),Tableau14[[#Headers],[2019]:[2050]])+2,FALSE)</f>
        <v>59.316969645322523</v>
      </c>
      <c r="D73" s="195">
        <f>VLOOKUP($A73,Tableau14[[Variables]:[Intégrée au calcul d''intensité]],MATCH(TEXT(D$69,"#"),Tableau14[[#Headers],[2019]:[2050]])+2,FALSE)</f>
        <v>52.298826123680257</v>
      </c>
      <c r="E73" s="239" t="str">
        <f>VLOOKUP($A73,Tableau14[[Variables]:[Intégrée au calcul d''intensité]],MATCH("Unité",Tableau14[#Headers],0)-1,FALSE)</f>
        <v>g CO2e/kWh</v>
      </c>
      <c r="F73" s="240" t="s">
        <v>255</v>
      </c>
    </row>
    <row r="74" spans="1:6">
      <c r="A74" s="323" t="str">
        <f>Intensités!B49</f>
        <v>Quantité de déchets utilisés pour la production d'électricité et de chaleur</v>
      </c>
      <c r="B74" s="198" t="s">
        <v>83</v>
      </c>
      <c r="C74" s="195">
        <f>VLOOKUP($A74,Tableau14[[Variables]:[Intégrée au calcul d''intensité]],MATCH(TEXT(C$69,"#"),Tableau14[[#Headers],[2019]:[2050]])+2,FALSE)</f>
        <v>0.49235495129381351</v>
      </c>
      <c r="D74" s="195">
        <f>VLOOKUP($A74,Tableau14[[Variables]:[Intégrée au calcul d''intensité]],MATCH(TEXT(D$69,"#"),Tableau14[[#Headers],[2019]:[2050]])+2,FALSE)</f>
        <v>0.50079552646656644</v>
      </c>
      <c r="E74" s="239" t="str">
        <f>VLOOKUP($A74,Tableau14[[Variables]:[Intégrée au calcul d''intensité]],MATCH("Unité",Tableau14[#Headers],0)-1,FALSE)</f>
        <v>t CO2e/tdéchets_UVE</v>
      </c>
      <c r="F74" s="240"/>
    </row>
  </sheetData>
  <mergeCells count="16">
    <mergeCell ref="C63:E63"/>
    <mergeCell ref="C60:E60"/>
    <mergeCell ref="B53:B55"/>
    <mergeCell ref="C55:E55"/>
    <mergeCell ref="C59:E59"/>
    <mergeCell ref="B57:B59"/>
    <mergeCell ref="C56:E56"/>
    <mergeCell ref="C58:E58"/>
    <mergeCell ref="B6:C6"/>
    <mergeCell ref="C62:E62"/>
    <mergeCell ref="C61:E61"/>
    <mergeCell ref="C57:E57"/>
    <mergeCell ref="C51:E51"/>
    <mergeCell ref="C54:E54"/>
    <mergeCell ref="C53:E53"/>
    <mergeCell ref="C52:E52"/>
  </mergeCells>
  <dataValidations count="1">
    <dataValidation type="list" allowBlank="1" showInputMessage="1" showErrorMessage="1" sqref="D6" xr:uid="{3DE7F941-651B-4D73-B5A0-6E2A88C95642}">
      <formula1>"Emissions hors CCS et BECCS, Emissions avec CCS, Emissions avec CCS et BECCS"</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K57"/>
  <sheetViews>
    <sheetView showGridLines="0" workbookViewId="0">
      <selection activeCell="E60" sqref="E60"/>
    </sheetView>
  </sheetViews>
  <sheetFormatPr baseColWidth="10" defaultColWidth="11.44140625" defaultRowHeight="14.4"/>
  <cols>
    <col min="2" max="2" width="36.6640625" customWidth="1"/>
    <col min="3" max="5" width="30.6640625" customWidth="1"/>
    <col min="6" max="6" width="18.44140625" customWidth="1"/>
    <col min="7" max="7" width="19.6640625" customWidth="1"/>
    <col min="9" max="9" width="34.44140625" customWidth="1"/>
    <col min="10" max="10" width="11.6640625" bestFit="1" customWidth="1"/>
  </cols>
  <sheetData>
    <row r="3" spans="2:11">
      <c r="B3" s="41" t="s">
        <v>172</v>
      </c>
    </row>
    <row r="6" spans="2:11">
      <c r="B6" s="457" t="s">
        <v>173</v>
      </c>
      <c r="C6" s="457"/>
      <c r="D6" s="457"/>
      <c r="E6" s="457"/>
    </row>
    <row r="7" spans="2:11">
      <c r="B7" s="19"/>
      <c r="C7" s="19"/>
      <c r="D7" s="3"/>
      <c r="E7" s="19"/>
    </row>
    <row r="8" spans="2:11" ht="44.4" customHeight="1">
      <c r="B8" s="214" t="s">
        <v>66</v>
      </c>
      <c r="C8" s="215">
        <f>'Choix années'!$C$4</f>
        <v>2019</v>
      </c>
      <c r="D8" s="215">
        <f>'Choix années'!$C$5</f>
        <v>2030</v>
      </c>
      <c r="E8" s="4"/>
      <c r="F8" s="4"/>
    </row>
    <row r="9" spans="2:11" ht="22.95" customHeight="1">
      <c r="B9" s="212" t="s">
        <v>343</v>
      </c>
      <c r="C9" s="216">
        <f>SUM(C13,C17,C21,C25)</f>
        <v>16.27323188928175</v>
      </c>
      <c r="D9" s="216">
        <f>SUM(D13,D17,D21,D25)</f>
        <v>12.043144929796446</v>
      </c>
      <c r="E9" s="5"/>
      <c r="F9" s="5"/>
    </row>
    <row r="10" spans="2:11" ht="30" customHeight="1">
      <c r="B10" s="186" t="str">
        <f>"% de baisse vs "&amp;TEXT($C$8,"#")</f>
        <v>% de baisse vs 2019</v>
      </c>
      <c r="C10" s="212"/>
      <c r="D10" s="217">
        <f>1-(D9/C9)</f>
        <v>0.25994141718532393</v>
      </c>
    </row>
    <row r="11" spans="2:11" ht="30" customHeight="1">
      <c r="B11" s="186" t="str">
        <f>"Variation annuelle moyenne entre "&amp;TEXT($D$8,"#")&amp;" et "&amp;TEXT($C$8,"#")&amp;" "</f>
        <v xml:space="preserve">Variation annuelle moyenne entre 2030 et 2019 </v>
      </c>
      <c r="C11" s="212"/>
      <c r="D11" s="217">
        <f>((D9/C9)^(1/($D$8-$C$8))-1)</f>
        <v>-2.6994937308093436E-2</v>
      </c>
    </row>
    <row r="12" spans="2:11">
      <c r="B12" s="192" t="s">
        <v>67</v>
      </c>
      <c r="C12" s="193"/>
      <c r="D12" s="194"/>
    </row>
    <row r="13" spans="2:11" ht="22.95" customHeight="1">
      <c r="B13" s="193" t="s">
        <v>343</v>
      </c>
      <c r="C13" s="195">
        <f>VLOOKUP($B$12,'Résultats détaillés GES'!$A$126:$BJ$131,MATCH(C$8,'Résultats détaillés GES'!$A$126:$BJ$126),FALSE)</f>
        <v>11.66704997608382</v>
      </c>
      <c r="D13" s="195">
        <f>VLOOKUP($B$12,'Résultats détaillés GES'!$A$126:$BJ$131,MATCH(D$8,'Résultats détaillés GES'!$A$126:$BJ$126),FALSE)</f>
        <v>7.5918640573121614</v>
      </c>
      <c r="E13" s="5"/>
      <c r="F13" s="5"/>
    </row>
    <row r="14" spans="2:11" ht="22.95" customHeight="1">
      <c r="B14" s="193" t="str">
        <f>"% de baisse vs "&amp;TEXT($C$8,"#")</f>
        <v>% de baisse vs 2019</v>
      </c>
      <c r="C14" s="196"/>
      <c r="D14" s="197">
        <f>1-(D13/C13)</f>
        <v>0.3492901742193053</v>
      </c>
    </row>
    <row r="15" spans="2:11" ht="31.2" customHeight="1">
      <c r="B15" s="198" t="str">
        <f>"Variation annuelle moyenne entre "&amp;TEXT($D$8,"#")&amp;" et "&amp;TEXT($C$8,"#")&amp;" "</f>
        <v xml:space="preserve">Variation annuelle moyenne entre 2030 et 2019 </v>
      </c>
      <c r="C15" s="196"/>
      <c r="D15" s="197">
        <f>((D13/C13)^(1/($D$8-$C$8))-1)</f>
        <v>-3.8309745675974005E-2</v>
      </c>
      <c r="H15" s="54"/>
      <c r="I15" s="27"/>
      <c r="J15" s="27"/>
      <c r="K15" s="27"/>
    </row>
    <row r="16" spans="2:11">
      <c r="B16" s="192" t="s">
        <v>68</v>
      </c>
      <c r="C16" s="193"/>
      <c r="D16" s="194"/>
    </row>
    <row r="17" spans="1:6" ht="22.95" customHeight="1">
      <c r="B17" s="193" t="s">
        <v>343</v>
      </c>
      <c r="C17" s="195">
        <f>VLOOKUP($B$16,'Résultats détaillés GES'!$A$126:$BJ$131,MATCH(C$8,'Résultats détaillés GES'!$A$126:$BJ$126),FALSE)</f>
        <v>1.5807977847910375</v>
      </c>
      <c r="D17" s="195">
        <f>VLOOKUP($B$16,'Résultats détaillés GES'!$A$126:$BJ$131,MATCH(D$8,'Résultats détaillés GES'!$A$126:$BJ$126),FALSE)</f>
        <v>1.5261310826294434</v>
      </c>
      <c r="E17" s="5"/>
      <c r="F17" s="5"/>
    </row>
    <row r="18" spans="1:6" ht="22.95" customHeight="1">
      <c r="B18" s="193" t="str">
        <f>"% de baisse vs "&amp;TEXT($C$8,"#")</f>
        <v>% de baisse vs 2019</v>
      </c>
      <c r="C18" s="199"/>
      <c r="D18" s="200">
        <f>1-(D17/C17)</f>
        <v>3.458171733762927E-2</v>
      </c>
    </row>
    <row r="19" spans="1:6" ht="33" customHeight="1">
      <c r="B19" s="198" t="str">
        <f>"Variation annuelle moyenne entre "&amp;TEXT($D$8,"#")&amp;" et "&amp;TEXT($C$8,"#")&amp;" "</f>
        <v xml:space="preserve">Variation annuelle moyenne entre 2030 et 2019 </v>
      </c>
      <c r="C19" s="199"/>
      <c r="D19" s="197">
        <f>((D17/C17)^(1/($D$8-$C$8))-1)</f>
        <v>-3.1943252542258049E-3</v>
      </c>
    </row>
    <row r="20" spans="1:6">
      <c r="B20" s="218" t="s">
        <v>69</v>
      </c>
      <c r="C20" s="193"/>
      <c r="D20" s="193"/>
    </row>
    <row r="21" spans="1:6" ht="22.95" customHeight="1">
      <c r="B21" s="193" t="s">
        <v>343</v>
      </c>
      <c r="C21" s="195">
        <f>VLOOKUP($B$20,'Résultats détaillés GES'!$A$126:$BJ$131,MATCH(C$8,'Résultats détaillés GES'!$A$126:$BJ$126),FALSE)</f>
        <v>0.9786578402816638</v>
      </c>
      <c r="D21" s="195">
        <f>VLOOKUP($B$20,'Résultats détaillés GES'!$A$126:$BJ$131,MATCH(D$8,'Résultats détaillés GES'!$A$126:$BJ$126),FALSE)</f>
        <v>0.92751293912829347</v>
      </c>
      <c r="E21" s="5"/>
      <c r="F21" s="5"/>
    </row>
    <row r="22" spans="1:6" ht="22.95" customHeight="1">
      <c r="A22" t="s">
        <v>188</v>
      </c>
      <c r="B22" s="193" t="str">
        <f>"% de baisse vs "&amp;TEXT($C$8,"#")</f>
        <v>% de baisse vs 2019</v>
      </c>
      <c r="C22" s="190"/>
      <c r="D22" s="201">
        <f>1-(D21/C21)</f>
        <v>5.2260247706849783E-2</v>
      </c>
    </row>
    <row r="23" spans="1:6" ht="37.200000000000003" customHeight="1">
      <c r="B23" s="198" t="str">
        <f>"Variation annuelle moyenne entre "&amp;TEXT($D$8,"#")&amp;" et "&amp;TEXT($C$8,"#")&amp;" "</f>
        <v xml:space="preserve">Variation annuelle moyenne entre 2030 et 2019 </v>
      </c>
      <c r="C23" s="190"/>
      <c r="D23" s="197">
        <f>((D21/C21)^(1/($D$8-$C$8))-1)</f>
        <v>-4.867690328205776E-3</v>
      </c>
    </row>
    <row r="24" spans="1:6">
      <c r="B24" s="192" t="s">
        <v>70</v>
      </c>
      <c r="C24" s="193"/>
      <c r="D24" s="193"/>
    </row>
    <row r="25" spans="1:6" ht="31.2" customHeight="1">
      <c r="B25" s="193" t="s">
        <v>343</v>
      </c>
      <c r="C25" s="195">
        <f>VLOOKUP($B$24,'Résultats détaillés GES'!$A$126:$BJ$131,MATCH(C$8,'Résultats détaillés GES'!$A$126:$BJ$126),FALSE)</f>
        <v>2.0467262881252291</v>
      </c>
      <c r="D25" s="195">
        <f>VLOOKUP($B$24,'Résultats détaillés GES'!$A$126:$BJ$131,MATCH(D$8,'Résultats détaillés GES'!$A$126:$BJ$126),FALSE)</f>
        <v>1.9976368507265467</v>
      </c>
      <c r="E25" s="5"/>
      <c r="F25" s="5"/>
    </row>
    <row r="26" spans="1:6" ht="22.95" customHeight="1">
      <c r="A26" t="s">
        <v>188</v>
      </c>
      <c r="B26" s="193" t="str">
        <f>"% de baisse vs "&amp;TEXT($C$8,"#")</f>
        <v>% de baisse vs 2019</v>
      </c>
      <c r="C26" s="190"/>
      <c r="D26" s="201">
        <f>1-(D25/C25)</f>
        <v>2.39843684441301E-2</v>
      </c>
    </row>
    <row r="27" spans="1:6" ht="34.950000000000003" customHeight="1">
      <c r="B27" s="198" t="str">
        <f>"Variation annuelle moyenne entre "&amp;TEXT($D$8,"#")&amp;" et "&amp;TEXT($C$8,"#")&amp;" "</f>
        <v xml:space="preserve">Variation annuelle moyenne entre 2030 et 2019 </v>
      </c>
      <c r="C27" s="190"/>
      <c r="D27" s="197">
        <f>((D25/C25)^(1/($D$8-$C$8))-1)</f>
        <v>-2.2045370454005786E-3</v>
      </c>
    </row>
    <row r="28" spans="1:6" ht="22.95" customHeight="1">
      <c r="D28" s="5"/>
      <c r="E28" s="5"/>
    </row>
    <row r="29" spans="1:6" ht="22.95" customHeight="1">
      <c r="B29" s="187" t="s">
        <v>368</v>
      </c>
      <c r="C29" s="188">
        <f>C8</f>
        <v>2019</v>
      </c>
      <c r="D29" s="188">
        <f>D8</f>
        <v>2030</v>
      </c>
      <c r="E29" s="5"/>
    </row>
    <row r="30" spans="1:6" ht="22.95" customHeight="1">
      <c r="B30" s="211" t="s">
        <v>369</v>
      </c>
      <c r="C30" s="212"/>
      <c r="D30" s="212"/>
      <c r="E30" s="5"/>
    </row>
    <row r="31" spans="1:6" ht="22.95" customHeight="1">
      <c r="B31" s="212" t="s">
        <v>343</v>
      </c>
      <c r="C31" s="189">
        <f>IF('Choix années'!C9="1,5 °C",VLOOKUP("Équipements",'Résultats détaillés GES'!$A$232:$BJ$238,MATCH(C$8,'Résultats détaillés GES'!$A$232:$BJ$232),FALSE),0)+IF('Choix années'!C9="2 °C",VLOOKUP("Équipements",'Résultats détaillés GES'!$A$240:$BJ$246,MATCH(C$8,'Résultats détaillés GES'!$A$240:$BJ$240),FALSE),0)+IF('Choix années'!C9="3 °C",VLOOKUP("Équipements",'Résultats détaillés GES'!$A$248:$BJ$254,MATCH(C$8,'Résultats détaillés GES'!$A$248:$BJ$248),FALSE),0)</f>
        <v>70.928927000000002</v>
      </c>
      <c r="D31" s="189">
        <f>IF('Choix années'!C9="1,5 °C",VLOOKUP("Déplacements",'Résultats détaillés GES'!$A$232:$BJ$238,MATCH(D$8,'Résultats détaillés GES'!$A$232:$BJ$232),FALSE),0)+IF('Choix années'!C9="2 °C",VLOOKUP("Déplacements",'Résultats détaillés GES'!$A$240:$BJ$246,MATCH(D$8,'Résultats détaillés GES'!$A$240:$BJ$240),FALSE),0)+IF('Choix années'!C9="3 °C",VLOOKUP("Déplacements",'Résultats détaillés GES'!$A$248:$BJ$254,MATCH(D$8,'Résultats détaillés GES'!$A$248:$BJ$248),FALSE),0)</f>
        <v>120.34859157476069</v>
      </c>
      <c r="E31" s="5"/>
    </row>
    <row r="32" spans="1:6" ht="22.95" customHeight="1">
      <c r="B32" s="186" t="str">
        <f>"% de baisse vs "&amp;TEXT($C$8,"#")</f>
        <v>% de baisse vs 2019</v>
      </c>
      <c r="C32" s="190"/>
      <c r="D32" s="191">
        <f>1-(D31/C31)</f>
        <v>-0.69674907918402162</v>
      </c>
      <c r="E32" s="5"/>
    </row>
    <row r="33" spans="2:5" ht="22.95" customHeight="1">
      <c r="B33" s="186" t="str">
        <f>"Variation annuelle moyenne entre "&amp;TEXT($D$13,"#")&amp;" et "&amp;TEXT($C$13,"#")&amp;" "</f>
        <v xml:space="preserve">Variation annuelle moyenne entre 8 et 12 </v>
      </c>
      <c r="C33" s="190"/>
      <c r="D33" s="197">
        <f>((D31/C31)^(1/($D$13-$C$13))-1)</f>
        <v>-0.1216761252698435</v>
      </c>
      <c r="E33" s="5"/>
    </row>
    <row r="34" spans="2:5" ht="22.95" customHeight="1">
      <c r="B34" s="192" t="s">
        <v>376</v>
      </c>
      <c r="C34" s="193"/>
      <c r="D34" s="194"/>
      <c r="E34" s="5"/>
    </row>
    <row r="35" spans="2:5" ht="22.95" customHeight="1">
      <c r="B35" s="193" t="s">
        <v>343</v>
      </c>
      <c r="C35" s="195">
        <f>IF('Choix années'!C9="1,5 °C",VLOOKUP("Déplacements",'Résultats détaillés GES'!$A$258:$BJ$264,MATCH(C$8,'Résultats détaillés GES'!$A$258:$BJ$258),FALSE),0)+IF('Choix années'!C9="2 °C",VLOOKUP("Déplacements",'Résultats détaillés GES'!$A$266:$BJ$272,MATCH(C$8,'Résultats détaillés GES'!$A$266:$BJ$266),FALSE),0)+IF('Choix années'!C9="3 °C",VLOOKUP("Déplacements",'Résultats détaillés GES'!$A$274:$BJ$280,MATCH(C$8,'Résultats détaillés GES'!$A$274:$BJ$274),FALSE),0)</f>
        <v>62.733806999999999</v>
      </c>
      <c r="D35" s="195">
        <f>IF('Choix années'!C9="1,5 °C",VLOOKUP("Déplacements",'Résultats détaillés GES'!$A$258:$BJ$264,MATCH(D$8,'Résultats détaillés GES'!$A$258:$BJ$258),FALSE),0)+IF('Choix années'!C9="2 °C",VLOOKUP("Déplacements",'Résultats détaillés GES'!$A$266:$BJ$272,MATCH(D$8,'Résultats détaillés GES'!$A$266:$BJ$266),FALSE),0)+IF('Choix années'!C9="3 °C",VLOOKUP("Déplacements",'Résultats détaillés GES'!$A$274:$BJ$280,MATCH(D$8,'Résultats détaillés GES'!$A$274:$BJ$274),FALSE),0)</f>
        <v>51.971385719541139</v>
      </c>
      <c r="E35" s="5"/>
    </row>
    <row r="36" spans="2:5" ht="22.95" customHeight="1">
      <c r="B36" s="193" t="str">
        <f>"% de baisse vs "&amp;TEXT($C$8,"#")</f>
        <v>% de baisse vs 2019</v>
      </c>
      <c r="C36" s="196"/>
      <c r="D36" s="197">
        <f>1-(D35/C35)</f>
        <v>0.17155696099327844</v>
      </c>
      <c r="E36" s="5"/>
    </row>
    <row r="37" spans="2:5" ht="28.2" customHeight="1">
      <c r="B37" s="198" t="str">
        <f>"Variation annuelle moyenne entre "&amp;TEXT($D$8,"#")&amp;" et "&amp;TEXT($C$8,"#")&amp;" "</f>
        <v xml:space="preserve">Variation annuelle moyenne entre 2030 et 2019 </v>
      </c>
      <c r="C37" s="196"/>
      <c r="D37" s="197">
        <f>((D35/C35)^(1/($D$13-$C$13))-1)</f>
        <v>4.7266784550480834E-2</v>
      </c>
      <c r="E37" s="5"/>
    </row>
    <row r="38" spans="2:5" ht="22.95" customHeight="1">
      <c r="D38" s="5"/>
      <c r="E38" s="5"/>
    </row>
    <row r="40" spans="2:5">
      <c r="B40" s="28" t="s">
        <v>601</v>
      </c>
    </row>
    <row r="41" spans="2:5" ht="28.2" customHeight="1">
      <c r="B41" s="53"/>
      <c r="C41" s="52"/>
    </row>
    <row r="42" spans="2:5" ht="36" customHeight="1">
      <c r="B42" s="171" t="str">
        <f>"Baisse globale entre "&amp;TEXT($D$8,"#")&amp;" et "&amp;TEXT($C$8,"#")&amp;" "</f>
        <v xml:space="preserve">Baisse globale entre 2030 et 2019 </v>
      </c>
      <c r="C42" s="458">
        <f>D10</f>
        <v>0.25994141718532393</v>
      </c>
      <c r="D42" s="458"/>
      <c r="E42" s="458"/>
    </row>
    <row r="43" spans="2:5" ht="36" customHeight="1">
      <c r="B43" s="171" t="s">
        <v>189</v>
      </c>
      <c r="C43" s="454" t="s">
        <v>600</v>
      </c>
      <c r="D43" s="455"/>
      <c r="E43" s="456"/>
    </row>
    <row r="44" spans="2:5" ht="36" customHeight="1">
      <c r="B44" s="444" t="s">
        <v>163</v>
      </c>
      <c r="C44" s="451" t="s">
        <v>562</v>
      </c>
      <c r="D44" s="451"/>
      <c r="E44" s="451"/>
    </row>
    <row r="45" spans="2:5" ht="45" customHeight="1">
      <c r="B45" s="453"/>
      <c r="C45" s="446" t="s">
        <v>563</v>
      </c>
      <c r="D45" s="447"/>
      <c r="E45" s="448"/>
    </row>
    <row r="46" spans="2:5" ht="45" customHeight="1">
      <c r="B46" s="453"/>
      <c r="C46" s="446" t="s">
        <v>565</v>
      </c>
      <c r="D46" s="447"/>
      <c r="E46" s="448"/>
    </row>
    <row r="47" spans="2:5" ht="45" customHeight="1">
      <c r="B47" s="358" t="s">
        <v>564</v>
      </c>
      <c r="C47" s="460" t="s">
        <v>637</v>
      </c>
      <c r="D47" s="461"/>
      <c r="E47" s="462"/>
    </row>
    <row r="48" spans="2:5" ht="45" customHeight="1">
      <c r="B48" s="444" t="s">
        <v>164</v>
      </c>
      <c r="C48" s="451" t="s">
        <v>638</v>
      </c>
      <c r="D48" s="451"/>
      <c r="E48" s="451"/>
    </row>
    <row r="49" spans="1:6" ht="35.4" customHeight="1">
      <c r="B49" s="445"/>
      <c r="C49" s="451" t="s">
        <v>639</v>
      </c>
      <c r="D49" s="451"/>
      <c r="E49" s="451"/>
    </row>
    <row r="50" spans="1:6" ht="61.2" customHeight="1"/>
    <row r="51" spans="1:6">
      <c r="B51" s="41" t="s">
        <v>193</v>
      </c>
    </row>
    <row r="54" spans="1:6">
      <c r="B54" s="171" t="s">
        <v>194</v>
      </c>
      <c r="C54" s="171">
        <f>C8</f>
        <v>2019</v>
      </c>
      <c r="D54" s="171">
        <f>D29</f>
        <v>2030</v>
      </c>
      <c r="E54" s="171" t="s">
        <v>195</v>
      </c>
      <c r="F54" s="215" t="s">
        <v>196</v>
      </c>
    </row>
    <row r="55" spans="1:6">
      <c r="A55" s="324" t="str">
        <f>Intensités!B41</f>
        <v>Tonnage de déchets stockés dans les ISDND</v>
      </c>
      <c r="B55" s="193" t="s">
        <v>67</v>
      </c>
      <c r="C55" s="195">
        <f>VLOOKUP($A55,Tableau14[[Variables]:[Intégrée au calcul d''intensité]],MATCH(TEXT(C$54,"#"),Tableau14[[#Headers],[2019]:[2050]])+2,FALSE)</f>
        <v>0.68832153251231987</v>
      </c>
      <c r="D55" s="195">
        <f>VLOOKUP($A55,Tableau14[[Variables]:[Intégrée au calcul d''intensité]],MATCH(TEXT(D$54,"#"),Tableau14[[#Headers],[2019]:[2050]])+2,FALSE)</f>
        <v>0.94898300716402018</v>
      </c>
      <c r="E55" s="236" t="str">
        <f>VLOOKUP($A55,Tableau14[[Variables]:[Intégrée au calcul d''intensité]],MATCH("Unité",Tableau14[#Headers],0)-1,FALSE)</f>
        <v>t CO2e/tdéchets</v>
      </c>
      <c r="F55" s="240" t="s">
        <v>500</v>
      </c>
    </row>
    <row r="56" spans="1:6">
      <c r="A56" s="323" t="str">
        <f>Intensités!B43</f>
        <v>Eau usées</v>
      </c>
      <c r="B56" s="193" t="s">
        <v>70</v>
      </c>
      <c r="C56" s="273">
        <f>VLOOKUP($A56,Tableau14[[Variables]:[Intégrée au calcul d''intensité]],MATCH(TEXT(C$54,"#"),Tableau14[[#Headers],[2019]:[2050]])+2,FALSE)</f>
        <v>3.043097974787928E-2</v>
      </c>
      <c r="D56" s="273">
        <f>VLOOKUP($A56,Tableau14[[Variables]:[Intégrée au calcul d''intensité]],MATCH(TEXT(D$54,"#"),Tableau14[[#Headers],[2019]:[2050]])+2,FALSE)</f>
        <v>2.9120070710299518E-2</v>
      </c>
      <c r="E56" s="236" t="str">
        <f>VLOOKUP($A56,Tableau14[[Variables]:[Intégrée au calcul d''intensité]],MATCH("Unité",Tableau14[#Headers],0)-1,FALSE)</f>
        <v>Mt CO2e/Mhab</v>
      </c>
      <c r="F56" s="240" t="s">
        <v>197</v>
      </c>
    </row>
    <row r="57" spans="1:6">
      <c r="A57" s="323" t="str">
        <f>Intensités!B42</f>
        <v>Volume total de déchets</v>
      </c>
      <c r="B57" s="193" t="s">
        <v>243</v>
      </c>
      <c r="C57" s="273">
        <f>VLOOKUP($A57,Tableau14[[Variables]:[Intégrée au calcul d''intensité]],MATCH(TEXT(C$54,"#"),Tableau14[[#Headers],[2019]:[2050]])+2,FALSE)</f>
        <v>0.20574286477377521</v>
      </c>
      <c r="D57" s="273">
        <f>VLOOKUP($A57,Tableau14[[Variables]:[Intégrée au calcul d''intensité]],MATCH(TEXT(D$54,"#"),Tableau14[[#Headers],[2019]:[2050]])+2,FALSE)</f>
        <v>0.14960428484219188</v>
      </c>
      <c r="E57" s="236" t="str">
        <f>VLOOKUP($A57,Tableau14[[Variables]:[Intégrée au calcul d''intensité]],MATCH("Unité",Tableau14[#Headers],0)-1,FALSE)</f>
        <v>tCO2e/tdéchets</v>
      </c>
      <c r="F57" s="240" t="s">
        <v>197</v>
      </c>
    </row>
  </sheetData>
  <mergeCells count="11">
    <mergeCell ref="B6:E6"/>
    <mergeCell ref="C42:E42"/>
    <mergeCell ref="C49:E49"/>
    <mergeCell ref="C48:E48"/>
    <mergeCell ref="C44:E44"/>
    <mergeCell ref="C43:E43"/>
    <mergeCell ref="B48:B49"/>
    <mergeCell ref="C45:E45"/>
    <mergeCell ref="C47:E47"/>
    <mergeCell ref="C46:E46"/>
    <mergeCell ref="B44:B46"/>
  </mergeCells>
  <pageMargins left="0.7" right="0.7" top="0.75" bottom="0.7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3:F50"/>
  <sheetViews>
    <sheetView showGridLines="0" workbookViewId="0"/>
  </sheetViews>
  <sheetFormatPr baseColWidth="10" defaultColWidth="11.44140625" defaultRowHeight="14.4"/>
  <cols>
    <col min="2" max="2" width="40.44140625" customWidth="1"/>
    <col min="3" max="5" width="30.6640625" customWidth="1"/>
    <col min="6" max="6" width="21.6640625" customWidth="1"/>
    <col min="7" max="7" width="23.6640625" customWidth="1"/>
    <col min="10" max="10" width="51.6640625" customWidth="1"/>
  </cols>
  <sheetData>
    <row r="3" spans="2:6">
      <c r="B3" s="41" t="s">
        <v>172</v>
      </c>
    </row>
    <row r="4" spans="2:6">
      <c r="E4" s="44"/>
    </row>
    <row r="5" spans="2:6">
      <c r="D5" s="27"/>
      <c r="E5" s="27"/>
    </row>
    <row r="6" spans="2:6">
      <c r="B6" s="457" t="s">
        <v>173</v>
      </c>
      <c r="C6" s="457"/>
      <c r="D6" s="457"/>
      <c r="E6" s="457"/>
    </row>
    <row r="7" spans="2:6">
      <c r="B7" s="19"/>
      <c r="C7" s="19"/>
      <c r="D7" s="3"/>
      <c r="E7" s="19"/>
    </row>
    <row r="8" spans="2:6" ht="52.2" customHeight="1">
      <c r="B8" s="406" t="s">
        <v>84</v>
      </c>
      <c r="C8" s="215">
        <f>'Choix années'!$C$4</f>
        <v>2019</v>
      </c>
      <c r="D8" s="215">
        <f>'Choix années'!$C$5</f>
        <v>2030</v>
      </c>
      <c r="E8" s="4"/>
      <c r="F8" s="4"/>
    </row>
    <row r="9" spans="2:6" ht="22.95" customHeight="1">
      <c r="B9" s="212" t="s">
        <v>343</v>
      </c>
      <c r="C9" s="216">
        <f>C13+C17+C21+C25+C29+C33</f>
        <v>-54.934902896483003</v>
      </c>
      <c r="D9" s="216">
        <f>D13+D17+D21+D25+D29+D33</f>
        <v>-32.939620003038797</v>
      </c>
      <c r="E9" s="5"/>
      <c r="F9" s="5"/>
    </row>
    <row r="10" spans="2:6" ht="30" customHeight="1">
      <c r="B10" s="212" t="str">
        <f>"% de baisse vs "&amp;TEXT($C$8,"#")</f>
        <v>% de baisse vs 2019</v>
      </c>
      <c r="C10" s="212"/>
      <c r="D10" s="217">
        <f>1-(D9/C9)</f>
        <v>0.40038812728751305</v>
      </c>
    </row>
    <row r="11" spans="2:6" ht="30" customHeight="1">
      <c r="B11" s="186" t="str">
        <f>"Variation annuelle moyenne entre " &amp;TEXT($D$8,"#")&amp;" et "&amp;TEXT($C$8,"#")&amp;" "</f>
        <v xml:space="preserve">Variation annuelle moyenne entre 2030 et 2019 </v>
      </c>
      <c r="C11" s="212"/>
      <c r="D11" s="217">
        <f>((D9/C9)^(1/($D$8-$C$8))-1)</f>
        <v>-4.5433071403631731E-2</v>
      </c>
    </row>
    <row r="12" spans="2:6">
      <c r="B12" s="192" t="s">
        <v>85</v>
      </c>
      <c r="C12" s="193"/>
      <c r="D12" s="194"/>
    </row>
    <row r="13" spans="2:6" ht="47.4" customHeight="1">
      <c r="B13" s="193" t="s">
        <v>343</v>
      </c>
      <c r="C13" s="195">
        <f>VLOOKUP($B$12,'Résultats détaillés GES'!$A$207:$BJ$216,MATCH(C$8,'Résultats détaillés GES'!$A$207:$BJ$207),FALSE)</f>
        <v>-65.367092931754058</v>
      </c>
      <c r="D13" s="195">
        <f>VLOOKUP($B$12,'Résultats détaillés GES'!$A$207:$BJ$216,MATCH(D$8,'Résultats détaillés GES'!$A$207:$BJ$207),FALSE)</f>
        <v>-35.069970426989109</v>
      </c>
      <c r="E13" s="5"/>
      <c r="F13" s="5"/>
    </row>
    <row r="14" spans="2:6" ht="35.700000000000003" customHeight="1">
      <c r="B14" s="193" t="str">
        <f>"% de baisse vs "&amp;TEXT($C$8,"#")</f>
        <v>% de baisse vs 2019</v>
      </c>
      <c r="C14" s="195"/>
      <c r="D14" s="197">
        <f>1-(D13/C13)</f>
        <v>0.46349196737869913</v>
      </c>
      <c r="E14" s="5"/>
      <c r="F14" s="5"/>
    </row>
    <row r="15" spans="2:6" ht="35.700000000000003" customHeight="1">
      <c r="B15" s="198" t="str">
        <f>"Variation annuelle moyenne entre " &amp;TEXT($D$8,"#")&amp;" et "&amp;TEXT($C$8,"#")&amp;" "</f>
        <v xml:space="preserve">Variation annuelle moyenne entre 2030 et 2019 </v>
      </c>
      <c r="C15" s="196"/>
      <c r="D15" s="197">
        <f>((D13/C13)^(1/($D$8-$C$8))-1)</f>
        <v>-5.503435256403999E-2</v>
      </c>
      <c r="E15" s="5"/>
      <c r="F15" s="5"/>
    </row>
    <row r="16" spans="2:6" ht="35.700000000000003" customHeight="1">
      <c r="B16" s="192" t="s">
        <v>86</v>
      </c>
      <c r="C16" s="232"/>
      <c r="D16" s="194"/>
      <c r="E16" s="5"/>
      <c r="F16" s="5"/>
    </row>
    <row r="17" spans="1:6" ht="39" customHeight="1">
      <c r="B17" s="193" t="s">
        <v>343</v>
      </c>
      <c r="C17" s="195">
        <f>VLOOKUP("Terres cultivées",'Résultats détaillés GES'!$A$207:$BJ$216,MATCH(C$8,'Résultats détaillés GES'!$A$207:$BJ$207),FALSE)+VLOOKUP("Prairies",'Résultats détaillés GES'!$A$207:$BJ$216,MATCH(C$8,'Résultats détaillés GES'!$A$207:$BJ$207),FALSE)</f>
        <v>5.5833510718490675</v>
      </c>
      <c r="D17" s="195">
        <f>VLOOKUP("Terres cultivées",'Résultats détaillés GES'!$A$207:$BJ$216,MATCH(D$8,'Résultats détaillés GES'!$A$207:$BJ$207),FALSE)+VLOOKUP("Prairies",'Résultats détaillés GES'!$A$207:$BJ$216,MATCH(D$8,'Résultats détaillés GES'!$A$207:$BJ$207),FALSE)</f>
        <v>2.4871978326984916</v>
      </c>
      <c r="E17" s="5"/>
      <c r="F17" s="5"/>
    </row>
    <row r="18" spans="1:6" ht="25.5" customHeight="1">
      <c r="B18" s="193" t="str">
        <f>"% de baisse vs "&amp;TEXT($C$8,"#")</f>
        <v>% de baisse vs 2019</v>
      </c>
      <c r="C18" s="233"/>
      <c r="D18" s="200">
        <f>1-(D17/C17)</f>
        <v>0.55453314672638099</v>
      </c>
      <c r="E18" s="5"/>
      <c r="F18" s="5"/>
    </row>
    <row r="19" spans="1:6" ht="33.6" customHeight="1">
      <c r="B19" s="198" t="str">
        <f>"Variation annuelle moyenne entre " &amp;TEXT($D$8,"#")&amp;" et "&amp;TEXT($C$8,"#")&amp;" "</f>
        <v xml:space="preserve">Variation annuelle moyenne entre 2030 et 2019 </v>
      </c>
      <c r="C19" s="196"/>
      <c r="D19" s="197">
        <f>((D17/C17)^(1/($D$8-$C$8))-1)</f>
        <v>-7.0875040793831112E-2</v>
      </c>
      <c r="E19" s="5"/>
      <c r="F19" s="5"/>
    </row>
    <row r="20" spans="1:6" ht="35.700000000000003" customHeight="1">
      <c r="B20" s="218" t="s">
        <v>87</v>
      </c>
      <c r="C20" s="232"/>
      <c r="D20" s="193"/>
      <c r="E20" s="5"/>
      <c r="F20" s="5"/>
    </row>
    <row r="21" spans="1:6" ht="47.4" customHeight="1">
      <c r="B21" s="193" t="s">
        <v>343</v>
      </c>
      <c r="C21" s="195">
        <f>VLOOKUP($B$20,'Résultats détaillés GES'!$A$207:$BJ$216,MATCH(C$8,'Résultats détaillés GES'!$A$207:$BJ$207),FALSE)</f>
        <v>0.85376470439566621</v>
      </c>
      <c r="D21" s="195">
        <f>VLOOKUP($B$20,'Résultats détaillés GES'!$A$207:$BJ$216,MATCH(D$8,'Résultats détaillés GES'!$A$207:$BJ$207),FALSE)</f>
        <v>0.39517964522127041</v>
      </c>
      <c r="E21" s="5"/>
      <c r="F21" s="5"/>
    </row>
    <row r="22" spans="1:6" ht="33" customHeight="1">
      <c r="A22" t="s">
        <v>188</v>
      </c>
      <c r="B22" s="193" t="str">
        <f>"% de baisse vs "&amp;TEXT($C$8,"#")</f>
        <v>% de baisse vs 2019</v>
      </c>
      <c r="C22" s="234"/>
      <c r="D22" s="201">
        <f>1-(D21/C21)</f>
        <v>0.53713283860686567</v>
      </c>
      <c r="E22" s="5"/>
      <c r="F22" s="5"/>
    </row>
    <row r="23" spans="1:6" ht="33" customHeight="1">
      <c r="B23" s="198" t="str">
        <f>"Variation annuelle moyenne entre " &amp;TEXT($D$8,"#")&amp;" et "&amp;TEXT($C$8,"#")&amp;" "</f>
        <v xml:space="preserve">Variation annuelle moyenne entre 2030 et 2019 </v>
      </c>
      <c r="C23" s="196"/>
      <c r="D23" s="197">
        <f>((D21/C21)^(1/($D$8-$C$8))-1)</f>
        <v>-6.7632894870980009E-2</v>
      </c>
      <c r="E23" s="5"/>
      <c r="F23" s="5"/>
    </row>
    <row r="24" spans="1:6" ht="26.4" customHeight="1">
      <c r="B24" s="192" t="s">
        <v>88</v>
      </c>
      <c r="C24" s="232"/>
      <c r="D24" s="193"/>
      <c r="E24" s="5"/>
      <c r="F24" s="5"/>
    </row>
    <row r="25" spans="1:6" ht="22.95" customHeight="1">
      <c r="B25" s="193" t="s">
        <v>343</v>
      </c>
      <c r="C25" s="195">
        <f>VLOOKUP($B$24,'Résultats détaillés GES'!$A$207:$BJ$216,MATCH(C$8,'Résultats détaillés GES'!$A$207:$BJ$207),FALSE)</f>
        <v>4.7457662605053956</v>
      </c>
      <c r="D25" s="195">
        <f>VLOOKUP($B$24,'Résultats détaillés GES'!$A$207:$BJ$216,MATCH(D$8,'Résultats détaillés GES'!$A$207:$BJ$207),FALSE)</f>
        <v>3.0977799175869611</v>
      </c>
      <c r="E25" s="5"/>
      <c r="F25" s="5"/>
    </row>
    <row r="26" spans="1:6" ht="22.95" customHeight="1">
      <c r="A26" t="s">
        <v>188</v>
      </c>
      <c r="B26" s="193" t="str">
        <f>"% de baisse vs "&amp;TEXT($C$8,"#")</f>
        <v>% de baisse vs 2019</v>
      </c>
      <c r="C26" s="234"/>
      <c r="D26" s="201">
        <f>1-(D25/C25)</f>
        <v>0.3472540054559986</v>
      </c>
      <c r="E26" s="5"/>
      <c r="F26" s="5"/>
    </row>
    <row r="27" spans="1:6" ht="32.4" customHeight="1">
      <c r="B27" s="198" t="str">
        <f>"Variation annuelle moyenne entre " &amp;TEXT($D$8,"#")&amp;" et "&amp;TEXT($C$8,"#")&amp;" "</f>
        <v xml:space="preserve">Variation annuelle moyenne entre 2030 et 2019 </v>
      </c>
      <c r="C27" s="196"/>
      <c r="D27" s="197">
        <f>((D25/C25)^(1/($D$8-$C$8))-1)</f>
        <v>-3.803656371998454E-2</v>
      </c>
      <c r="E27" s="5"/>
      <c r="F27" s="5"/>
    </row>
    <row r="28" spans="1:6">
      <c r="B28" s="192" t="s">
        <v>170</v>
      </c>
      <c r="C28" s="235"/>
      <c r="D28" s="203"/>
      <c r="E28" s="5"/>
      <c r="F28" s="5"/>
    </row>
    <row r="29" spans="1:6" ht="22.95" customHeight="1">
      <c r="B29" s="193" t="s">
        <v>343</v>
      </c>
      <c r="C29" s="195">
        <f>VLOOKUP($B$28,'Résultats détaillés GES'!$A$207:$BJ$216,MATCH(C$8,'Résultats détaillés GES'!$A$207:$BJ$207),FALSE)</f>
        <v>-1.1272279182888361</v>
      </c>
      <c r="D29" s="195">
        <f>VLOOKUP($B$28,'Résultats détaillés GES'!$A$207:$BJ$216,MATCH(D$8,'Résultats détaillés GES'!$A$207:$BJ$207),FALSE)</f>
        <v>-4.1966375488138823</v>
      </c>
      <c r="E29" s="5"/>
      <c r="F29" s="5"/>
    </row>
    <row r="30" spans="1:6" ht="22.95" customHeight="1">
      <c r="A30" t="s">
        <v>188</v>
      </c>
      <c r="B30" s="193" t="str">
        <f>"% de baisse vs "&amp;TEXT($C$8,"#")</f>
        <v>% de baisse vs 2019</v>
      </c>
      <c r="C30" s="195"/>
      <c r="D30" s="205">
        <f>1-(D29/C29)</f>
        <v>-2.7229716197807603</v>
      </c>
      <c r="E30" s="5"/>
      <c r="F30" s="5"/>
    </row>
    <row r="31" spans="1:6" ht="36.6" customHeight="1">
      <c r="B31" s="198" t="str">
        <f>"Variation annuelle moyenne entre " &amp;TEXT($D$8,"#")&amp;" et "&amp;TEXT($C$8,"#")&amp;" "</f>
        <v xml:space="preserve">Variation annuelle moyenne entre 2030 et 2019 </v>
      </c>
      <c r="C31" s="196"/>
      <c r="D31" s="197">
        <f>IFERROR(((D29/C29)^(1/($D$8-$C$8))-1),NA())</f>
        <v>0.12693551554870686</v>
      </c>
      <c r="E31" s="5"/>
      <c r="F31" s="5"/>
    </row>
    <row r="32" spans="1:6">
      <c r="B32" s="192" t="s">
        <v>256</v>
      </c>
      <c r="C32" s="235"/>
      <c r="D32" s="203"/>
      <c r="E32" s="5"/>
      <c r="F32" s="5"/>
    </row>
    <row r="33" spans="1:6" ht="22.95" customHeight="1">
      <c r="B33" s="193" t="s">
        <v>343</v>
      </c>
      <c r="C33" s="195">
        <f>VLOOKUP("Autres terres",'Résultats détaillés GES'!$A$207:$BJ$216,MATCH(C$8,'Résultats détaillés GES'!$A$207:$BJ$207),FALSE)+VLOOKUP("Barrages",'Résultats détaillés GES'!$A$207:$BJ$216,MATCH(C$8,'Résultats détaillés GES'!$A$207:$BJ$207),FALSE)</f>
        <v>0.37653591680976661</v>
      </c>
      <c r="D33" s="195">
        <f>VLOOKUP("Autres terres",'Résultats détaillés GES'!$A$207:$BJ$216,MATCH(D$8,'Résultats détaillés GES'!$A$207:$BJ$207),FALSE)+VLOOKUP("Barrages",'Résultats détaillés GES'!$A$207:$BJ$216,MATCH(D$8,'Résultats détaillés GES'!$A$207:$BJ$207),FALSE)</f>
        <v>0.3468305772574744</v>
      </c>
      <c r="E33" s="5"/>
      <c r="F33" s="5"/>
    </row>
    <row r="34" spans="1:6" ht="22.95" customHeight="1">
      <c r="A34" t="s">
        <v>188</v>
      </c>
      <c r="B34" s="193" t="str">
        <f>"% de baisse vs "&amp;TEXT($C$8,"#")</f>
        <v>% de baisse vs 2019</v>
      </c>
      <c r="C34" s="195"/>
      <c r="D34" s="205">
        <f>1-(D33/C33)</f>
        <v>7.8891118286864348E-2</v>
      </c>
      <c r="E34" s="5"/>
      <c r="F34" s="5"/>
    </row>
    <row r="35" spans="1:6" ht="38.4" customHeight="1">
      <c r="B35" s="198" t="str">
        <f>"Variation annuelle moyenne entre " &amp;TEXT($D$8,"#")&amp;" et "&amp;TEXT($C$8,"#")&amp;" "</f>
        <v xml:space="preserve">Variation annuelle moyenne entre 2030 et 2019 </v>
      </c>
      <c r="C35" s="196"/>
      <c r="D35" s="197">
        <f>((D33/C33)^(1/($D$8-$C$8))-1)</f>
        <v>-7.4428030941917633E-3</v>
      </c>
      <c r="E35" s="5"/>
      <c r="F35" s="5"/>
    </row>
    <row r="40" spans="1:6">
      <c r="B40" s="28" t="s">
        <v>602</v>
      </c>
    </row>
    <row r="42" spans="1:6">
      <c r="B42" s="176" t="s">
        <v>189</v>
      </c>
      <c r="C42" s="486" t="s">
        <v>600</v>
      </c>
      <c r="D42" s="486"/>
      <c r="E42" s="486"/>
    </row>
    <row r="43" spans="1:6" ht="48.6" customHeight="1">
      <c r="B43" s="490" t="s">
        <v>169</v>
      </c>
      <c r="C43" s="487" t="s">
        <v>573</v>
      </c>
      <c r="D43" s="487"/>
      <c r="E43" s="487"/>
    </row>
    <row r="44" spans="1:6" ht="34.799999999999997" customHeight="1">
      <c r="B44" s="492"/>
      <c r="C44" s="487" t="s">
        <v>624</v>
      </c>
      <c r="D44" s="487"/>
      <c r="E44" s="487"/>
    </row>
    <row r="45" spans="1:6" ht="38.4" customHeight="1">
      <c r="B45" s="490" t="s">
        <v>170</v>
      </c>
      <c r="C45" s="451" t="s">
        <v>589</v>
      </c>
      <c r="D45" s="451"/>
      <c r="E45" s="451"/>
    </row>
    <row r="46" spans="1:6" ht="31.2" customHeight="1">
      <c r="B46" s="491"/>
      <c r="C46" s="446" t="s">
        <v>642</v>
      </c>
      <c r="D46" s="447"/>
      <c r="E46" s="448"/>
    </row>
    <row r="47" spans="1:6" ht="33.6" customHeight="1">
      <c r="B47" s="491"/>
      <c r="C47" s="446" t="s">
        <v>640</v>
      </c>
      <c r="D47" s="447"/>
      <c r="E47" s="448"/>
    </row>
    <row r="48" spans="1:6" ht="36.6" customHeight="1">
      <c r="B48" s="492"/>
      <c r="C48" s="446" t="s">
        <v>641</v>
      </c>
      <c r="D48" s="447"/>
      <c r="E48" s="448"/>
    </row>
    <row r="49" spans="2:5" ht="49.8" customHeight="1">
      <c r="B49" s="490" t="s">
        <v>171</v>
      </c>
      <c r="C49" s="446" t="s">
        <v>566</v>
      </c>
      <c r="D49" s="447"/>
      <c r="E49" s="448"/>
    </row>
    <row r="50" spans="2:5" ht="42" customHeight="1">
      <c r="B50" s="492"/>
      <c r="C50" s="487" t="s">
        <v>567</v>
      </c>
      <c r="D50" s="487"/>
      <c r="E50" s="487"/>
    </row>
  </sheetData>
  <mergeCells count="13">
    <mergeCell ref="C50:E50"/>
    <mergeCell ref="C44:E44"/>
    <mergeCell ref="C48:E48"/>
    <mergeCell ref="B45:B48"/>
    <mergeCell ref="C46:E46"/>
    <mergeCell ref="C47:E47"/>
    <mergeCell ref="C49:E49"/>
    <mergeCell ref="B49:B50"/>
    <mergeCell ref="B6:E6"/>
    <mergeCell ref="C42:E42"/>
    <mergeCell ref="B43:B44"/>
    <mergeCell ref="C43:E43"/>
    <mergeCell ref="C45:E4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65A86-5324-4B95-87E7-3C1965357CC9}">
  <dimension ref="A3:F55"/>
  <sheetViews>
    <sheetView showGridLines="0" workbookViewId="0"/>
  </sheetViews>
  <sheetFormatPr baseColWidth="10" defaultColWidth="11.44140625" defaultRowHeight="14.4"/>
  <cols>
    <col min="2" max="2" width="40.44140625" customWidth="1"/>
    <col min="3" max="5" width="30.6640625" customWidth="1"/>
    <col min="6" max="6" width="21.6640625" customWidth="1"/>
    <col min="7" max="7" width="23.6640625" customWidth="1"/>
    <col min="10" max="10" width="51.6640625" customWidth="1"/>
  </cols>
  <sheetData>
    <row r="3" spans="2:6">
      <c r="B3" s="41" t="s">
        <v>172</v>
      </c>
    </row>
    <row r="4" spans="2:6">
      <c r="E4" s="44"/>
    </row>
    <row r="5" spans="2:6">
      <c r="D5" s="27"/>
      <c r="E5" s="27"/>
    </row>
    <row r="6" spans="2:6">
      <c r="B6" s="457" t="s">
        <v>173</v>
      </c>
      <c r="C6" s="457"/>
      <c r="D6" s="457"/>
      <c r="E6" s="457"/>
    </row>
    <row r="7" spans="2:6">
      <c r="B7" s="303"/>
      <c r="C7" s="303"/>
      <c r="D7" s="3"/>
      <c r="E7" s="303"/>
    </row>
    <row r="8" spans="2:6" ht="52.2" customHeight="1">
      <c r="B8" s="214" t="s">
        <v>380</v>
      </c>
      <c r="C8" s="215">
        <f>'Choix années'!$C$4</f>
        <v>2019</v>
      </c>
      <c r="D8" s="215">
        <f>'Choix années'!$C$5</f>
        <v>2030</v>
      </c>
      <c r="E8" s="4"/>
      <c r="F8" s="4"/>
    </row>
    <row r="9" spans="2:6" ht="22.95" customHeight="1">
      <c r="B9" s="212" t="s">
        <v>343</v>
      </c>
      <c r="C9" s="319">
        <f>C13+C17+C21+C25+C29</f>
        <v>637.31747899999993</v>
      </c>
      <c r="D9" s="319">
        <f>D13+D17+D21+D25+D29</f>
        <v>463.63039533981856</v>
      </c>
      <c r="E9" s="5"/>
      <c r="F9" s="5"/>
    </row>
    <row r="10" spans="2:6" ht="30" customHeight="1">
      <c r="B10" s="212" t="str">
        <f>"% de baisse vs "&amp;TEXT($C$8,"#")</f>
        <v>% de baisse vs 2019</v>
      </c>
      <c r="C10" s="212"/>
      <c r="D10" s="217">
        <f>1-(D9/C9)</f>
        <v>0.27252835420850174</v>
      </c>
    </row>
    <row r="11" spans="2:6" ht="30" customHeight="1">
      <c r="B11" s="186" t="str">
        <f>"Variation annuelle moyenne entre " &amp;TEXT($D$8,"#")&amp;" et "&amp;TEXT($C$8,"#")&amp;" "</f>
        <v xml:space="preserve">Variation annuelle moyenne entre 2030 et 2019 </v>
      </c>
      <c r="C11" s="212"/>
      <c r="D11" s="217">
        <f>((D9/C9)^(1/($D$8-$C$8))-1)</f>
        <v>-2.8511140722063288E-2</v>
      </c>
    </row>
    <row r="12" spans="2:6">
      <c r="B12" s="192" t="s">
        <v>358</v>
      </c>
      <c r="C12" s="193"/>
      <c r="D12" s="194"/>
    </row>
    <row r="13" spans="2:6" ht="47.4" customHeight="1">
      <c r="B13" s="193" t="s">
        <v>343</v>
      </c>
      <c r="C13" s="195">
        <f>IF('Choix années'!C9="1,5 °C",VLOOKUP($B$12,'Résultats détaillés GES'!$A$232:$BJ$238,MATCH(C$8,'Résultats détaillés GES'!$A$232:$BJ$232),FALSE),0)+IF('Choix années'!C9="2 °C",VLOOKUP($B$12,'Résultats détaillés GES'!$A$240:$BJ$246,MATCH(C$8,'Résultats détaillés GES'!$A$240:$BJ$240),FALSE),0)+IF('Choix années'!C9="3 °C",VLOOKUP($B$12,'Résultats détaillés GES'!$A$248:$BJ$254,MATCH(C$8,'Résultats détaillés GES'!$A$248:$BJ$248),FALSE),0)</f>
        <v>159.84575599999999</v>
      </c>
      <c r="D13" s="195">
        <f>IF('Choix années'!C9="1,5 °C",VLOOKUP($B$12,'Résultats détaillés GES'!$A$232:$BJ$238,MATCH(D$8,'Résultats détaillés GES'!$A$232:$BJ$232),FALSE),0)+IF('Choix années'!C9="2 °C",VLOOKUP($B$12,'Résultats détaillés GES'!$A$240:$BJ$246,MATCH(D$8,'Résultats détaillés GES'!$A$240:$BJ$240),FALSE),0)+IF('Choix années'!C9="3 °C",VLOOKUP($B$12,'Résultats détaillés GES'!$A$248:$BJ$254,MATCH(D$8,'Résultats détaillés GES'!$A$248:$BJ$248),FALSE),0)</f>
        <v>120.34859157476069</v>
      </c>
      <c r="E13" s="5"/>
      <c r="F13" s="5"/>
    </row>
    <row r="14" spans="2:6" ht="35.700000000000003" customHeight="1">
      <c r="B14" s="193" t="str">
        <f>"% de baisse vs "&amp;TEXT($C$8,"#")</f>
        <v>% de baisse vs 2019</v>
      </c>
      <c r="C14" s="195"/>
      <c r="D14" s="197">
        <f>1-(D13/C13)</f>
        <v>0.24709548388159464</v>
      </c>
      <c r="E14" s="5"/>
      <c r="F14" s="5"/>
    </row>
    <row r="15" spans="2:6" ht="35.700000000000003" customHeight="1">
      <c r="B15" s="198" t="str">
        <f>"Variation annuelle moyenne entre " &amp;TEXT($D$8,"#")&amp;" et "&amp;TEXT($C$8,"#")&amp;" "</f>
        <v xml:space="preserve">Variation annuelle moyenne entre 2030 et 2019 </v>
      </c>
      <c r="C15" s="196"/>
      <c r="D15" s="197">
        <f>((D13/C13)^(1/($D$8-$C$8))-1)</f>
        <v>-2.5471517913609465E-2</v>
      </c>
      <c r="E15" s="5"/>
      <c r="F15" s="5"/>
    </row>
    <row r="16" spans="2:6" ht="35.700000000000003" customHeight="1">
      <c r="B16" s="192" t="s">
        <v>359</v>
      </c>
      <c r="C16" s="232"/>
      <c r="D16" s="194"/>
      <c r="E16" s="5"/>
      <c r="F16" s="5"/>
    </row>
    <row r="17" spans="1:6" ht="39" customHeight="1">
      <c r="B17" s="193" t="s">
        <v>343</v>
      </c>
      <c r="C17" s="195">
        <f>IF('Choix années'!C9="1,5 °C",VLOOKUP($B$16,'Résultats détaillés GES'!$A$232:$BJ$238,MATCH(C$8,'Résultats détaillés GES'!$A$232:$BJ$232),FALSE),0)+IF('Choix années'!C9="2 °C",VLOOKUP($B$16,'Résultats détaillés GES'!$A$240:$BJ$246,MATCH(C$8,'Résultats détaillés GES'!$A$240:$BJ$240),FALSE),0)+IF('Choix années'!C9="3 °C",VLOOKUP($B$16,'Résultats détaillés GES'!$A$248:$BJ$254,MATCH(C$8,'Résultats détaillés GES'!$A$248:$BJ$248),FALSE),0)</f>
        <v>137.742423</v>
      </c>
      <c r="D17" s="195">
        <f>IF('Choix années'!C9="1,5 °C",VLOOKUP($B$16,'Résultats détaillés GES'!$A$232:$BJ$238,MATCH(D$8,'Résultats détaillés GES'!$A$232:$BJ$232),FALSE),0)+IF('Choix années'!C9="2 °C",VLOOKUP($B$16,'Résultats détaillés GES'!$A$240:$BJ$246,MATCH(D$8,'Résultats détaillés GES'!$A$240:$BJ$240),FALSE),0)+IF('Choix années'!C9="3 °C",VLOOKUP($B$16,'Résultats détaillés GES'!$A$248:$BJ$254,MATCH(D$8,'Résultats détaillés GES'!$A$248:$BJ$248),FALSE),0)</f>
        <v>81.568352342826046</v>
      </c>
      <c r="E17" s="5"/>
      <c r="F17" s="5"/>
    </row>
    <row r="18" spans="1:6" ht="25.5" customHeight="1">
      <c r="B18" s="193" t="str">
        <f>"% de baisse vs "&amp;TEXT($C$8,"#")</f>
        <v>% de baisse vs 2019</v>
      </c>
      <c r="C18" s="233"/>
      <c r="D18" s="200">
        <f>1-(D17/C17)</f>
        <v>0.40781967845283185</v>
      </c>
      <c r="E18" s="5"/>
      <c r="F18" s="5"/>
    </row>
    <row r="19" spans="1:6" ht="33.6" customHeight="1">
      <c r="B19" s="198" t="str">
        <f>"Variation annuelle moyenne entre " &amp;TEXT($D$8,"#")&amp;" et "&amp;TEXT($C$8,"#")&amp;" "</f>
        <v xml:space="preserve">Variation annuelle moyenne entre 2030 et 2019 </v>
      </c>
      <c r="C19" s="196"/>
      <c r="D19" s="197">
        <f>((D17/C17)^(1/($D$8-$C$8))-1)</f>
        <v>-4.6514709783459285E-2</v>
      </c>
      <c r="E19" s="5"/>
      <c r="F19" s="5"/>
    </row>
    <row r="20" spans="1:6" ht="35.700000000000003" customHeight="1">
      <c r="B20" s="218" t="s">
        <v>360</v>
      </c>
      <c r="C20" s="232"/>
      <c r="D20" s="193"/>
      <c r="E20" s="5"/>
      <c r="F20" s="5"/>
    </row>
    <row r="21" spans="1:6" ht="47.4" customHeight="1">
      <c r="B21" s="193" t="s">
        <v>343</v>
      </c>
      <c r="C21" s="195">
        <f>IF('Choix années'!C9="1,5 °C",VLOOKUP($B$20,'Résultats détaillés GES'!$A$232:$BJ$238,MATCH(C$8,'Résultats détaillés GES'!$A$232:$BJ$232),FALSE),0)+IF('Choix années'!C9="2 °C",VLOOKUP($B$20,'Résultats détaillés GES'!$A$240:$BJ$246,MATCH(C$8,'Résultats détaillés GES'!$A$240:$BJ$240),FALSE),0)+IF('Choix années'!C9="3 °C",VLOOKUP($B$20,'Résultats détaillés GES'!$A$248:$BJ$254,MATCH(C$8,'Résultats détaillés GES'!$A$248:$BJ$248),FALSE),0)</f>
        <v>142.392055</v>
      </c>
      <c r="D21" s="195">
        <f>IF('Choix années'!C9="1,5 °C",VLOOKUP($B$20,'Résultats détaillés GES'!$A$232:$BJ$238,MATCH(D$8,'Résultats détaillés GES'!$A$232:$BJ$232),FALSE),0)+IF('Choix années'!C9="2 °C",VLOOKUP($B$20,'Résultats détaillés GES'!$A$240:$BJ$246,MATCH(D$8,'Résultats détaillés GES'!$A$240:$BJ$240),FALSE),0)+IF('Choix années'!C9="3 °C",VLOOKUP($B$20,'Résultats détaillés GES'!$A$248:$BJ$254,MATCH(D$8,'Résultats détaillés GES'!$A$248:$BJ$248),FALSE),0)</f>
        <v>116.56174793465917</v>
      </c>
      <c r="E21" s="5"/>
      <c r="F21" s="5"/>
    </row>
    <row r="22" spans="1:6" ht="33" customHeight="1">
      <c r="A22" t="s">
        <v>188</v>
      </c>
      <c r="B22" s="193" t="str">
        <f>"% de baisse vs "&amp;TEXT($C$8,"#")</f>
        <v>% de baisse vs 2019</v>
      </c>
      <c r="C22" s="234"/>
      <c r="D22" s="201">
        <f>1-(D21/C21)</f>
        <v>0.1814027268961097</v>
      </c>
      <c r="E22" s="5"/>
      <c r="F22" s="5"/>
    </row>
    <row r="23" spans="1:6" ht="33" customHeight="1">
      <c r="B23" s="198" t="str">
        <f>"Variation annuelle moyenne entre " &amp;TEXT($D$8,"#")&amp;" et "&amp;TEXT($C$8,"#")&amp;" "</f>
        <v xml:space="preserve">Variation annuelle moyenne entre 2030 et 2019 </v>
      </c>
      <c r="C23" s="196"/>
      <c r="D23" s="197">
        <f>((D21/C21)^(1/($D$8-$C$8))-1)</f>
        <v>-1.803208134412293E-2</v>
      </c>
      <c r="E23" s="5"/>
      <c r="F23" s="5"/>
    </row>
    <row r="24" spans="1:6" ht="26.4" customHeight="1">
      <c r="B24" s="192" t="s">
        <v>361</v>
      </c>
      <c r="C24" s="232"/>
      <c r="D24" s="193"/>
      <c r="E24" s="5"/>
      <c r="F24" s="5"/>
    </row>
    <row r="25" spans="1:6" ht="22.95" customHeight="1">
      <c r="B25" s="193" t="s">
        <v>343</v>
      </c>
      <c r="C25" s="195">
        <f>IF('Choix années'!C9="1,5 °C",VLOOKUP($B$24,'Résultats détaillés GES'!$A$232:$BJ$238,MATCH(C$8,'Résultats détaillés GES'!$A$232:$BJ$232),FALSE),0)+IF('Choix années'!C9="2 °C",VLOOKUP($B$24,'Résultats détaillés GES'!$A$240:$BJ$246,MATCH(C$8,'Résultats détaillés GES'!$A$240:$BJ$240),FALSE),0)+IF('Choix années'!C9="3 °C",VLOOKUP($B$24,'Résultats détaillés GES'!$A$248:$BJ$254,MATCH(C$8,'Résultats détaillés GES'!$A$248:$BJ$248),FALSE),0)</f>
        <v>70.928927000000002</v>
      </c>
      <c r="D25" s="195">
        <f>IF('Choix années'!C9="1,5 °C",VLOOKUP($B$24,'Résultats détaillés GES'!$A$232:$BJ$238,MATCH(D$8,'Résultats détaillés GES'!$A$232:$BJ$232),FALSE),0)+IF('Choix années'!C9="2 °C",VLOOKUP($B$24,'Résultats détaillés GES'!$A$240:$BJ$246,MATCH(D$8,'Résultats détaillés GES'!$A$240:$BJ$240),FALSE),0)+IF('Choix années'!C9="3 °C",VLOOKUP($B$24,'Résultats détaillés GES'!$A$248:$BJ$254,MATCH(D$8,'Résultats détaillés GES'!$A$248:$BJ$248),FALSE),0)</f>
        <v>52.4373321408018</v>
      </c>
      <c r="E25" s="5"/>
      <c r="F25" s="5"/>
    </row>
    <row r="26" spans="1:6" ht="22.95" customHeight="1">
      <c r="A26" t="s">
        <v>188</v>
      </c>
      <c r="B26" s="193" t="str">
        <f>"% de baisse vs "&amp;TEXT($C$8,"#")</f>
        <v>% de baisse vs 2019</v>
      </c>
      <c r="C26" s="234"/>
      <c r="D26" s="201">
        <f>1-(D25/C25)</f>
        <v>0.26070597203871704</v>
      </c>
      <c r="E26" s="5"/>
      <c r="F26" s="5"/>
    </row>
    <row r="27" spans="1:6" ht="32.4" customHeight="1">
      <c r="B27" s="198" t="str">
        <f>"Variation annuelle moyenne entre " &amp;TEXT($D$8,"#")&amp;" et "&amp;TEXT($C$8,"#")&amp;" "</f>
        <v xml:space="preserve">Variation annuelle moyenne entre 2030 et 2019 </v>
      </c>
      <c r="C27" s="196"/>
      <c r="D27" s="197">
        <f>((D25/C25)^(1/($D$8-$C$8))-1)</f>
        <v>-2.7086363154935844E-2</v>
      </c>
      <c r="E27" s="5"/>
      <c r="F27" s="5"/>
    </row>
    <row r="28" spans="1:6">
      <c r="B28" s="192" t="s">
        <v>379</v>
      </c>
      <c r="C28" s="235"/>
      <c r="D28" s="203"/>
      <c r="E28" s="5"/>
      <c r="F28" s="5"/>
    </row>
    <row r="29" spans="1:6" ht="22.95" customHeight="1">
      <c r="B29" s="193" t="s">
        <v>343</v>
      </c>
      <c r="C29" s="195">
        <f>IF('Choix années'!C9="1,5 °C",VLOOKUP($B$28,'Résultats détaillés GES'!$A$232:$BJ$238,MATCH(C$8,'Résultats détaillés GES'!$A$232:$BJ$232),FALSE),0)+IF('Choix années'!C9="2 °C",VLOOKUP($B$28,'Résultats détaillés GES'!$A$240:$BJ$246,MATCH(C$8,'Résultats détaillés GES'!$A$240:$BJ$240),FALSE),0)+IF('Choix années'!C9="3 °C",VLOOKUP($B$28,'Résultats détaillés GES'!$A$248:$BJ$254,MATCH(C$8,'Résultats détaillés GES'!$A$248:$BJ$248),FALSE),0)</f>
        <v>126.40831799999999</v>
      </c>
      <c r="D29" s="195">
        <f>IF('Choix années'!C9="1,5 °C",VLOOKUP($B$28,'Résultats détaillés GES'!$A$232:$BJ$238,MATCH(D$8,'Résultats détaillés GES'!$A$232:$BJ$232),FALSE),0)+IF('Choix années'!C9="2 °C",VLOOKUP($B$28,'Résultats détaillés GES'!$A$240:$BJ$246,MATCH(D$8,'Résultats détaillés GES'!$A$240:$BJ$240),FALSE),0)+IF('Choix années'!C9="3 °C",VLOOKUP($B$28,'Résultats détaillés GES'!$A$248:$BJ$254,MATCH(D$8,'Résultats détaillés GES'!$A$248:$BJ$248),FALSE),0)</f>
        <v>92.714371346770847</v>
      </c>
      <c r="E29" s="5"/>
      <c r="F29" s="5"/>
    </row>
    <row r="30" spans="1:6" ht="22.95" customHeight="1">
      <c r="A30" t="s">
        <v>188</v>
      </c>
      <c r="B30" s="193" t="str">
        <f>"% de baisse vs "&amp;TEXT($C$8,"#")</f>
        <v>% de baisse vs 2019</v>
      </c>
      <c r="C30" s="195"/>
      <c r="D30" s="205">
        <f>1-(D29/C29)</f>
        <v>0.26654849290241445</v>
      </c>
      <c r="E30" s="5"/>
      <c r="F30" s="5"/>
    </row>
    <row r="31" spans="1:6" ht="36.6" customHeight="1">
      <c r="B31" s="198" t="str">
        <f>"Variation annuelle moyenne entre " &amp;TEXT($D$8,"#")&amp;" et "&amp;TEXT($C$8,"#")&amp;" "</f>
        <v xml:space="preserve">Variation annuelle moyenne entre 2030 et 2019 </v>
      </c>
      <c r="C31" s="196"/>
      <c r="D31" s="197">
        <f>((D29/C29)^(1/($D$8-$C$8))-1)</f>
        <v>-2.7787866617786094E-2</v>
      </c>
      <c r="E31" s="5"/>
      <c r="F31" s="5"/>
    </row>
    <row r="32" spans="1:6" ht="41.4" customHeight="1">
      <c r="B32" s="214" t="s">
        <v>381</v>
      </c>
      <c r="C32" s="215">
        <f>'Choix années'!$C$4</f>
        <v>2019</v>
      </c>
      <c r="D32" s="215">
        <f>'Choix années'!$C$5</f>
        <v>2030</v>
      </c>
    </row>
    <row r="33" spans="2:4" ht="22.2" customHeight="1">
      <c r="B33" s="212" t="s">
        <v>343</v>
      </c>
      <c r="C33" s="216">
        <f>C37+C41+C45+C49+C53</f>
        <v>306.756708</v>
      </c>
      <c r="D33" s="216">
        <f>D37+D41+D45+D49+D53</f>
        <v>249.63489997055001</v>
      </c>
    </row>
    <row r="34" spans="2:4" ht="25.8" customHeight="1">
      <c r="B34" s="212" t="str">
        <f>"% de baisse vs "&amp;TEXT($C$8,"#")</f>
        <v>% de baisse vs 2019</v>
      </c>
      <c r="C34" s="212"/>
      <c r="D34" s="217">
        <f>1-(D33/C33)</f>
        <v>0.18621209101464864</v>
      </c>
    </row>
    <row r="35" spans="2:4" ht="30.6" customHeight="1">
      <c r="B35" s="186" t="str">
        <f>"Variation annuelle moyenne entre " &amp;TEXT($D$8,"#")&amp;" et "&amp;TEXT($C$8,"#")&amp;" "</f>
        <v xml:space="preserve">Variation annuelle moyenne entre 2030 et 2019 </v>
      </c>
      <c r="C35" s="212"/>
      <c r="D35" s="217">
        <f>((D33/C33)^(1/($D$8-$C$8))-1)</f>
        <v>-1.8557958815293207E-2</v>
      </c>
    </row>
    <row r="36" spans="2:4">
      <c r="B36" s="192" t="s">
        <v>358</v>
      </c>
      <c r="C36" s="193"/>
      <c r="D36" s="194"/>
    </row>
    <row r="37" spans="2:4" ht="25.2" customHeight="1">
      <c r="B37" s="193" t="s">
        <v>343</v>
      </c>
      <c r="C37" s="195">
        <f>IF('Choix années'!C9="1,5 °C",VLOOKUP($B$36,'Résultats détaillés GES'!$A$258:$BJ$264,MATCH(C$8,'Résultats détaillés GES'!$A$258:$BJ$258),FALSE),0)+IF('Choix années'!C9="2 °C",VLOOKUP($B$36,'Résultats détaillés GES'!$A$266:$BJ$272,MATCH(C$8,'Résultats détaillés GES'!$A$266:$BJ$266),FALSE),0)+IF('Choix années'!C9="3 °C",VLOOKUP($B$36,'Résultats détaillés GES'!$A$274:$BJ$280,MATCH(C$8,'Résultats détaillés GES'!$A$274:$BJ$274),FALSE),0)</f>
        <v>62.733806999999999</v>
      </c>
      <c r="D37" s="195">
        <f>IF('Choix années'!C9="1,5 °C",VLOOKUP($B$36,'Résultats détaillés GES'!$A$258:$BJ$264,MATCH(D$8,'Résultats détaillés GES'!$A$258:$BJ$258),FALSE),0)+IF('Choix années'!C9="2 °C",VLOOKUP($B$36,'Résultats détaillés GES'!$A$266:$BJ$272,MATCH(D$8,'Résultats détaillés GES'!$A$266:$BJ$266),FALSE),0)+IF('Choix années'!C9="3 °C",VLOOKUP($B$36,'Résultats détaillés GES'!$A$274:$BJ$280,MATCH(D$8,'Résultats détaillés GES'!$A$274:$BJ$274),FALSE),0)</f>
        <v>51.971385719541139</v>
      </c>
    </row>
    <row r="38" spans="2:4">
      <c r="B38" s="193" t="str">
        <f>"% de baisse vs "&amp;TEXT($C$8,"#")</f>
        <v>% de baisse vs 2019</v>
      </c>
      <c r="C38" s="195"/>
      <c r="D38" s="197">
        <f>1-(D37/C37)</f>
        <v>0.17155696099327844</v>
      </c>
    </row>
    <row r="39" spans="2:4" ht="27" customHeight="1">
      <c r="B39" s="198" t="str">
        <f>"Variation annuelle moyenne entre " &amp;TEXT($D$8,"#")&amp;" et "&amp;TEXT($C$8,"#")&amp;" "</f>
        <v xml:space="preserve">Variation annuelle moyenne entre 2030 et 2019 </v>
      </c>
      <c r="C39" s="196"/>
      <c r="D39" s="197">
        <f>((D37/C37)^(1/($D$8-$C$8))-1)</f>
        <v>-1.6964204676503836E-2</v>
      </c>
    </row>
    <row r="40" spans="2:4">
      <c r="B40" s="192" t="s">
        <v>359</v>
      </c>
      <c r="C40" s="232"/>
      <c r="D40" s="194"/>
    </row>
    <row r="41" spans="2:4">
      <c r="B41" s="193" t="s">
        <v>343</v>
      </c>
      <c r="C41" s="195">
        <f>IF('Choix années'!C9="1,5 °C",VLOOKUP($B$40,'Résultats détaillés GES'!$A$258:$BJ$264,MATCH(C$8,'Résultats détaillés GES'!$A$258:$BJ$258),FALSE),0)+IF('Choix années'!C9="2 °C",VLOOKUP($B$40,'Résultats détaillés GES'!$A$266:$BJ$272,MATCH(C$8,'Résultats détaillés GES'!$A$266:$BJ$266),FALSE),0)+IF('Choix années'!C9="3 °C",VLOOKUP($B$40,'Résultats détaillés GES'!$A$274:$BJ$280,MATCH(C$8,'Résultats détaillés GES'!$A$274:$BJ$274),FALSE),0)</f>
        <v>54.603900999999993</v>
      </c>
      <c r="D41" s="195">
        <f>IF('Choix années'!C9="1,5 °C",VLOOKUP($B$40,'Résultats détaillés GES'!$A$258:$BJ$264,MATCH(D$8,'Résultats détaillés GES'!$A$258:$BJ$258),FALSE),0)+IF('Choix années'!C9="2 °C",VLOOKUP($B$40,'Résultats détaillés GES'!$A$266:$BJ$272,MATCH(D$8,'Résultats détaillés GES'!$A$266:$BJ$266),FALSE),0)+IF('Choix années'!C9="3 °C",VLOOKUP($B$40,'Résultats détaillés GES'!$A$274:$BJ$280,MATCH(D$8,'Résultats détaillés GES'!$A$274:$BJ$274),FALSE),0)</f>
        <v>36.559127095543218</v>
      </c>
    </row>
    <row r="42" spans="2:4">
      <c r="B42" s="193" t="str">
        <f>"% de baisse vs "&amp;TEXT($C$8,"#")</f>
        <v>% de baisse vs 2019</v>
      </c>
      <c r="C42" s="233"/>
      <c r="D42" s="200">
        <f>1-(D41/C41)</f>
        <v>0.33046675372986223</v>
      </c>
    </row>
    <row r="43" spans="2:4">
      <c r="B43" s="198" t="str">
        <f>"Variation annuelle moyenne entre " &amp;TEXT($D$8,"#")&amp;" et "&amp;TEXT($C$8,"#")&amp;" "</f>
        <v xml:space="preserve">Variation annuelle moyenne entre 2030 et 2019 </v>
      </c>
      <c r="C43" s="196"/>
      <c r="D43" s="197">
        <f>((D41/C41)^(1/($D$8-$C$8))-1)</f>
        <v>-3.5813371573994446E-2</v>
      </c>
    </row>
    <row r="44" spans="2:4">
      <c r="B44" s="218" t="s">
        <v>360</v>
      </c>
      <c r="C44" s="232"/>
      <c r="D44" s="193"/>
    </row>
    <row r="45" spans="2:4">
      <c r="B45" s="193" t="s">
        <v>343</v>
      </c>
      <c r="C45" s="195">
        <f>IF('Choix années'!C9="1,5 °C",VLOOKUP($B$44,'Résultats détaillés GES'!$A$258:$BJ$264,MATCH(C$8,'Résultats détaillés GES'!$A$258:$BJ$258),FALSE),0)+IF('Choix années'!C9="2 °C",VLOOKUP($B$44,'Résultats détaillés GES'!$A$266:$BJ$272,MATCH(C$8,'Résultats détaillés GES'!$A$266:$BJ$266),FALSE),0)+IF('Choix années'!C9="3 °C",VLOOKUP($B$44,'Résultats détaillés GES'!$A$274:$BJ$280,MATCH(C$8,'Résultats détaillés GES'!$A$274:$BJ$274),FALSE),0)</f>
        <v>61.897629000000002</v>
      </c>
      <c r="D45" s="195">
        <f>IF('Choix années'!C9="1,5 °C",VLOOKUP($B$44,'Résultats détaillés GES'!$A$258:$BJ$264,MATCH(D$8,'Résultats détaillés GES'!$A$258:$BJ$258),FALSE),0)+IF('Choix années'!C9="2 °C",VLOOKUP($B$44,'Résultats détaillés GES'!$A$266:$BJ$272,MATCH(D$8,'Résultats détaillés GES'!$A$266:$BJ$266),FALSE),0)+IF('Choix années'!C9="3 °C",VLOOKUP($B$44,'Résultats détaillés GES'!$A$274:$BJ$280,MATCH(D$8,'Résultats détaillés GES'!$A$274:$BJ$274),FALSE),0)</f>
        <v>52.846355502429816</v>
      </c>
    </row>
    <row r="46" spans="2:4">
      <c r="B46" s="193" t="str">
        <f>"% de baisse vs "&amp;TEXT($C$8,"#")</f>
        <v>% de baisse vs 2019</v>
      </c>
      <c r="C46" s="234"/>
      <c r="D46" s="201">
        <f>1-(D45/C45)</f>
        <v>0.14622972872789985</v>
      </c>
    </row>
    <row r="47" spans="2:4">
      <c r="B47" s="198" t="str">
        <f>"Variation annuelle moyenne entre " &amp;TEXT($D$8,"#")&amp;" et "&amp;TEXT($C$8,"#")&amp;" "</f>
        <v xml:space="preserve">Variation annuelle moyenne entre 2030 et 2019 </v>
      </c>
      <c r="C47" s="196"/>
      <c r="D47" s="197">
        <f>((D45/C45)^(1/($D$8-$C$8))-1)</f>
        <v>-1.4269316577348645E-2</v>
      </c>
    </row>
    <row r="48" spans="2:4">
      <c r="B48" s="192" t="s">
        <v>361</v>
      </c>
      <c r="C48" s="232"/>
      <c r="D48" s="193"/>
    </row>
    <row r="49" spans="2:4">
      <c r="B49" s="193" t="s">
        <v>343</v>
      </c>
      <c r="C49" s="195">
        <f>IF('Choix années'!C9="1,5 °C",VLOOKUP($B$48,'Résultats détaillés GES'!$A$258:$BJ$264,MATCH(C$8,'Résultats détaillés GES'!$A$258:$BJ$258),FALSE),0)+IF('Choix années'!C9="2 °C",VLOOKUP($B$48,'Résultats détaillés GES'!$A$266:$BJ$272,MATCH(C$8,'Résultats détaillés GES'!$A$266:$BJ$266),FALSE),0)+IF('Choix années'!C9="3 °C",VLOOKUP($B$48,'Résultats détaillés GES'!$A$274:$BJ$280,MATCH(C$8,'Résultats détaillés GES'!$A$274:$BJ$274),FALSE),0)</f>
        <v>55.817444000000009</v>
      </c>
      <c r="D49" s="195">
        <f>IF('Choix années'!C9="1,5 °C",VLOOKUP($B$48,'Résultats détaillés GES'!$A$258:$BJ$264,MATCH(D$8,'Résultats détaillés GES'!$A$258:$BJ$258),FALSE),0)+IF('Choix années'!C9="2 °C",VLOOKUP($B$48,'Résultats détaillés GES'!$A$266:$BJ$272,MATCH(D$8,'Résultats détaillés GES'!$A$266:$BJ$266),FALSE),0)+IF('Choix années'!C9="3 °C",VLOOKUP($B$48,'Résultats détaillés GES'!$A$274:$BJ$280,MATCH(D$8,'Résultats détaillés GES'!$A$274:$BJ$274),FALSE),0)</f>
        <v>43.900202413442742</v>
      </c>
    </row>
    <row r="50" spans="2:4">
      <c r="B50" s="193" t="str">
        <f>"% de baisse vs "&amp;TEXT($C$8,"#")</f>
        <v>% de baisse vs 2019</v>
      </c>
      <c r="C50" s="234"/>
      <c r="D50" s="201">
        <f>1-(D49/C49)</f>
        <v>0.21350389291486127</v>
      </c>
    </row>
    <row r="51" spans="2:4">
      <c r="B51" s="198" t="str">
        <f>"Variation annuelle moyenne entre " &amp;TEXT($D$8,"#")&amp;" et "&amp;TEXT($C$8,"#")&amp;" "</f>
        <v xml:space="preserve">Variation annuelle moyenne entre 2030 et 2019 </v>
      </c>
      <c r="C51" s="196"/>
      <c r="D51" s="197">
        <f>((D49/C49)^(1/($D$8-$C$8))-1)</f>
        <v>-2.1596785992025636E-2</v>
      </c>
    </row>
    <row r="52" spans="2:4">
      <c r="B52" s="192" t="s">
        <v>379</v>
      </c>
      <c r="C52" s="235"/>
      <c r="D52" s="203"/>
    </row>
    <row r="53" spans="2:4">
      <c r="B53" s="193" t="s">
        <v>343</v>
      </c>
      <c r="C53" s="195">
        <f>IF('Choix années'!C9="1,5 °C",VLOOKUP($B$52,'Résultats détaillés GES'!$A$258:$BJ$264,MATCH(C$8,'Résultats détaillés GES'!$A$258:$BJ$258),FALSE),0)+IF('Choix années'!C9="2 °C",VLOOKUP($B$52,'Résultats détaillés GES'!$A$266:$BJ$272,MATCH(C$8,'Résultats détaillés GES'!$A$266:$BJ$266),FALSE),0)+IF('Choix années'!C9="3 °C",VLOOKUP($B$52,'Résultats détaillés GES'!$A$274:$BJ$280,MATCH(C$8,'Résultats détaillés GES'!$A$274:$BJ$274),FALSE),0)</f>
        <v>71.703926999999993</v>
      </c>
      <c r="D53" s="195">
        <f>IF('Choix années'!C9="1,5 °C",VLOOKUP($B$52,'Résultats détaillés GES'!$A$258:$BJ$264,MATCH(D$8,'Résultats détaillés GES'!$A$258:$BJ$258),FALSE),0)+IF('Choix années'!C9="2 °C",VLOOKUP($B$52,'Résultats détaillés GES'!$A$266:$BJ$272,MATCH(D$8,'Résultats détaillés GES'!$A$266:$BJ$266),FALSE),0)+IF('Choix années'!C9="3 °C",VLOOKUP($B$52,'Résultats détaillés GES'!$A$274:$BJ$280,MATCH(D$8,'Résultats détaillés GES'!$A$274:$BJ$274),FALSE),0)</f>
        <v>64.357829239593073</v>
      </c>
    </row>
    <row r="54" spans="2:4">
      <c r="B54" s="193" t="str">
        <f>"% de baisse vs "&amp;TEXT($C$8,"#")</f>
        <v>% de baisse vs 2019</v>
      </c>
      <c r="C54" s="195"/>
      <c r="D54" s="205">
        <f>1-(D53/C53)</f>
        <v>0.10245042451310815</v>
      </c>
    </row>
    <row r="55" spans="2:4">
      <c r="B55" s="198" t="str">
        <f>"Variation annuelle moyenne entre " &amp;TEXT($D$8,"#")&amp;" et "&amp;TEXT($C$8,"#")&amp;" "</f>
        <v xml:space="preserve">Variation annuelle moyenne entre 2030 et 2019 </v>
      </c>
      <c r="C55" s="196"/>
      <c r="D55" s="197">
        <f>((D53/C53)^(1/($D$8-$C$8))-1)</f>
        <v>-9.7779656652001723E-3</v>
      </c>
    </row>
  </sheetData>
  <mergeCells count="1">
    <mergeCell ref="B6:E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K282"/>
  <sheetViews>
    <sheetView zoomScale="90" zoomScaleNormal="90" workbookViewId="0"/>
  </sheetViews>
  <sheetFormatPr baseColWidth="10" defaultColWidth="11.44140625" defaultRowHeight="14.4" outlineLevelCol="1"/>
  <cols>
    <col min="1" max="1" width="56.44140625" customWidth="1"/>
    <col min="3" max="6" width="11.44140625" hidden="1" customWidth="1" outlineLevel="1"/>
    <col min="7" max="7" width="11.5546875" collapsed="1"/>
    <col min="8" max="11" width="0" hidden="1" customWidth="1" outlineLevel="1"/>
    <col min="12" max="12" width="11.5546875" collapsed="1"/>
    <col min="13" max="16" width="0" hidden="1" customWidth="1" outlineLevel="1"/>
    <col min="17" max="17" width="11.5546875" collapsed="1"/>
    <col min="18" max="21" width="0" hidden="1" customWidth="1" outlineLevel="1"/>
    <col min="22" max="22" width="11.5546875" collapsed="1"/>
    <col min="23" max="26" width="11.44140625" customWidth="1" outlineLevel="1"/>
    <col min="27" max="27" width="11.5546875"/>
    <col min="38" max="39" width="11.44140625" customWidth="1"/>
  </cols>
  <sheetData>
    <row r="1" spans="1:62" ht="25.8">
      <c r="A1" s="55" t="s">
        <v>258</v>
      </c>
      <c r="B1" s="56" t="s">
        <v>259</v>
      </c>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row>
    <row r="2" spans="1:62" ht="15">
      <c r="A2" s="498" t="s">
        <v>664</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58"/>
      <c r="AE2" s="58"/>
      <c r="AF2" s="58"/>
      <c r="AG2" s="58"/>
      <c r="AH2" s="58"/>
    </row>
    <row r="3" spans="1:62" ht="15">
      <c r="A3" s="59" t="s">
        <v>260</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row>
    <row r="4" spans="1:62" ht="22.2">
      <c r="A4" s="60"/>
      <c r="B4" s="61"/>
      <c r="C4" s="61"/>
      <c r="D4" s="61"/>
      <c r="E4" s="61"/>
      <c r="F4" s="61"/>
      <c r="G4" s="61"/>
      <c r="H4" s="61"/>
      <c r="I4" s="61"/>
      <c r="J4" s="61"/>
      <c r="K4" s="61"/>
      <c r="L4" s="61"/>
      <c r="M4" s="61"/>
      <c r="N4" s="61"/>
      <c r="O4" s="61"/>
      <c r="P4" s="61"/>
      <c r="Q4" s="61"/>
      <c r="R4" s="61"/>
      <c r="S4" s="61"/>
      <c r="T4" s="61"/>
      <c r="U4" s="61"/>
      <c r="V4" s="61"/>
      <c r="W4" s="61"/>
      <c r="X4" s="61"/>
      <c r="Y4" s="61"/>
      <c r="Z4" s="62"/>
      <c r="AA4" s="62"/>
      <c r="AB4" s="62"/>
      <c r="AC4" s="63"/>
      <c r="AD4" s="63"/>
      <c r="AE4" s="63"/>
      <c r="AF4" s="63"/>
      <c r="AG4" s="63"/>
      <c r="AH4" s="63"/>
    </row>
    <row r="5" spans="1:62" ht="18">
      <c r="A5" s="64" t="s">
        <v>261</v>
      </c>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496" t="s">
        <v>262</v>
      </c>
      <c r="AL5" s="496"/>
      <c r="AM5" s="496"/>
      <c r="AN5" s="496"/>
      <c r="AO5" s="496"/>
      <c r="AP5" s="496"/>
      <c r="AQ5" s="496"/>
      <c r="AR5" s="496"/>
      <c r="AS5" s="496"/>
      <c r="AT5" s="496"/>
      <c r="AU5" s="496"/>
      <c r="AV5" s="496"/>
      <c r="AW5" s="496"/>
      <c r="AX5" s="496"/>
      <c r="AY5" s="496"/>
      <c r="AZ5" s="496"/>
      <c r="BA5" s="496"/>
      <c r="BB5" s="496"/>
      <c r="BC5" s="496"/>
      <c r="BD5" s="496"/>
      <c r="BE5" s="496"/>
      <c r="BF5" s="496"/>
      <c r="BG5" s="496"/>
      <c r="BH5" s="496"/>
      <c r="BI5" s="496"/>
      <c r="BJ5" s="496"/>
    </row>
    <row r="6" spans="1:62" ht="26.4">
      <c r="A6" s="66" t="s">
        <v>263</v>
      </c>
      <c r="B6" s="67">
        <v>1990</v>
      </c>
      <c r="C6" s="67">
        <v>1991</v>
      </c>
      <c r="D6" s="67">
        <v>1992</v>
      </c>
      <c r="E6" s="67">
        <v>1993</v>
      </c>
      <c r="F6" s="67">
        <v>1994</v>
      </c>
      <c r="G6" s="67">
        <v>1995</v>
      </c>
      <c r="H6" s="67">
        <v>1996</v>
      </c>
      <c r="I6" s="67">
        <v>1997</v>
      </c>
      <c r="J6" s="67">
        <v>1998</v>
      </c>
      <c r="K6" s="67">
        <v>1999</v>
      </c>
      <c r="L6" s="67">
        <v>2000</v>
      </c>
      <c r="M6" s="67">
        <v>2001</v>
      </c>
      <c r="N6" s="67">
        <v>2002</v>
      </c>
      <c r="O6" s="67">
        <v>2003</v>
      </c>
      <c r="P6" s="67">
        <v>2004</v>
      </c>
      <c r="Q6" s="67">
        <v>2005</v>
      </c>
      <c r="R6" s="67">
        <v>2006</v>
      </c>
      <c r="S6" s="67">
        <v>2007</v>
      </c>
      <c r="T6" s="67">
        <v>2008</v>
      </c>
      <c r="U6" s="67">
        <v>2009</v>
      </c>
      <c r="V6" s="67">
        <v>2010</v>
      </c>
      <c r="W6" s="67">
        <v>2011</v>
      </c>
      <c r="X6" s="67">
        <v>2012</v>
      </c>
      <c r="Y6" s="67">
        <v>2013</v>
      </c>
      <c r="Z6" s="67">
        <v>2014</v>
      </c>
      <c r="AA6" s="67">
        <v>2015</v>
      </c>
      <c r="AB6" s="67">
        <v>2016</v>
      </c>
      <c r="AC6" s="67">
        <v>2017</v>
      </c>
      <c r="AD6" s="67">
        <v>2018</v>
      </c>
      <c r="AE6" s="67">
        <v>2019</v>
      </c>
      <c r="AF6" s="68">
        <v>2020</v>
      </c>
      <c r="AG6" s="68">
        <v>2021</v>
      </c>
      <c r="AH6" s="68">
        <v>2022</v>
      </c>
      <c r="AI6" s="67">
        <v>2023</v>
      </c>
      <c r="AJ6" s="67">
        <v>2024</v>
      </c>
      <c r="AK6" s="67">
        <v>2025</v>
      </c>
      <c r="AL6" s="67">
        <v>2026</v>
      </c>
      <c r="AM6" s="142">
        <v>2027</v>
      </c>
      <c r="AN6" s="67">
        <v>2028</v>
      </c>
      <c r="AO6" s="142">
        <v>2029</v>
      </c>
      <c r="AP6" s="67">
        <v>2030</v>
      </c>
      <c r="AQ6" s="142">
        <v>2031</v>
      </c>
      <c r="AR6" s="142">
        <v>2032</v>
      </c>
      <c r="AS6" s="67">
        <v>2033</v>
      </c>
      <c r="AT6" s="142">
        <v>2034</v>
      </c>
      <c r="AU6" s="67">
        <v>2035</v>
      </c>
      <c r="AV6" s="142">
        <v>2036</v>
      </c>
      <c r="AW6" s="142">
        <v>2037</v>
      </c>
      <c r="AX6" s="67">
        <v>2038</v>
      </c>
      <c r="AY6" s="142">
        <v>2039</v>
      </c>
      <c r="AZ6" s="67">
        <v>2040</v>
      </c>
      <c r="BA6" s="142">
        <v>2041</v>
      </c>
      <c r="BB6" s="142">
        <v>2042</v>
      </c>
      <c r="BC6" s="142">
        <v>2043</v>
      </c>
      <c r="BD6" s="142">
        <v>2044</v>
      </c>
      <c r="BE6" s="67">
        <v>2045</v>
      </c>
      <c r="BF6" s="142">
        <v>2046</v>
      </c>
      <c r="BG6" s="142">
        <v>2047</v>
      </c>
      <c r="BH6" s="142">
        <v>2048</v>
      </c>
      <c r="BI6" s="142">
        <v>2049</v>
      </c>
      <c r="BJ6" s="67">
        <v>2050</v>
      </c>
    </row>
    <row r="7" spans="1:62">
      <c r="A7" s="69" t="s">
        <v>264</v>
      </c>
      <c r="B7" s="70">
        <f t="shared" ref="B7:AJ7" si="0">B34</f>
        <v>78.861816593790067</v>
      </c>
      <c r="C7" s="70">
        <f t="shared" si="0"/>
        <v>80.099749436932697</v>
      </c>
      <c r="D7" s="70">
        <f t="shared" si="0"/>
        <v>81.367165513696477</v>
      </c>
      <c r="E7" s="70">
        <f t="shared" si="0"/>
        <v>69.074799734872869</v>
      </c>
      <c r="F7" s="70">
        <f t="shared" si="0"/>
        <v>65.981436198914452</v>
      </c>
      <c r="G7" s="70">
        <f t="shared" si="0"/>
        <v>68.509781899362494</v>
      </c>
      <c r="H7" s="70">
        <f t="shared" si="0"/>
        <v>72.089067567706323</v>
      </c>
      <c r="I7" s="70">
        <f t="shared" si="0"/>
        <v>67.713941857369363</v>
      </c>
      <c r="J7" s="70">
        <f t="shared" si="0"/>
        <v>80.07458272221281</v>
      </c>
      <c r="K7" s="70">
        <f t="shared" si="0"/>
        <v>73.104806707891413</v>
      </c>
      <c r="L7" s="70">
        <f t="shared" si="0"/>
        <v>71.72141296259629</v>
      </c>
      <c r="M7" s="70">
        <f t="shared" si="0"/>
        <v>64.839617780322101</v>
      </c>
      <c r="N7" s="70">
        <f t="shared" si="0"/>
        <v>67.335600982258384</v>
      </c>
      <c r="O7" s="70">
        <f t="shared" si="0"/>
        <v>70.725850814970357</v>
      </c>
      <c r="P7" s="70">
        <f t="shared" si="0"/>
        <v>69.26021962230493</v>
      </c>
      <c r="Q7" s="70">
        <f t="shared" si="0"/>
        <v>74.38648211889651</v>
      </c>
      <c r="R7" s="70">
        <f t="shared" si="0"/>
        <v>70.206258597489267</v>
      </c>
      <c r="S7" s="70">
        <f t="shared" si="0"/>
        <v>69.776292709256637</v>
      </c>
      <c r="T7" s="70">
        <f t="shared" si="0"/>
        <v>68.918146099971835</v>
      </c>
      <c r="U7" s="70">
        <f t="shared" si="0"/>
        <v>66.766785494805717</v>
      </c>
      <c r="V7" s="70">
        <f t="shared" si="0"/>
        <v>66.97302802764878</v>
      </c>
      <c r="W7" s="70">
        <f t="shared" si="0"/>
        <v>61.217661361451512</v>
      </c>
      <c r="X7" s="70">
        <f t="shared" si="0"/>
        <v>62.898263243172252</v>
      </c>
      <c r="Y7" s="70">
        <f t="shared" si="0"/>
        <v>60.838279097813491</v>
      </c>
      <c r="Z7" s="70">
        <f t="shared" si="0"/>
        <v>47.209343136212858</v>
      </c>
      <c r="AA7" s="70">
        <f t="shared" si="0"/>
        <v>49.969882797257526</v>
      </c>
      <c r="AB7" s="70">
        <f t="shared" si="0"/>
        <v>53.527830801030589</v>
      </c>
      <c r="AC7" s="70">
        <f t="shared" si="0"/>
        <v>57.259063640483774</v>
      </c>
      <c r="AD7" s="70">
        <f t="shared" si="0"/>
        <v>47.845603603258311</v>
      </c>
      <c r="AE7" s="70">
        <f t="shared" si="0"/>
        <v>46.03278751693</v>
      </c>
      <c r="AF7" s="70">
        <f t="shared" si="0"/>
        <v>40.87477297965782</v>
      </c>
      <c r="AG7" s="70">
        <f t="shared" si="0"/>
        <v>42.934743089421012</v>
      </c>
      <c r="AH7" s="70">
        <f t="shared" si="0"/>
        <v>44.565597730561855</v>
      </c>
      <c r="AI7" s="70">
        <f t="shared" si="0"/>
        <v>36.724562952835434</v>
      </c>
      <c r="AJ7" s="70">
        <f t="shared" si="0"/>
        <v>31.184861868989</v>
      </c>
      <c r="AK7" s="70">
        <f>AK35</f>
        <v>31.368601285042661</v>
      </c>
      <c r="AL7" s="70">
        <f t="shared" ref="AL7:BJ7" si="1">AL35</f>
        <v>30.217090822027927</v>
      </c>
      <c r="AM7" s="70">
        <f t="shared" si="1"/>
        <v>28.712116096384527</v>
      </c>
      <c r="AN7" s="70">
        <f t="shared" si="1"/>
        <v>27.20714137074112</v>
      </c>
      <c r="AO7" s="70">
        <f t="shared" si="1"/>
        <v>25.970579249926853</v>
      </c>
      <c r="AP7" s="70">
        <f t="shared" si="1"/>
        <v>24.73401712911258</v>
      </c>
      <c r="AQ7" s="70">
        <f t="shared" si="1"/>
        <v>24.087221430584037</v>
      </c>
      <c r="AR7" s="70">
        <f t="shared" si="1"/>
        <v>23.440425732055491</v>
      </c>
      <c r="AS7" s="70">
        <f t="shared" si="1"/>
        <v>22.793630033526952</v>
      </c>
      <c r="AT7" s="70">
        <f t="shared" si="1"/>
        <v>21.904069722436038</v>
      </c>
      <c r="AU7" s="70">
        <f t="shared" si="1"/>
        <v>21.014509411345131</v>
      </c>
      <c r="AV7" s="70">
        <f t="shared" si="1"/>
        <v>19.404602893394475</v>
      </c>
      <c r="AW7" s="70">
        <f t="shared" si="1"/>
        <v>17.794696375443827</v>
      </c>
      <c r="AX7" s="70">
        <f t="shared" si="1"/>
        <v>16.184789857493168</v>
      </c>
      <c r="AY7" s="70">
        <f t="shared" si="1"/>
        <v>13.924275541191713</v>
      </c>
      <c r="AZ7" s="70">
        <f t="shared" si="1"/>
        <v>11.663761224890262</v>
      </c>
      <c r="BA7" s="70">
        <f t="shared" si="1"/>
        <v>10.781240358188363</v>
      </c>
      <c r="BB7" s="70">
        <f t="shared" si="1"/>
        <v>9.898719491486462</v>
      </c>
      <c r="BC7" s="70">
        <f t="shared" si="1"/>
        <v>9.0161986247845611</v>
      </c>
      <c r="BD7" s="70">
        <f t="shared" si="1"/>
        <v>8.133677758082662</v>
      </c>
      <c r="BE7" s="70">
        <f t="shared" si="1"/>
        <v>7.2511568913807629</v>
      </c>
      <c r="BF7" s="70">
        <f t="shared" si="1"/>
        <v>6.4356749717872601</v>
      </c>
      <c r="BG7" s="70">
        <f t="shared" si="1"/>
        <v>5.6201930521937582</v>
      </c>
      <c r="BH7" s="70">
        <f t="shared" si="1"/>
        <v>4.8047111326002563</v>
      </c>
      <c r="BI7" s="70">
        <f t="shared" si="1"/>
        <v>3.9892292130067522</v>
      </c>
      <c r="BJ7" s="70">
        <f t="shared" si="1"/>
        <v>3.1737472934132498</v>
      </c>
    </row>
    <row r="8" spans="1:62">
      <c r="A8" s="69" t="s">
        <v>265</v>
      </c>
      <c r="B8" s="70">
        <f t="shared" ref="B8:AJ8" si="2">B82</f>
        <v>140.14222457065344</v>
      </c>
      <c r="C8" s="70">
        <f t="shared" si="2"/>
        <v>152.32802760255106</v>
      </c>
      <c r="D8" s="70">
        <f t="shared" si="2"/>
        <v>139.54222091761255</v>
      </c>
      <c r="E8" s="70">
        <f t="shared" si="2"/>
        <v>134.00843744409221</v>
      </c>
      <c r="F8" s="70">
        <f t="shared" si="2"/>
        <v>135.06032517246035</v>
      </c>
      <c r="G8" s="70">
        <f t="shared" si="2"/>
        <v>136.36204871185473</v>
      </c>
      <c r="H8" s="70">
        <f t="shared" si="2"/>
        <v>138.52876509777167</v>
      </c>
      <c r="I8" s="70">
        <f t="shared" si="2"/>
        <v>137.55733801506838</v>
      </c>
      <c r="J8" s="70">
        <f t="shared" si="2"/>
        <v>131.45833065524215</v>
      </c>
      <c r="K8" s="70">
        <f t="shared" si="2"/>
        <v>128.62918977752742</v>
      </c>
      <c r="L8" s="70">
        <f t="shared" si="2"/>
        <v>125.65099433645477</v>
      </c>
      <c r="M8" s="70">
        <f t="shared" si="2"/>
        <v>128.90033250824465</v>
      </c>
      <c r="N8" s="70">
        <f t="shared" si="2"/>
        <v>124.78287485673039</v>
      </c>
      <c r="O8" s="70">
        <f t="shared" si="2"/>
        <v>123.36099366600281</v>
      </c>
      <c r="P8" s="70">
        <f t="shared" si="2"/>
        <v>118.19649440469411</v>
      </c>
      <c r="Q8" s="70">
        <f t="shared" si="2"/>
        <v>118.77572457761438</v>
      </c>
      <c r="R8" s="70">
        <f t="shared" si="2"/>
        <v>117.97085038905644</v>
      </c>
      <c r="S8" s="70">
        <f t="shared" si="2"/>
        <v>116.85908118244626</v>
      </c>
      <c r="T8" s="70">
        <f t="shared" si="2"/>
        <v>109.76930087634358</v>
      </c>
      <c r="U8" s="70">
        <f t="shared" si="2"/>
        <v>90.76824200162153</v>
      </c>
      <c r="V8" s="70">
        <f t="shared" si="2"/>
        <v>96.698175673940952</v>
      </c>
      <c r="W8" s="70">
        <f t="shared" si="2"/>
        <v>93.047931871855596</v>
      </c>
      <c r="X8" s="70">
        <f t="shared" si="2"/>
        <v>89.182842490308687</v>
      </c>
      <c r="Y8" s="70">
        <f t="shared" si="2"/>
        <v>90.924591567622329</v>
      </c>
      <c r="Z8" s="70">
        <f t="shared" si="2"/>
        <v>88.196589747548913</v>
      </c>
      <c r="AA8" s="70">
        <f t="shared" si="2"/>
        <v>85.376703320437528</v>
      </c>
      <c r="AB8" s="70">
        <f t="shared" si="2"/>
        <v>85.173724337384158</v>
      </c>
      <c r="AC8" s="70">
        <f t="shared" si="2"/>
        <v>85.235255686976643</v>
      </c>
      <c r="AD8" s="70">
        <f t="shared" si="2"/>
        <v>83.892894680444357</v>
      </c>
      <c r="AE8" s="70">
        <f t="shared" si="2"/>
        <v>81.495069587956721</v>
      </c>
      <c r="AF8" s="70">
        <f t="shared" si="2"/>
        <v>72.525924893201605</v>
      </c>
      <c r="AG8" s="70">
        <f t="shared" si="2"/>
        <v>78.987384512532529</v>
      </c>
      <c r="AH8" s="70">
        <f t="shared" si="2"/>
        <v>71.598228306385124</v>
      </c>
      <c r="AI8" s="70">
        <f t="shared" si="2"/>
        <v>63.863485869353489</v>
      </c>
      <c r="AJ8" s="70">
        <f t="shared" si="2"/>
        <v>61.589519583891281</v>
      </c>
      <c r="AK8" s="70">
        <f>AK83</f>
        <v>58.387693678382448</v>
      </c>
      <c r="AL8" s="70">
        <f t="shared" ref="AL8:BJ8" si="3">AL83</f>
        <v>56.601962503601733</v>
      </c>
      <c r="AM8" s="70">
        <f t="shared" si="3"/>
        <v>53.341602445760756</v>
      </c>
      <c r="AN8" s="70">
        <f t="shared" si="3"/>
        <v>50.081242387919794</v>
      </c>
      <c r="AO8" s="70">
        <f t="shared" si="3"/>
        <v>45.914826987235877</v>
      </c>
      <c r="AP8" s="70">
        <f t="shared" si="3"/>
        <v>41.748411586551981</v>
      </c>
      <c r="AQ8" s="70">
        <f t="shared" si="3"/>
        <v>39.432471361473446</v>
      </c>
      <c r="AR8" s="70">
        <f t="shared" si="3"/>
        <v>37.116531136394912</v>
      </c>
      <c r="AS8" s="70">
        <f t="shared" si="3"/>
        <v>34.800590911316377</v>
      </c>
      <c r="AT8" s="70">
        <f t="shared" si="3"/>
        <v>32.38914567772845</v>
      </c>
      <c r="AU8" s="70">
        <f t="shared" si="3"/>
        <v>29.977700444140538</v>
      </c>
      <c r="AV8" s="70">
        <f t="shared" si="3"/>
        <v>28.019589875480971</v>
      </c>
      <c r="AW8" s="70">
        <f t="shared" si="3"/>
        <v>26.061479306821397</v>
      </c>
      <c r="AX8" s="70">
        <f t="shared" si="3"/>
        <v>24.103368738161826</v>
      </c>
      <c r="AY8" s="70">
        <f t="shared" si="3"/>
        <v>22.258804330425392</v>
      </c>
      <c r="AZ8" s="70">
        <f t="shared" si="3"/>
        <v>20.414239922688964</v>
      </c>
      <c r="BA8" s="70">
        <f t="shared" si="3"/>
        <v>18.297963629223013</v>
      </c>
      <c r="BB8" s="70">
        <f t="shared" si="3"/>
        <v>16.181687335757083</v>
      </c>
      <c r="BC8" s="70">
        <f t="shared" si="3"/>
        <v>14.065411042291135</v>
      </c>
      <c r="BD8" s="70">
        <f t="shared" si="3"/>
        <v>11.949134748825196</v>
      </c>
      <c r="BE8" s="70">
        <f t="shared" si="3"/>
        <v>9.8328584553592577</v>
      </c>
      <c r="BF8" s="70">
        <f t="shared" si="3"/>
        <v>9.0459463761577492</v>
      </c>
      <c r="BG8" s="70">
        <f t="shared" si="3"/>
        <v>8.2590342969562496</v>
      </c>
      <c r="BH8" s="70">
        <f t="shared" si="3"/>
        <v>7.4721222177547446</v>
      </c>
      <c r="BI8" s="70">
        <f t="shared" si="3"/>
        <v>6.6852101385532414</v>
      </c>
      <c r="BJ8" s="70">
        <f t="shared" si="3"/>
        <v>5.8982980593517347</v>
      </c>
    </row>
    <row r="9" spans="1:62">
      <c r="A9" s="69" t="s">
        <v>266</v>
      </c>
      <c r="B9" s="70">
        <f>B131</f>
        <v>16.670985141731904</v>
      </c>
      <c r="C9" s="70">
        <f t="shared" ref="C9:BJ9" si="4">C131</f>
        <v>17.387548844628256</v>
      </c>
      <c r="D9" s="70">
        <f t="shared" si="4"/>
        <v>18.111272400628174</v>
      </c>
      <c r="E9" s="70">
        <f t="shared" si="4"/>
        <v>18.83883839897107</v>
      </c>
      <c r="F9" s="70">
        <f t="shared" si="4"/>
        <v>19.155874340694506</v>
      </c>
      <c r="G9" s="70">
        <f t="shared" si="4"/>
        <v>19.37199391406396</v>
      </c>
      <c r="H9" s="70">
        <f t="shared" si="4"/>
        <v>19.36877075069771</v>
      </c>
      <c r="I9" s="70">
        <f t="shared" si="4"/>
        <v>19.321545768560298</v>
      </c>
      <c r="J9" s="70">
        <f t="shared" si="4"/>
        <v>19.732080597335884</v>
      </c>
      <c r="K9" s="70">
        <f t="shared" si="4"/>
        <v>19.971256746713003</v>
      </c>
      <c r="L9" s="70">
        <f t="shared" si="4"/>
        <v>20.376859609034284</v>
      </c>
      <c r="M9" s="70">
        <f t="shared" si="4"/>
        <v>20.618046812381159</v>
      </c>
      <c r="N9" s="70">
        <f t="shared" si="4"/>
        <v>20.892990210807131</v>
      </c>
      <c r="O9" s="70">
        <f t="shared" si="4"/>
        <v>21.073929850772185</v>
      </c>
      <c r="P9" s="70">
        <f t="shared" si="4"/>
        <v>20.958150429015518</v>
      </c>
      <c r="Q9" s="70">
        <f t="shared" si="4"/>
        <v>20.794715280309831</v>
      </c>
      <c r="R9" s="70">
        <f t="shared" si="4"/>
        <v>20.74688581047949</v>
      </c>
      <c r="S9" s="70">
        <f t="shared" si="4"/>
        <v>20.630718616998994</v>
      </c>
      <c r="T9" s="70">
        <f t="shared" si="4"/>
        <v>20.711480029808698</v>
      </c>
      <c r="U9" s="70">
        <f t="shared" si="4"/>
        <v>20.172184447780097</v>
      </c>
      <c r="V9" s="70">
        <f t="shared" si="4"/>
        <v>20.256368070710117</v>
      </c>
      <c r="W9" s="70">
        <f t="shared" si="4"/>
        <v>19.243448510029527</v>
      </c>
      <c r="X9" s="70">
        <f t="shared" si="4"/>
        <v>18.872693784998596</v>
      </c>
      <c r="Y9" s="70">
        <f t="shared" si="4"/>
        <v>17.043737514416364</v>
      </c>
      <c r="Z9" s="70">
        <f t="shared" si="4"/>
        <v>16.283370258423897</v>
      </c>
      <c r="AA9" s="70">
        <f t="shared" si="4"/>
        <v>15.221905229849002</v>
      </c>
      <c r="AB9" s="70">
        <f t="shared" si="4"/>
        <v>15.262840324397937</v>
      </c>
      <c r="AC9" s="70">
        <f t="shared" si="4"/>
        <v>15.308947064820504</v>
      </c>
      <c r="AD9" s="70">
        <f t="shared" si="4"/>
        <v>15.026298259210476</v>
      </c>
      <c r="AE9" s="70">
        <f t="shared" si="4"/>
        <v>16.27323188928175</v>
      </c>
      <c r="AF9" s="70">
        <f t="shared" si="4"/>
        <v>16.209150864119447</v>
      </c>
      <c r="AG9" s="70">
        <f t="shared" si="4"/>
        <v>15.705900326551795</v>
      </c>
      <c r="AH9" s="70">
        <f t="shared" si="4"/>
        <v>15.69615650589013</v>
      </c>
      <c r="AI9" s="70">
        <f t="shared" si="4"/>
        <v>15.637949931842066</v>
      </c>
      <c r="AJ9" s="70">
        <f t="shared" si="4"/>
        <v>15.295171620457175</v>
      </c>
      <c r="AK9" s="70">
        <f t="shared" si="4"/>
        <v>15.295171620457175</v>
      </c>
      <c r="AL9" s="70">
        <f t="shared" si="4"/>
        <v>14.857352582896576</v>
      </c>
      <c r="AM9" s="70">
        <f t="shared" si="4"/>
        <v>13.956225842447376</v>
      </c>
      <c r="AN9" s="70">
        <f t="shared" si="4"/>
        <v>13.055099101998175</v>
      </c>
      <c r="AO9" s="70">
        <f t="shared" si="4"/>
        <v>12.549122015897311</v>
      </c>
      <c r="AP9" s="70">
        <f t="shared" si="4"/>
        <v>12.043144929796446</v>
      </c>
      <c r="AQ9" s="70">
        <f t="shared" si="4"/>
        <v>11.693896934396996</v>
      </c>
      <c r="AR9" s="70">
        <f t="shared" si="4"/>
        <v>11.344648938997546</v>
      </c>
      <c r="AS9" s="70">
        <f t="shared" si="4"/>
        <v>10.995400943598096</v>
      </c>
      <c r="AT9" s="70">
        <f t="shared" si="4"/>
        <v>10.69739678489697</v>
      </c>
      <c r="AU9" s="70">
        <f t="shared" si="4"/>
        <v>10.399392626195841</v>
      </c>
      <c r="AV9" s="70">
        <f t="shared" si="4"/>
        <v>10.142360501359173</v>
      </c>
      <c r="AW9" s="70">
        <f t="shared" si="4"/>
        <v>9.8853283765225033</v>
      </c>
      <c r="AX9" s="70">
        <f t="shared" si="4"/>
        <v>9.6282962516858355</v>
      </c>
      <c r="AY9" s="70">
        <f t="shared" si="4"/>
        <v>9.4015244328396967</v>
      </c>
      <c r="AZ9" s="70">
        <f t="shared" si="4"/>
        <v>9.174752613993558</v>
      </c>
      <c r="BA9" s="70">
        <f t="shared" si="4"/>
        <v>8.988338429231689</v>
      </c>
      <c r="BB9" s="70">
        <f t="shared" si="4"/>
        <v>8.8019242444698182</v>
      </c>
      <c r="BC9" s="70">
        <f t="shared" si="4"/>
        <v>8.6155100597079493</v>
      </c>
      <c r="BD9" s="70">
        <f t="shared" si="4"/>
        <v>8.4290958749460785</v>
      </c>
      <c r="BE9" s="70">
        <f t="shared" si="4"/>
        <v>8.2426816901842095</v>
      </c>
      <c r="BF9" s="70">
        <f t="shared" si="4"/>
        <v>8.0981009128650658</v>
      </c>
      <c r="BG9" s="70">
        <f t="shared" si="4"/>
        <v>7.9535201355459213</v>
      </c>
      <c r="BH9" s="70">
        <f t="shared" si="4"/>
        <v>7.8089393582267768</v>
      </c>
      <c r="BI9" s="70">
        <f t="shared" si="4"/>
        <v>7.6643585809076331</v>
      </c>
      <c r="BJ9" s="70">
        <f t="shared" si="4"/>
        <v>7.5197778035884886</v>
      </c>
    </row>
    <row r="10" spans="1:62">
      <c r="A10" s="69" t="s">
        <v>267</v>
      </c>
      <c r="B10" s="70">
        <f>B149</f>
        <v>92.928249326112621</v>
      </c>
      <c r="C10" s="70">
        <f t="shared" ref="C10:BJ10" si="5">C149</f>
        <v>102.58014176964721</v>
      </c>
      <c r="D10" s="70">
        <f t="shared" si="5"/>
        <v>98.758470686740765</v>
      </c>
      <c r="E10" s="70">
        <f t="shared" si="5"/>
        <v>95.121674658189335</v>
      </c>
      <c r="F10" s="70">
        <f t="shared" si="5"/>
        <v>88.621483565268079</v>
      </c>
      <c r="G10" s="70">
        <f t="shared" si="5"/>
        <v>88.487528941124737</v>
      </c>
      <c r="H10" s="70">
        <f t="shared" si="5"/>
        <v>98.381957816129599</v>
      </c>
      <c r="I10" s="70">
        <f t="shared" si="5"/>
        <v>93.427613781094649</v>
      </c>
      <c r="J10" s="70">
        <f t="shared" si="5"/>
        <v>98.089895091007463</v>
      </c>
      <c r="K10" s="70">
        <f t="shared" si="5"/>
        <v>99.675722333540506</v>
      </c>
      <c r="L10" s="70">
        <f t="shared" si="5"/>
        <v>95.918014549790811</v>
      </c>
      <c r="M10" s="70">
        <f t="shared" si="5"/>
        <v>101.6067174105066</v>
      </c>
      <c r="N10" s="70">
        <f t="shared" si="5"/>
        <v>97.397186723699861</v>
      </c>
      <c r="O10" s="70">
        <f t="shared" si="5"/>
        <v>103.12919346210248</v>
      </c>
      <c r="P10" s="70">
        <f t="shared" si="5"/>
        <v>108.07885482009307</v>
      </c>
      <c r="Q10" s="70">
        <f t="shared" si="5"/>
        <v>107.19737018694704</v>
      </c>
      <c r="R10" s="70">
        <f t="shared" si="5"/>
        <v>102.67617501019944</v>
      </c>
      <c r="S10" s="70">
        <f t="shared" si="5"/>
        <v>95.369412193732629</v>
      </c>
      <c r="T10" s="70">
        <f t="shared" si="5"/>
        <v>102.55584931077038</v>
      </c>
      <c r="U10" s="70">
        <f t="shared" si="5"/>
        <v>104.67991593973319</v>
      </c>
      <c r="V10" s="70">
        <f t="shared" si="5"/>
        <v>103.85871209902706</v>
      </c>
      <c r="W10" s="70">
        <f t="shared" si="5"/>
        <v>88.080335689035635</v>
      </c>
      <c r="X10" s="70">
        <f t="shared" si="5"/>
        <v>95.426842787675639</v>
      </c>
      <c r="Y10" s="70">
        <f t="shared" si="5"/>
        <v>97.53945909976396</v>
      </c>
      <c r="Z10" s="70">
        <f t="shared" si="5"/>
        <v>80.60918905229957</v>
      </c>
      <c r="AA10" s="70">
        <f t="shared" si="5"/>
        <v>84.123258997926911</v>
      </c>
      <c r="AB10" s="70">
        <f t="shared" si="5"/>
        <v>85.007153111943566</v>
      </c>
      <c r="AC10" s="70">
        <f t="shared" si="5"/>
        <v>84.1179542829762</v>
      </c>
      <c r="AD10" s="70">
        <f t="shared" si="5"/>
        <v>79.565902312017727</v>
      </c>
      <c r="AE10" s="70">
        <f t="shared" si="5"/>
        <v>76.105237232004882</v>
      </c>
      <c r="AF10" s="70">
        <f t="shared" si="5"/>
        <v>72.213717875469953</v>
      </c>
      <c r="AG10" s="70">
        <f t="shared" si="5"/>
        <v>74.736417848220754</v>
      </c>
      <c r="AH10" s="70">
        <f t="shared" si="5"/>
        <v>62.554405696514181</v>
      </c>
      <c r="AI10" s="70">
        <f t="shared" si="5"/>
        <v>57.013635485785869</v>
      </c>
      <c r="AJ10" s="70">
        <f t="shared" si="5"/>
        <v>56.073036238656101</v>
      </c>
      <c r="AK10" s="70">
        <f t="shared" si="5"/>
        <v>54.885695689219922</v>
      </c>
      <c r="AL10" s="70">
        <f t="shared" si="5"/>
        <v>52.363063580220462</v>
      </c>
      <c r="AM10" s="70">
        <f t="shared" si="5"/>
        <v>48.024928583056642</v>
      </c>
      <c r="AN10" s="70">
        <f t="shared" si="5"/>
        <v>43.686793585892829</v>
      </c>
      <c r="AO10" s="70">
        <f t="shared" si="5"/>
        <v>40.143157681072537</v>
      </c>
      <c r="AP10" s="70">
        <f t="shared" si="5"/>
        <v>36.599521776252246</v>
      </c>
      <c r="AQ10" s="70">
        <f t="shared" si="5"/>
        <v>33.673674719591794</v>
      </c>
      <c r="AR10" s="70">
        <f t="shared" si="5"/>
        <v>30.747827662931336</v>
      </c>
      <c r="AS10" s="70">
        <f t="shared" si="5"/>
        <v>27.821980606270881</v>
      </c>
      <c r="AT10" s="70">
        <f t="shared" si="5"/>
        <v>25.553241867392114</v>
      </c>
      <c r="AU10" s="70">
        <f t="shared" si="5"/>
        <v>23.284503128513336</v>
      </c>
      <c r="AV10" s="70">
        <f t="shared" si="5"/>
        <v>21.168856910515405</v>
      </c>
      <c r="AW10" s="70">
        <f t="shared" si="5"/>
        <v>19.053210692517467</v>
      </c>
      <c r="AX10" s="70">
        <f t="shared" si="5"/>
        <v>16.93756447451953</v>
      </c>
      <c r="AY10" s="70">
        <f t="shared" si="5"/>
        <v>15.06111414035119</v>
      </c>
      <c r="AZ10" s="70">
        <f t="shared" si="5"/>
        <v>13.184663806182851</v>
      </c>
      <c r="BA10" s="70">
        <f t="shared" si="5"/>
        <v>12.212901437348265</v>
      </c>
      <c r="BB10" s="70">
        <f t="shared" si="5"/>
        <v>11.24113906851368</v>
      </c>
      <c r="BC10" s="70">
        <f t="shared" si="5"/>
        <v>10.269376699679095</v>
      </c>
      <c r="BD10" s="70">
        <f t="shared" si="5"/>
        <v>9.2976143308445103</v>
      </c>
      <c r="BE10" s="70">
        <f t="shared" si="5"/>
        <v>8.3258519620099243</v>
      </c>
      <c r="BF10" s="70">
        <f t="shared" si="5"/>
        <v>7.2747008866271834</v>
      </c>
      <c r="BG10" s="70">
        <f t="shared" si="5"/>
        <v>6.2235498112444425</v>
      </c>
      <c r="BH10" s="70">
        <f t="shared" si="5"/>
        <v>5.1723987358617007</v>
      </c>
      <c r="BI10" s="70">
        <f t="shared" si="5"/>
        <v>4.1212476604789599</v>
      </c>
      <c r="BJ10" s="70">
        <f t="shared" si="5"/>
        <v>3.070096585096219</v>
      </c>
    </row>
    <row r="11" spans="1:62">
      <c r="A11" s="69" t="s">
        <v>268</v>
      </c>
      <c r="B11" s="70">
        <f>B166</f>
        <v>92.904753847969388</v>
      </c>
      <c r="C11" s="70">
        <f t="shared" ref="C11:BJ11" si="6">C166</f>
        <v>91.869757928618853</v>
      </c>
      <c r="D11" s="70">
        <f t="shared" si="6"/>
        <v>91.327635219757809</v>
      </c>
      <c r="E11" s="70">
        <f t="shared" si="6"/>
        <v>90.175257475794126</v>
      </c>
      <c r="F11" s="70">
        <f t="shared" si="6"/>
        <v>89.360466646626151</v>
      </c>
      <c r="G11" s="70">
        <f t="shared" si="6"/>
        <v>89.98097744091163</v>
      </c>
      <c r="H11" s="70">
        <f t="shared" si="6"/>
        <v>90.828793552535814</v>
      </c>
      <c r="I11" s="70">
        <f t="shared" si="6"/>
        <v>90.775212518976446</v>
      </c>
      <c r="J11" s="70">
        <f t="shared" si="6"/>
        <v>90.901427190123329</v>
      </c>
      <c r="K11" s="70">
        <f t="shared" si="6"/>
        <v>91.280299595017325</v>
      </c>
      <c r="L11" s="70">
        <f t="shared" si="6"/>
        <v>93.675492376236335</v>
      </c>
      <c r="M11" s="70">
        <f t="shared" si="6"/>
        <v>93.441748817861821</v>
      </c>
      <c r="N11" s="70">
        <f t="shared" si="6"/>
        <v>91.627383728576262</v>
      </c>
      <c r="O11" s="70">
        <f t="shared" si="6"/>
        <v>88.180330771443494</v>
      </c>
      <c r="P11" s="70">
        <f t="shared" si="6"/>
        <v>89.390324761577759</v>
      </c>
      <c r="Q11" s="70">
        <f t="shared" si="6"/>
        <v>88.668164090345712</v>
      </c>
      <c r="R11" s="70">
        <f t="shared" si="6"/>
        <v>87.771030626014792</v>
      </c>
      <c r="S11" s="70">
        <f t="shared" si="6"/>
        <v>88.279768626750581</v>
      </c>
      <c r="T11" s="70">
        <f t="shared" si="6"/>
        <v>90.308509323859255</v>
      </c>
      <c r="U11" s="70">
        <f t="shared" si="6"/>
        <v>89.258642420506789</v>
      </c>
      <c r="V11" s="70">
        <f t="shared" si="6"/>
        <v>86.716986587475674</v>
      </c>
      <c r="W11" s="70">
        <f t="shared" si="6"/>
        <v>86.607007716454007</v>
      </c>
      <c r="X11" s="70">
        <f t="shared" si="6"/>
        <v>85.957032376621285</v>
      </c>
      <c r="Y11" s="70">
        <f t="shared" si="6"/>
        <v>85.93039659480273</v>
      </c>
      <c r="Z11" s="70">
        <f t="shared" si="6"/>
        <v>87.650492067070232</v>
      </c>
      <c r="AA11" s="70">
        <f t="shared" si="6"/>
        <v>87.285373311458684</v>
      </c>
      <c r="AB11" s="70">
        <f t="shared" si="6"/>
        <v>85.495051199713686</v>
      </c>
      <c r="AC11" s="70">
        <f t="shared" si="6"/>
        <v>84.97720282497572</v>
      </c>
      <c r="AD11" s="70">
        <f t="shared" si="6"/>
        <v>83.907022130946913</v>
      </c>
      <c r="AE11" s="70">
        <f t="shared" si="6"/>
        <v>82.758895836800519</v>
      </c>
      <c r="AF11" s="70">
        <f t="shared" si="6"/>
        <v>82.056869751146948</v>
      </c>
      <c r="AG11" s="70">
        <f t="shared" si="6"/>
        <v>81.80840470669412</v>
      </c>
      <c r="AH11" s="70">
        <f t="shared" si="6"/>
        <v>78.946351136464841</v>
      </c>
      <c r="AI11" s="70">
        <f t="shared" si="6"/>
        <v>78.094679786033225</v>
      </c>
      <c r="AJ11" s="70">
        <f t="shared" si="6"/>
        <v>77.525901354915774</v>
      </c>
      <c r="AK11" s="70">
        <f t="shared" si="6"/>
        <v>76.551551658053057</v>
      </c>
      <c r="AL11" s="70">
        <f t="shared" si="6"/>
        <v>75.56137902066645</v>
      </c>
      <c r="AM11" s="70">
        <f t="shared" si="6"/>
        <v>72.89885056458705</v>
      </c>
      <c r="AN11" s="70">
        <f t="shared" si="6"/>
        <v>70.571469837964116</v>
      </c>
      <c r="AO11" s="70">
        <f t="shared" si="6"/>
        <v>69.446138873999232</v>
      </c>
      <c r="AP11" s="70">
        <f t="shared" si="6"/>
        <v>68.320807910034347</v>
      </c>
      <c r="AQ11" s="70">
        <f t="shared" si="6"/>
        <v>66.986918712254578</v>
      </c>
      <c r="AR11" s="70">
        <f t="shared" si="6"/>
        <v>65.653029514474838</v>
      </c>
      <c r="AS11" s="70">
        <f t="shared" si="6"/>
        <v>64.319140316695069</v>
      </c>
      <c r="AT11" s="70">
        <f t="shared" si="6"/>
        <v>63.017905807492426</v>
      </c>
      <c r="AU11" s="70">
        <f t="shared" si="6"/>
        <v>61.716671298289775</v>
      </c>
      <c r="AV11" s="70">
        <f t="shared" si="6"/>
        <v>60.409802670452414</v>
      </c>
      <c r="AW11" s="70">
        <f t="shared" si="6"/>
        <v>59.102934042615097</v>
      </c>
      <c r="AX11" s="70">
        <f t="shared" si="6"/>
        <v>57.796065414777729</v>
      </c>
      <c r="AY11" s="70">
        <f t="shared" si="6"/>
        <v>56.53161353781352</v>
      </c>
      <c r="AZ11" s="70">
        <f t="shared" si="6"/>
        <v>55.26716166084929</v>
      </c>
      <c r="BA11" s="70">
        <f t="shared" si="6"/>
        <v>53.999951468921651</v>
      </c>
      <c r="BB11" s="70">
        <f t="shared" si="6"/>
        <v>52.732741276994005</v>
      </c>
      <c r="BC11" s="70">
        <f t="shared" si="6"/>
        <v>51.465531085066374</v>
      </c>
      <c r="BD11" s="70">
        <f t="shared" si="6"/>
        <v>50.198320893138728</v>
      </c>
      <c r="BE11" s="70">
        <f t="shared" si="6"/>
        <v>48.931110701211082</v>
      </c>
      <c r="BF11" s="70">
        <f t="shared" si="6"/>
        <v>47.786541975908108</v>
      </c>
      <c r="BG11" s="70">
        <f t="shared" si="6"/>
        <v>46.641973250605133</v>
      </c>
      <c r="BH11" s="70">
        <f t="shared" si="6"/>
        <v>45.497404525302144</v>
      </c>
      <c r="BI11" s="70">
        <f t="shared" si="6"/>
        <v>44.352835799999177</v>
      </c>
      <c r="BJ11" s="70">
        <f t="shared" si="6"/>
        <v>43.208267074696188</v>
      </c>
    </row>
    <row r="12" spans="1:62">
      <c r="A12" s="69" t="s">
        <v>257</v>
      </c>
      <c r="B12" s="70">
        <f>B198</f>
        <v>125.4364779089275</v>
      </c>
      <c r="C12" s="70">
        <f t="shared" ref="C12:BJ12" si="7">C198</f>
        <v>128.24902692334814</v>
      </c>
      <c r="D12" s="70">
        <f t="shared" si="7"/>
        <v>132.41077348195648</v>
      </c>
      <c r="E12" s="70">
        <f t="shared" si="7"/>
        <v>132.77075058259808</v>
      </c>
      <c r="F12" s="70">
        <f t="shared" si="7"/>
        <v>133.5085344807068</v>
      </c>
      <c r="G12" s="70">
        <f t="shared" si="7"/>
        <v>135.41041367819832</v>
      </c>
      <c r="H12" s="70">
        <f t="shared" si="7"/>
        <v>137.16211688874179</v>
      </c>
      <c r="I12" s="70">
        <f t="shared" si="7"/>
        <v>139.83716205401646</v>
      </c>
      <c r="J12" s="70">
        <f t="shared" si="7"/>
        <v>142.19777685333455</v>
      </c>
      <c r="K12" s="70">
        <f t="shared" si="7"/>
        <v>144.58090701327248</v>
      </c>
      <c r="L12" s="70">
        <f t="shared" si="7"/>
        <v>144.60395419184294</v>
      </c>
      <c r="M12" s="70">
        <f t="shared" si="7"/>
        <v>147.63563320952284</v>
      </c>
      <c r="N12" s="70">
        <f t="shared" si="7"/>
        <v>148.58043067001552</v>
      </c>
      <c r="O12" s="70">
        <f t="shared" si="7"/>
        <v>148.24121857861681</v>
      </c>
      <c r="P12" s="70">
        <f t="shared" si="7"/>
        <v>148.41105163254139</v>
      </c>
      <c r="Q12" s="70">
        <f t="shared" si="7"/>
        <v>145.77742202297284</v>
      </c>
      <c r="R12" s="70">
        <f t="shared" si="7"/>
        <v>145.5696681337009</v>
      </c>
      <c r="S12" s="70">
        <f t="shared" si="7"/>
        <v>144.28701487254909</v>
      </c>
      <c r="T12" s="70">
        <f t="shared" si="7"/>
        <v>138.00365051550037</v>
      </c>
      <c r="U12" s="70">
        <f t="shared" si="7"/>
        <v>137.51484102282313</v>
      </c>
      <c r="V12" s="70">
        <f t="shared" si="7"/>
        <v>138.547155455416</v>
      </c>
      <c r="W12" s="70">
        <f t="shared" si="7"/>
        <v>139.81307524138111</v>
      </c>
      <c r="X12" s="70">
        <f t="shared" si="7"/>
        <v>138.34091279416805</v>
      </c>
      <c r="Y12" s="70">
        <f t="shared" si="7"/>
        <v>137.92011406100485</v>
      </c>
      <c r="Z12" s="70">
        <f t="shared" si="7"/>
        <v>137.45636829503363</v>
      </c>
      <c r="AA12" s="70">
        <f t="shared" si="7"/>
        <v>138.85833646876989</v>
      </c>
      <c r="AB12" s="70">
        <f t="shared" si="7"/>
        <v>139.24751887409056</v>
      </c>
      <c r="AC12" s="70">
        <f t="shared" si="7"/>
        <v>139.15729884207528</v>
      </c>
      <c r="AD12" s="70">
        <f t="shared" si="7"/>
        <v>136.30085332260725</v>
      </c>
      <c r="AE12" s="70">
        <f t="shared" si="7"/>
        <v>135.04329700549295</v>
      </c>
      <c r="AF12" s="70">
        <f t="shared" si="7"/>
        <v>114.07307986680733</v>
      </c>
      <c r="AG12" s="70">
        <f t="shared" si="7"/>
        <v>128.2195492559683</v>
      </c>
      <c r="AH12" s="70">
        <f t="shared" si="7"/>
        <v>132.42545997859983</v>
      </c>
      <c r="AI12" s="70">
        <f t="shared" si="7"/>
        <v>126.8942612137112</v>
      </c>
      <c r="AJ12" s="70">
        <f t="shared" si="7"/>
        <v>125.35019040656164</v>
      </c>
      <c r="AK12" s="70">
        <f t="shared" si="7"/>
        <v>122.90893028907092</v>
      </c>
      <c r="AL12" s="70">
        <f t="shared" si="7"/>
        <v>118.84174465398623</v>
      </c>
      <c r="AM12" s="70">
        <f t="shared" si="7"/>
        <v>111.17818447863252</v>
      </c>
      <c r="AN12" s="70">
        <f t="shared" si="7"/>
        <v>103.51462430327881</v>
      </c>
      <c r="AO12" s="70">
        <f t="shared" si="7"/>
        <v>97.336588739745451</v>
      </c>
      <c r="AP12" s="70">
        <f t="shared" si="7"/>
        <v>92.227516646303286</v>
      </c>
      <c r="AQ12" s="70">
        <f t="shared" si="7"/>
        <v>92.455048580873836</v>
      </c>
      <c r="AR12" s="70">
        <f t="shared" si="7"/>
        <v>86.203485717748549</v>
      </c>
      <c r="AS12" s="70">
        <f t="shared" si="7"/>
        <v>73.242483245068016</v>
      </c>
      <c r="AT12" s="70">
        <f t="shared" si="7"/>
        <v>73.76656865727756</v>
      </c>
      <c r="AU12" s="70">
        <f t="shared" si="7"/>
        <v>60.681617161393461</v>
      </c>
      <c r="AV12" s="70">
        <f t="shared" si="7"/>
        <v>67.881213754346362</v>
      </c>
      <c r="AW12" s="70">
        <f t="shared" si="7"/>
        <v>61.683177136771981</v>
      </c>
      <c r="AX12" s="70">
        <f t="shared" si="7"/>
        <v>42.052317283805621</v>
      </c>
      <c r="AY12" s="70">
        <f t="shared" si="7"/>
        <v>49.334959653938391</v>
      </c>
      <c r="AZ12" s="70">
        <f t="shared" si="7"/>
        <v>29.696793742870533</v>
      </c>
      <c r="BA12" s="70">
        <f t="shared" si="7"/>
        <v>25.443404782036882</v>
      </c>
      <c r="BB12" s="70">
        <f t="shared" si="7"/>
        <v>21.190015821203232</v>
      </c>
      <c r="BC12" s="70">
        <f t="shared" si="7"/>
        <v>16.936626860369586</v>
      </c>
      <c r="BD12" s="70">
        <f t="shared" si="7"/>
        <v>12.683237899535936</v>
      </c>
      <c r="BE12" s="70">
        <f t="shared" si="7"/>
        <v>8.4298489387022872</v>
      </c>
      <c r="BF12" s="70">
        <f t="shared" si="7"/>
        <v>6.8686162003180407</v>
      </c>
      <c r="BG12" s="70">
        <f t="shared" si="7"/>
        <v>5.307383461933795</v>
      </c>
      <c r="BH12" s="70">
        <f t="shared" si="7"/>
        <v>3.7461507235495493</v>
      </c>
      <c r="BI12" s="70">
        <f t="shared" si="7"/>
        <v>2.1849179851653027</v>
      </c>
      <c r="BJ12" s="70">
        <f t="shared" si="7"/>
        <v>0.6236852467810573</v>
      </c>
    </row>
    <row r="13" spans="1:62">
      <c r="A13" s="72" t="s">
        <v>269</v>
      </c>
      <c r="B13" s="73">
        <f>B204</f>
        <v>15.566180454131969</v>
      </c>
      <c r="C13" s="73">
        <f t="shared" ref="C13:BJ13" si="8">C204</f>
        <v>15.443773326139222</v>
      </c>
      <c r="D13" s="73">
        <f t="shared" si="8"/>
        <v>16.82935845436867</v>
      </c>
      <c r="E13" s="73">
        <f t="shared" si="8"/>
        <v>16.762589111386021</v>
      </c>
      <c r="F13" s="73">
        <f t="shared" si="8"/>
        <v>16.482040395554741</v>
      </c>
      <c r="G13" s="73">
        <f t="shared" si="8"/>
        <v>16.778940043107202</v>
      </c>
      <c r="H13" s="73">
        <f t="shared" si="8"/>
        <v>17.850683605332371</v>
      </c>
      <c r="I13" s="73">
        <f t="shared" si="8"/>
        <v>18.904121849823692</v>
      </c>
      <c r="J13" s="73">
        <f t="shared" si="8"/>
        <v>20.556025558359337</v>
      </c>
      <c r="K13" s="73">
        <f t="shared" si="8"/>
        <v>22.025510249218197</v>
      </c>
      <c r="L13" s="73">
        <f t="shared" si="8"/>
        <v>22.570287711150414</v>
      </c>
      <c r="M13" s="73">
        <f t="shared" si="8"/>
        <v>21.333635658792456</v>
      </c>
      <c r="N13" s="73">
        <f t="shared" si="8"/>
        <v>21.200035508804834</v>
      </c>
      <c r="O13" s="73">
        <f t="shared" si="8"/>
        <v>21.968066786949198</v>
      </c>
      <c r="P13" s="73">
        <f t="shared" si="8"/>
        <v>24.541178890925021</v>
      </c>
      <c r="Q13" s="73">
        <f t="shared" si="8"/>
        <v>24.159719121275618</v>
      </c>
      <c r="R13" s="73">
        <f t="shared" si="8"/>
        <v>25.39502157029802</v>
      </c>
      <c r="S13" s="73">
        <f t="shared" si="8"/>
        <v>26.324913330922186</v>
      </c>
      <c r="T13" s="73">
        <f t="shared" si="8"/>
        <v>25.125634528647435</v>
      </c>
      <c r="U13" s="73">
        <f t="shared" si="8"/>
        <v>23.735676800266447</v>
      </c>
      <c r="V13" s="73">
        <f t="shared" si="8"/>
        <v>23.534108890580619</v>
      </c>
      <c r="W13" s="73">
        <f t="shared" si="8"/>
        <v>24.742167982212798</v>
      </c>
      <c r="X13" s="73">
        <f t="shared" si="8"/>
        <v>23.832473610513073</v>
      </c>
      <c r="Y13" s="73">
        <f t="shared" si="8"/>
        <v>23.077854654149785</v>
      </c>
      <c r="Z13" s="73">
        <f t="shared" si="8"/>
        <v>22.287308416557689</v>
      </c>
      <c r="AA13" s="73">
        <f t="shared" si="8"/>
        <v>22.556922972399224</v>
      </c>
      <c r="AB13" s="73">
        <f t="shared" si="8"/>
        <v>21.906111313405024</v>
      </c>
      <c r="AC13" s="73">
        <f t="shared" si="8"/>
        <v>22.673735555836465</v>
      </c>
      <c r="AD13" s="73">
        <f t="shared" si="8"/>
        <v>23.906999630319632</v>
      </c>
      <c r="AE13" s="73">
        <f t="shared" si="8"/>
        <v>24.136553232067353</v>
      </c>
      <c r="AF13" s="73">
        <f t="shared" si="8"/>
        <v>10.892703819658015</v>
      </c>
      <c r="AG13" s="73">
        <f t="shared" si="8"/>
        <v>12.052237977818592</v>
      </c>
      <c r="AH13" s="73">
        <f t="shared" si="8"/>
        <v>18.247870310771422</v>
      </c>
      <c r="AI13" s="73">
        <f t="shared" si="8"/>
        <v>20.4746516126479</v>
      </c>
      <c r="AJ13" s="73">
        <f t="shared" si="8"/>
        <v>22.255119189950666</v>
      </c>
      <c r="AK13" s="73">
        <f t="shared" si="8"/>
        <v>22.659339808966589</v>
      </c>
      <c r="AL13" s="73">
        <f t="shared" si="8"/>
        <v>22.674666967238775</v>
      </c>
      <c r="AM13" s="73">
        <f t="shared" si="8"/>
        <v>22.223177977385532</v>
      </c>
      <c r="AN13" s="73">
        <f t="shared" si="8"/>
        <v>21.771688987532283</v>
      </c>
      <c r="AO13" s="73">
        <f t="shared" si="8"/>
        <v>21.306396892661418</v>
      </c>
      <c r="AP13" s="73">
        <f t="shared" si="8"/>
        <v>20.84110479779055</v>
      </c>
      <c r="AQ13" s="73">
        <f t="shared" si="8"/>
        <v>19.960499792707402</v>
      </c>
      <c r="AR13" s="73">
        <f t="shared" si="8"/>
        <v>19.079894787624262</v>
      </c>
      <c r="AS13" s="73">
        <f t="shared" si="8"/>
        <v>18.199289782541115</v>
      </c>
      <c r="AT13" s="73">
        <f t="shared" si="8"/>
        <v>17.31609121093588</v>
      </c>
      <c r="AU13" s="73">
        <f t="shared" si="8"/>
        <v>16.43289263933065</v>
      </c>
      <c r="AV13" s="73">
        <f t="shared" si="8"/>
        <v>15.549496139188475</v>
      </c>
      <c r="AW13" s="73">
        <f t="shared" si="8"/>
        <v>14.666099639046303</v>
      </c>
      <c r="AX13" s="73">
        <f t="shared" si="8"/>
        <v>13.782703138904129</v>
      </c>
      <c r="AY13" s="73">
        <f t="shared" si="8"/>
        <v>12.898783633675892</v>
      </c>
      <c r="AZ13" s="73">
        <f t="shared" si="8"/>
        <v>12.014864128447655</v>
      </c>
      <c r="BA13" s="73">
        <f t="shared" si="8"/>
        <v>11.22703835452339</v>
      </c>
      <c r="BB13" s="73">
        <f t="shared" si="8"/>
        <v>10.439212580599126</v>
      </c>
      <c r="BC13" s="73">
        <f t="shared" si="8"/>
        <v>9.6513868066748607</v>
      </c>
      <c r="BD13" s="73">
        <f t="shared" si="8"/>
        <v>8.8635610327505976</v>
      </c>
      <c r="BE13" s="73">
        <f t="shared" si="8"/>
        <v>8.0757352588263327</v>
      </c>
      <c r="BF13" s="73">
        <f t="shared" si="8"/>
        <v>6.9749496398746533</v>
      </c>
      <c r="BG13" s="73">
        <f t="shared" si="8"/>
        <v>5.8741640209229731</v>
      </c>
      <c r="BH13" s="73">
        <f t="shared" si="8"/>
        <v>4.7733784019712928</v>
      </c>
      <c r="BI13" s="73">
        <f t="shared" si="8"/>
        <v>3.6725927830196134</v>
      </c>
      <c r="BJ13" s="73">
        <f t="shared" si="8"/>
        <v>2.5718071640679332</v>
      </c>
    </row>
    <row r="14" spans="1:62">
      <c r="A14" s="74" t="s">
        <v>347</v>
      </c>
      <c r="B14" s="76">
        <f>SUM(B7:B12)</f>
        <v>546.94450738918499</v>
      </c>
      <c r="C14" s="76">
        <f t="shared" ref="C14:BJ14" si="9">SUM(C7:C12)</f>
        <v>572.51425250572629</v>
      </c>
      <c r="D14" s="76">
        <f t="shared" si="9"/>
        <v>561.51753822039223</v>
      </c>
      <c r="E14" s="76">
        <f t="shared" si="9"/>
        <v>539.98975829451763</v>
      </c>
      <c r="F14" s="76">
        <f t="shared" si="9"/>
        <v>531.68812040467037</v>
      </c>
      <c r="G14" s="76">
        <f t="shared" si="9"/>
        <v>538.12274458551587</v>
      </c>
      <c r="H14" s="76">
        <f t="shared" si="9"/>
        <v>556.3594716735829</v>
      </c>
      <c r="I14" s="76">
        <f t="shared" si="9"/>
        <v>548.6328139950856</v>
      </c>
      <c r="J14" s="76">
        <f t="shared" si="9"/>
        <v>562.45409310925618</v>
      </c>
      <c r="K14" s="76">
        <f t="shared" si="9"/>
        <v>557.24218217396208</v>
      </c>
      <c r="L14" s="76">
        <f t="shared" si="9"/>
        <v>551.94672802595551</v>
      </c>
      <c r="M14" s="76">
        <f t="shared" si="9"/>
        <v>557.04209653883913</v>
      </c>
      <c r="N14" s="76">
        <f t="shared" si="9"/>
        <v>550.6164671720876</v>
      </c>
      <c r="O14" s="76">
        <f t="shared" si="9"/>
        <v>554.71151714390817</v>
      </c>
      <c r="P14" s="76">
        <f t="shared" si="9"/>
        <v>554.29509567022683</v>
      </c>
      <c r="Q14" s="76">
        <f t="shared" si="9"/>
        <v>555.5998782770863</v>
      </c>
      <c r="R14" s="76">
        <f t="shared" si="9"/>
        <v>544.94086856694037</v>
      </c>
      <c r="S14" s="76">
        <f t="shared" si="9"/>
        <v>535.20228820173418</v>
      </c>
      <c r="T14" s="76">
        <f t="shared" si="9"/>
        <v>530.26693615625413</v>
      </c>
      <c r="U14" s="76">
        <f t="shared" si="9"/>
        <v>509.16061132727043</v>
      </c>
      <c r="V14" s="76">
        <f t="shared" si="9"/>
        <v>513.05042591421852</v>
      </c>
      <c r="W14" s="76">
        <f t="shared" si="9"/>
        <v>488.00946039020738</v>
      </c>
      <c r="X14" s="76">
        <f t="shared" si="9"/>
        <v>490.67858747694453</v>
      </c>
      <c r="Y14" s="76">
        <f t="shared" si="9"/>
        <v>490.19657793542376</v>
      </c>
      <c r="Z14" s="76">
        <f t="shared" si="9"/>
        <v>457.40535255658915</v>
      </c>
      <c r="AA14" s="76">
        <f t="shared" si="9"/>
        <v>460.83546012569951</v>
      </c>
      <c r="AB14" s="76">
        <f t="shared" si="9"/>
        <v>463.71411864856054</v>
      </c>
      <c r="AC14" s="76">
        <f t="shared" si="9"/>
        <v>466.05572234230806</v>
      </c>
      <c r="AD14" s="76">
        <f t="shared" si="9"/>
        <v>446.53857430848507</v>
      </c>
      <c r="AE14" s="76">
        <f t="shared" si="9"/>
        <v>437.70851906846679</v>
      </c>
      <c r="AF14" s="76">
        <f t="shared" si="9"/>
        <v>397.95351623040312</v>
      </c>
      <c r="AG14" s="76">
        <f t="shared" si="9"/>
        <v>422.39239973938857</v>
      </c>
      <c r="AH14" s="76">
        <f t="shared" si="9"/>
        <v>405.786199354416</v>
      </c>
      <c r="AI14" s="76">
        <f t="shared" si="9"/>
        <v>378.22857523956128</v>
      </c>
      <c r="AJ14" s="76">
        <f t="shared" si="9"/>
        <v>367.01868107347099</v>
      </c>
      <c r="AK14" s="76">
        <f t="shared" si="9"/>
        <v>359.3976442202262</v>
      </c>
      <c r="AL14" s="76">
        <f t="shared" si="9"/>
        <v>348.44259316339935</v>
      </c>
      <c r="AM14" s="76">
        <f t="shared" si="9"/>
        <v>328.11190801086889</v>
      </c>
      <c r="AN14" s="76">
        <f t="shared" si="9"/>
        <v>308.11637058779485</v>
      </c>
      <c r="AO14" s="76">
        <f t="shared" si="9"/>
        <v>291.36041354787722</v>
      </c>
      <c r="AP14" s="76">
        <f t="shared" si="9"/>
        <v>275.6734199780509</v>
      </c>
      <c r="AQ14" s="76">
        <f t="shared" si="9"/>
        <v>268.3292317391747</v>
      </c>
      <c r="AR14" s="76">
        <f t="shared" si="9"/>
        <v>254.50594870260267</v>
      </c>
      <c r="AS14" s="76">
        <f t="shared" si="9"/>
        <v>233.97322605647537</v>
      </c>
      <c r="AT14" s="76">
        <f t="shared" si="9"/>
        <v>227.32832851722355</v>
      </c>
      <c r="AU14" s="76">
        <f t="shared" si="9"/>
        <v>207.07439406987808</v>
      </c>
      <c r="AV14" s="76">
        <f t="shared" si="9"/>
        <v>207.02642660554881</v>
      </c>
      <c r="AW14" s="76">
        <f t="shared" si="9"/>
        <v>193.58082593069227</v>
      </c>
      <c r="AX14" s="76">
        <f t="shared" si="9"/>
        <v>166.70240202044371</v>
      </c>
      <c r="AY14" s="76">
        <f t="shared" si="9"/>
        <v>166.51229163655992</v>
      </c>
      <c r="AZ14" s="76">
        <f t="shared" si="9"/>
        <v>139.40137297147547</v>
      </c>
      <c r="BA14" s="76">
        <f t="shared" si="9"/>
        <v>129.72380010494987</v>
      </c>
      <c r="BB14" s="76">
        <f t="shared" si="9"/>
        <v>120.04622723842428</v>
      </c>
      <c r="BC14" s="76">
        <f t="shared" si="9"/>
        <v>110.3686543718987</v>
      </c>
      <c r="BD14" s="76">
        <f t="shared" si="9"/>
        <v>100.69108150537311</v>
      </c>
      <c r="BE14" s="76">
        <f t="shared" si="9"/>
        <v>91.013508638847526</v>
      </c>
      <c r="BF14" s="76">
        <f t="shared" si="9"/>
        <v>85.509581323663411</v>
      </c>
      <c r="BG14" s="76">
        <f t="shared" si="9"/>
        <v>80.005654008479297</v>
      </c>
      <c r="BH14" s="76">
        <f t="shared" si="9"/>
        <v>74.501726693295169</v>
      </c>
      <c r="BI14" s="76">
        <f t="shared" si="9"/>
        <v>68.997799378111068</v>
      </c>
      <c r="BJ14" s="76">
        <f t="shared" si="9"/>
        <v>63.49387206292694</v>
      </c>
    </row>
    <row r="15" spans="1:62" s="386" customFormat="1">
      <c r="A15" s="72" t="s">
        <v>661</v>
      </c>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v>-2</v>
      </c>
      <c r="BA15" s="76">
        <f t="shared" ref="BA15" si="10">AZ15+(BE15-AZ15)*1/5</f>
        <v>-2.4</v>
      </c>
      <c r="BB15" s="76">
        <f t="shared" ref="BB15" si="11">AZ15+(BE15-AZ15)*2/5</f>
        <v>-2.8</v>
      </c>
      <c r="BC15" s="76">
        <f t="shared" ref="BC15" si="12">AZ15+(BE15-AZ15)*3/5</f>
        <v>-3.2</v>
      </c>
      <c r="BD15" s="76">
        <f t="shared" ref="BD15" si="13">AZ15+(BE15-AZ15)*4/5</f>
        <v>-3.6</v>
      </c>
      <c r="BE15" s="76">
        <v>-4</v>
      </c>
      <c r="BF15" s="76">
        <f t="shared" ref="BF15" si="14">BE15+(BJ15-BE15)*1/5</f>
        <v>-4.4000000000000004</v>
      </c>
      <c r="BG15" s="76">
        <f t="shared" ref="BG15" si="15">BE15+(BJ15-BE15)*2/5</f>
        <v>-4.8</v>
      </c>
      <c r="BH15" s="76">
        <f t="shared" ref="BH15" si="16">BE15+(BJ15-BE15)*3/5</f>
        <v>-5.2</v>
      </c>
      <c r="BI15" s="76">
        <f t="shared" ref="BI15" si="17">BE15+(BJ15-BE15)*4/5</f>
        <v>-5.6</v>
      </c>
      <c r="BJ15" s="76">
        <v>-6</v>
      </c>
    </row>
    <row r="16" spans="1:62">
      <c r="A16" s="74" t="s">
        <v>270</v>
      </c>
      <c r="B16" s="76">
        <f t="shared" ref="B16:AJ16" si="18">B14</f>
        <v>546.94450738918499</v>
      </c>
      <c r="C16" s="76">
        <f t="shared" si="18"/>
        <v>572.51425250572629</v>
      </c>
      <c r="D16" s="76">
        <f t="shared" si="18"/>
        <v>561.51753822039223</v>
      </c>
      <c r="E16" s="76">
        <f t="shared" si="18"/>
        <v>539.98975829451763</v>
      </c>
      <c r="F16" s="76">
        <f t="shared" si="18"/>
        <v>531.68812040467037</v>
      </c>
      <c r="G16" s="76">
        <f t="shared" si="18"/>
        <v>538.12274458551587</v>
      </c>
      <c r="H16" s="76">
        <f t="shared" si="18"/>
        <v>556.3594716735829</v>
      </c>
      <c r="I16" s="76">
        <f t="shared" si="18"/>
        <v>548.6328139950856</v>
      </c>
      <c r="J16" s="76">
        <f t="shared" si="18"/>
        <v>562.45409310925618</v>
      </c>
      <c r="K16" s="76">
        <f t="shared" si="18"/>
        <v>557.24218217396208</v>
      </c>
      <c r="L16" s="76">
        <f t="shared" si="18"/>
        <v>551.94672802595551</v>
      </c>
      <c r="M16" s="76">
        <f t="shared" si="18"/>
        <v>557.04209653883913</v>
      </c>
      <c r="N16" s="76">
        <f t="shared" si="18"/>
        <v>550.6164671720876</v>
      </c>
      <c r="O16" s="76">
        <f t="shared" si="18"/>
        <v>554.71151714390817</v>
      </c>
      <c r="P16" s="76">
        <f t="shared" si="18"/>
        <v>554.29509567022683</v>
      </c>
      <c r="Q16" s="76">
        <f t="shared" si="18"/>
        <v>555.5998782770863</v>
      </c>
      <c r="R16" s="76">
        <f t="shared" si="18"/>
        <v>544.94086856694037</v>
      </c>
      <c r="S16" s="76">
        <f t="shared" si="18"/>
        <v>535.20228820173418</v>
      </c>
      <c r="T16" s="76">
        <f t="shared" si="18"/>
        <v>530.26693615625413</v>
      </c>
      <c r="U16" s="76">
        <f t="shared" si="18"/>
        <v>509.16061132727043</v>
      </c>
      <c r="V16" s="76">
        <f t="shared" si="18"/>
        <v>513.05042591421852</v>
      </c>
      <c r="W16" s="76">
        <f t="shared" si="18"/>
        <v>488.00946039020738</v>
      </c>
      <c r="X16" s="76">
        <f t="shared" si="18"/>
        <v>490.67858747694453</v>
      </c>
      <c r="Y16" s="76">
        <f t="shared" si="18"/>
        <v>490.19657793542376</v>
      </c>
      <c r="Z16" s="76">
        <f t="shared" si="18"/>
        <v>457.40535255658915</v>
      </c>
      <c r="AA16" s="76">
        <f t="shared" si="18"/>
        <v>460.83546012569951</v>
      </c>
      <c r="AB16" s="76">
        <f t="shared" si="18"/>
        <v>463.71411864856054</v>
      </c>
      <c r="AC16" s="76">
        <f t="shared" si="18"/>
        <v>466.05572234230806</v>
      </c>
      <c r="AD16" s="76">
        <f t="shared" si="18"/>
        <v>446.53857430848507</v>
      </c>
      <c r="AE16" s="76">
        <f t="shared" si="18"/>
        <v>437.70851906846679</v>
      </c>
      <c r="AF16" s="76">
        <f t="shared" si="18"/>
        <v>397.95351623040312</v>
      </c>
      <c r="AG16" s="76">
        <f t="shared" si="18"/>
        <v>422.39239973938857</v>
      </c>
      <c r="AH16" s="76">
        <f t="shared" si="18"/>
        <v>405.786199354416</v>
      </c>
      <c r="AI16" s="76">
        <f t="shared" si="18"/>
        <v>378.22857523956128</v>
      </c>
      <c r="AJ16" s="76">
        <f t="shared" si="18"/>
        <v>367.01868107347099</v>
      </c>
      <c r="AK16" s="76">
        <f t="shared" ref="AK16:BJ16" si="19">AK14+AK36-AK35+AK84-AK83+AK15</f>
        <v>359.3976442202262</v>
      </c>
      <c r="AL16" s="76">
        <f t="shared" si="19"/>
        <v>348.44259316339935</v>
      </c>
      <c r="AM16" s="76">
        <f t="shared" si="19"/>
        <v>328.11190801086889</v>
      </c>
      <c r="AN16" s="76">
        <f t="shared" si="19"/>
        <v>308.11637058779485</v>
      </c>
      <c r="AO16" s="76">
        <f t="shared" si="19"/>
        <v>291.19299437041877</v>
      </c>
      <c r="AP16" s="76">
        <f t="shared" si="19"/>
        <v>275.33858162313396</v>
      </c>
      <c r="AQ16" s="76">
        <f t="shared" si="19"/>
        <v>267.90534078134607</v>
      </c>
      <c r="AR16" s="76">
        <f t="shared" si="19"/>
        <v>253.99300514186237</v>
      </c>
      <c r="AS16" s="76">
        <f t="shared" si="19"/>
        <v>233.37122989282346</v>
      </c>
      <c r="AT16" s="76">
        <f t="shared" si="19"/>
        <v>225.85547552404046</v>
      </c>
      <c r="AU16" s="76">
        <f t="shared" si="19"/>
        <v>204.73068424716382</v>
      </c>
      <c r="AV16" s="76">
        <f t="shared" si="19"/>
        <v>203.49795508599487</v>
      </c>
      <c r="AW16" s="76">
        <f t="shared" si="19"/>
        <v>188.86759271429867</v>
      </c>
      <c r="AX16" s="76">
        <f t="shared" si="19"/>
        <v>160.80440710721041</v>
      </c>
      <c r="AY16" s="76">
        <f t="shared" si="19"/>
        <v>158.88067115484949</v>
      </c>
      <c r="AZ16" s="76">
        <f t="shared" si="19"/>
        <v>128.03612692128792</v>
      </c>
      <c r="BA16" s="76">
        <f t="shared" si="19"/>
        <v>116.5041376370059</v>
      </c>
      <c r="BB16" s="76">
        <f t="shared" si="19"/>
        <v>104.97214835272389</v>
      </c>
      <c r="BC16" s="76">
        <f t="shared" si="19"/>
        <v>93.440159068441886</v>
      </c>
      <c r="BD16" s="76">
        <f t="shared" si="19"/>
        <v>81.908169784159895</v>
      </c>
      <c r="BE16" s="76">
        <f t="shared" si="19"/>
        <v>70.376180499877904</v>
      </c>
      <c r="BF16" s="76">
        <f t="shared" si="19"/>
        <v>64.505981870853105</v>
      </c>
      <c r="BG16" s="76">
        <f t="shared" si="19"/>
        <v>58.635783241828314</v>
      </c>
      <c r="BH16" s="76">
        <f t="shared" si="19"/>
        <v>52.765584612803494</v>
      </c>
      <c r="BI16" s="76">
        <f t="shared" si="19"/>
        <v>46.895385983778731</v>
      </c>
      <c r="BJ16" s="76">
        <f t="shared" si="19"/>
        <v>41.025187354753911</v>
      </c>
    </row>
    <row r="17" spans="1:62">
      <c r="A17" s="417" t="s">
        <v>271</v>
      </c>
      <c r="B17" s="70">
        <f>B216</f>
        <v>-39.270161648431021</v>
      </c>
      <c r="C17" s="70">
        <f t="shared" ref="C17:AJ17" si="20">C216</f>
        <v>-41.053210019593003</v>
      </c>
      <c r="D17" s="70">
        <f t="shared" si="20"/>
        <v>-41.03941456578282</v>
      </c>
      <c r="E17" s="70">
        <f t="shared" si="20"/>
        <v>-43.787620091156477</v>
      </c>
      <c r="F17" s="70">
        <f t="shared" si="20"/>
        <v>-41.644639008173392</v>
      </c>
      <c r="G17" s="70">
        <f t="shared" si="20"/>
        <v>-44.520014883031479</v>
      </c>
      <c r="H17" s="70">
        <f t="shared" si="20"/>
        <v>-50.09988119214259</v>
      </c>
      <c r="I17" s="70">
        <f t="shared" si="20"/>
        <v>-51.419878868223762</v>
      </c>
      <c r="J17" s="70">
        <f t="shared" si="20"/>
        <v>-53.640335565104401</v>
      </c>
      <c r="K17" s="70">
        <f t="shared" si="20"/>
        <v>-57.197976586092388</v>
      </c>
      <c r="L17" s="70">
        <f t="shared" si="20"/>
        <v>-44.083452220057602</v>
      </c>
      <c r="M17" s="70">
        <f t="shared" si="20"/>
        <v>-54.601076677497545</v>
      </c>
      <c r="N17" s="70">
        <f t="shared" si="20"/>
        <v>-61.932806023300955</v>
      </c>
      <c r="O17" s="70">
        <f t="shared" si="20"/>
        <v>-65.905081158954971</v>
      </c>
      <c r="P17" s="70">
        <f t="shared" si="20"/>
        <v>-68.638963755832648</v>
      </c>
      <c r="Q17" s="70">
        <f t="shared" si="20"/>
        <v>-68.610879121001943</v>
      </c>
      <c r="R17" s="70">
        <f t="shared" si="20"/>
        <v>-68.975106486548825</v>
      </c>
      <c r="S17" s="70">
        <f t="shared" si="20"/>
        <v>-68.270293608124334</v>
      </c>
      <c r="T17" s="70">
        <f t="shared" si="20"/>
        <v>-67.109227448155053</v>
      </c>
      <c r="U17" s="70">
        <f t="shared" si="20"/>
        <v>-57.770948926688973</v>
      </c>
      <c r="V17" s="70">
        <f t="shared" si="20"/>
        <v>-60.271763128852015</v>
      </c>
      <c r="W17" s="70">
        <f t="shared" si="20"/>
        <v>-60.585066198970466</v>
      </c>
      <c r="X17" s="70">
        <f t="shared" si="20"/>
        <v>-63.291838288593198</v>
      </c>
      <c r="Y17" s="70">
        <f t="shared" si="20"/>
        <v>-67.175994738555218</v>
      </c>
      <c r="Z17" s="70">
        <f t="shared" si="20"/>
        <v>-59.719554383638418</v>
      </c>
      <c r="AA17" s="70">
        <f t="shared" si="20"/>
        <v>-56.619577768250231</v>
      </c>
      <c r="AB17" s="70">
        <f t="shared" si="20"/>
        <v>-50.806892663712205</v>
      </c>
      <c r="AC17" s="70">
        <f t="shared" si="20"/>
        <v>-45.822270432446729</v>
      </c>
      <c r="AD17" s="70">
        <f t="shared" si="20"/>
        <v>-59.75265258529619</v>
      </c>
      <c r="AE17" s="70">
        <f t="shared" si="20"/>
        <v>-54.934902896483003</v>
      </c>
      <c r="AF17" s="70">
        <f t="shared" si="20"/>
        <v>-58.318163476379446</v>
      </c>
      <c r="AG17" s="70">
        <f t="shared" si="20"/>
        <v>-50.941383697468943</v>
      </c>
      <c r="AH17" s="70">
        <f t="shared" si="20"/>
        <v>-48.763582504549369</v>
      </c>
      <c r="AI17" s="70">
        <f t="shared" si="20"/>
        <v>-50.166280989161613</v>
      </c>
      <c r="AJ17" s="70">
        <f t="shared" si="20"/>
        <v>-51.956436582909788</v>
      </c>
      <c r="AK17" s="135">
        <f t="shared" ref="AK17:BI17" si="21">AK216</f>
        <v>-51.337304351736087</v>
      </c>
      <c r="AL17" s="135">
        <f t="shared" si="21"/>
        <v>-45.569451983889373</v>
      </c>
      <c r="AM17" s="135">
        <f t="shared" si="21"/>
        <v>-41.689000625670211</v>
      </c>
      <c r="AN17" s="135">
        <f t="shared" si="21"/>
        <v>-37.808549267451021</v>
      </c>
      <c r="AO17" s="135">
        <f t="shared" si="21"/>
        <v>-35.37408463524492</v>
      </c>
      <c r="AP17" s="135">
        <f t="shared" si="21"/>
        <v>-32.93962000303879</v>
      </c>
      <c r="AQ17" s="135">
        <f t="shared" si="21"/>
        <v>-32.848266740963567</v>
      </c>
      <c r="AR17" s="135">
        <f t="shared" si="21"/>
        <v>-32.756913478888336</v>
      </c>
      <c r="AS17" s="135">
        <f t="shared" si="21"/>
        <v>-32.665560216813098</v>
      </c>
      <c r="AT17" s="135">
        <f t="shared" si="21"/>
        <v>-32.512098570073398</v>
      </c>
      <c r="AU17" s="135">
        <f t="shared" si="21"/>
        <v>-32.358636923333698</v>
      </c>
      <c r="AV17" s="135">
        <f t="shared" si="21"/>
        <v>-31.516998092546913</v>
      </c>
      <c r="AW17" s="135">
        <f t="shared" si="21"/>
        <v>-30.675359261760132</v>
      </c>
      <c r="AX17" s="135">
        <f t="shared" si="21"/>
        <v>-29.833720430973351</v>
      </c>
      <c r="AY17" s="135">
        <f t="shared" si="21"/>
        <v>-29.80548106144224</v>
      </c>
      <c r="AZ17" s="135">
        <f t="shared" si="21"/>
        <v>-29.77724169191114</v>
      </c>
      <c r="BA17" s="135">
        <f t="shared" si="21"/>
        <v>-29.055008449515633</v>
      </c>
      <c r="BB17" s="135">
        <f t="shared" si="21"/>
        <v>-28.332775207120129</v>
      </c>
      <c r="BC17" s="135">
        <f t="shared" si="21"/>
        <v>-27.610541964724625</v>
      </c>
      <c r="BD17" s="135">
        <f t="shared" si="21"/>
        <v>-26.888308722329121</v>
      </c>
      <c r="BE17" s="135">
        <f t="shared" si="21"/>
        <v>-26.166075479933621</v>
      </c>
      <c r="BF17" s="135">
        <f t="shared" si="21"/>
        <v>-25.600257686919235</v>
      </c>
      <c r="BG17" s="135">
        <f t="shared" si="21"/>
        <v>-25.034439893904842</v>
      </c>
      <c r="BH17" s="135">
        <f t="shared" si="21"/>
        <v>-24.46862210089046</v>
      </c>
      <c r="BI17" s="135">
        <f t="shared" si="21"/>
        <v>-23.902804307876071</v>
      </c>
      <c r="BJ17" s="135">
        <f>BJ216</f>
        <v>-23.336986514861692</v>
      </c>
    </row>
    <row r="18" spans="1:62">
      <c r="A18" s="74" t="s">
        <v>273</v>
      </c>
      <c r="B18" s="76">
        <f t="shared" ref="B18:AJ18" si="22">B16+B17</f>
        <v>507.67434574075395</v>
      </c>
      <c r="C18" s="76">
        <f t="shared" si="22"/>
        <v>531.46104248613324</v>
      </c>
      <c r="D18" s="76">
        <f t="shared" si="22"/>
        <v>520.47812365460936</v>
      </c>
      <c r="E18" s="76">
        <f t="shared" si="22"/>
        <v>496.20213820336113</v>
      </c>
      <c r="F18" s="76">
        <f t="shared" si="22"/>
        <v>490.04348139649699</v>
      </c>
      <c r="G18" s="76">
        <f t="shared" si="22"/>
        <v>493.6027297024844</v>
      </c>
      <c r="H18" s="76">
        <f t="shared" si="22"/>
        <v>506.25959048144034</v>
      </c>
      <c r="I18" s="76">
        <f t="shared" si="22"/>
        <v>497.21293512686185</v>
      </c>
      <c r="J18" s="76">
        <f t="shared" si="22"/>
        <v>508.81375754415177</v>
      </c>
      <c r="K18" s="76">
        <f t="shared" si="22"/>
        <v>500.04420558786967</v>
      </c>
      <c r="L18" s="76">
        <f t="shared" si="22"/>
        <v>507.8632758058979</v>
      </c>
      <c r="M18" s="76">
        <f t="shared" si="22"/>
        <v>502.4410198613416</v>
      </c>
      <c r="N18" s="76">
        <f t="shared" si="22"/>
        <v>488.68366114878665</v>
      </c>
      <c r="O18" s="76">
        <f t="shared" si="22"/>
        <v>488.80643598495317</v>
      </c>
      <c r="P18" s="76">
        <f t="shared" si="22"/>
        <v>485.65613191439417</v>
      </c>
      <c r="Q18" s="76">
        <f t="shared" si="22"/>
        <v>486.98899915608433</v>
      </c>
      <c r="R18" s="76">
        <f t="shared" si="22"/>
        <v>475.96576208039153</v>
      </c>
      <c r="S18" s="76">
        <f t="shared" si="22"/>
        <v>466.93199459360983</v>
      </c>
      <c r="T18" s="76">
        <f t="shared" si="22"/>
        <v>463.15770870809911</v>
      </c>
      <c r="U18" s="76">
        <f t="shared" si="22"/>
        <v>451.38966240058147</v>
      </c>
      <c r="V18" s="76">
        <f t="shared" si="22"/>
        <v>452.77866278536652</v>
      </c>
      <c r="W18" s="76">
        <f t="shared" si="22"/>
        <v>427.4243941912369</v>
      </c>
      <c r="X18" s="76">
        <f t="shared" si="22"/>
        <v>427.38674918835136</v>
      </c>
      <c r="Y18" s="76">
        <f t="shared" si="22"/>
        <v>423.02058319686853</v>
      </c>
      <c r="Z18" s="76">
        <f t="shared" si="22"/>
        <v>397.68579817295074</v>
      </c>
      <c r="AA18" s="76">
        <f t="shared" si="22"/>
        <v>404.21588235744929</v>
      </c>
      <c r="AB18" s="76">
        <f t="shared" si="22"/>
        <v>412.90722598484831</v>
      </c>
      <c r="AC18" s="76">
        <f t="shared" si="22"/>
        <v>420.23345190986134</v>
      </c>
      <c r="AD18" s="76">
        <f t="shared" si="22"/>
        <v>386.78592172318889</v>
      </c>
      <c r="AE18" s="76">
        <f t="shared" si="22"/>
        <v>382.7736161719838</v>
      </c>
      <c r="AF18" s="76">
        <f t="shared" si="22"/>
        <v>339.6353527540237</v>
      </c>
      <c r="AG18" s="76">
        <f t="shared" si="22"/>
        <v>371.45101604191962</v>
      </c>
      <c r="AH18" s="76">
        <f t="shared" si="22"/>
        <v>357.02261684986661</v>
      </c>
      <c r="AI18" s="76">
        <f t="shared" si="22"/>
        <v>328.06229425039965</v>
      </c>
      <c r="AJ18" s="76">
        <f t="shared" si="22"/>
        <v>315.06224449056117</v>
      </c>
      <c r="AK18" s="76">
        <f t="shared" ref="AK18:BJ18" si="23">AK17+AK16</f>
        <v>308.06033986849013</v>
      </c>
      <c r="AL18" s="76">
        <f t="shared" si="23"/>
        <v>302.87314117950996</v>
      </c>
      <c r="AM18" s="76">
        <f t="shared" si="23"/>
        <v>286.4229073851987</v>
      </c>
      <c r="AN18" s="76">
        <f t="shared" si="23"/>
        <v>270.30782132034381</v>
      </c>
      <c r="AO18" s="76">
        <f t="shared" si="23"/>
        <v>255.81890973517386</v>
      </c>
      <c r="AP18" s="76">
        <f t="shared" si="23"/>
        <v>242.39896162009518</v>
      </c>
      <c r="AQ18" s="76">
        <f t="shared" si="23"/>
        <v>235.0570740403825</v>
      </c>
      <c r="AR18" s="76">
        <f t="shared" si="23"/>
        <v>221.23609166297405</v>
      </c>
      <c r="AS18" s="76">
        <f t="shared" si="23"/>
        <v>200.70566967601036</v>
      </c>
      <c r="AT18" s="76">
        <f t="shared" si="23"/>
        <v>193.34337695396707</v>
      </c>
      <c r="AU18" s="76">
        <f t="shared" si="23"/>
        <v>172.37204732383012</v>
      </c>
      <c r="AV18" s="76">
        <f t="shared" si="23"/>
        <v>171.98095699344796</v>
      </c>
      <c r="AW18" s="76">
        <f t="shared" si="23"/>
        <v>158.19223345253855</v>
      </c>
      <c r="AX18" s="76">
        <f t="shared" si="23"/>
        <v>130.97068667623705</v>
      </c>
      <c r="AY18" s="76">
        <f t="shared" si="23"/>
        <v>129.07519009340726</v>
      </c>
      <c r="AZ18" s="76">
        <f t="shared" si="23"/>
        <v>98.258885229376773</v>
      </c>
      <c r="BA18" s="76">
        <f t="shared" si="23"/>
        <v>87.449129187490257</v>
      </c>
      <c r="BB18" s="76">
        <f t="shared" si="23"/>
        <v>76.63937314560377</v>
      </c>
      <c r="BC18" s="76">
        <f t="shared" si="23"/>
        <v>65.829617103717254</v>
      </c>
      <c r="BD18" s="76">
        <f t="shared" si="23"/>
        <v>55.019861061830774</v>
      </c>
      <c r="BE18" s="76">
        <f t="shared" si="23"/>
        <v>44.21010501994428</v>
      </c>
      <c r="BF18" s="76">
        <f t="shared" si="23"/>
        <v>38.90572418393387</v>
      </c>
      <c r="BG18" s="76">
        <f t="shared" si="23"/>
        <v>33.601343347923475</v>
      </c>
      <c r="BH18" s="76">
        <f t="shared" si="23"/>
        <v>28.296962511913033</v>
      </c>
      <c r="BI18" s="76">
        <f t="shared" si="23"/>
        <v>22.99258167590266</v>
      </c>
      <c r="BJ18" s="76">
        <f t="shared" si="23"/>
        <v>17.688200839892218</v>
      </c>
    </row>
    <row r="19" spans="1:62">
      <c r="A19" s="77"/>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7"/>
    </row>
    <row r="20" spans="1:62">
      <c r="A20" s="77"/>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9"/>
      <c r="AE20" s="77"/>
      <c r="AF20" s="77"/>
      <c r="AG20" s="77"/>
      <c r="AH20" s="77"/>
    </row>
    <row r="21" spans="1:62" ht="18">
      <c r="A21" s="64" t="s">
        <v>275</v>
      </c>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504" t="s">
        <v>262</v>
      </c>
      <c r="AL21" s="504"/>
      <c r="AM21" s="504"/>
      <c r="AN21" s="504"/>
      <c r="AO21" s="504"/>
      <c r="AP21" s="504"/>
      <c r="AQ21" s="504"/>
      <c r="AR21" s="504"/>
      <c r="AS21" s="504"/>
      <c r="AT21" s="504"/>
      <c r="AU21" s="504"/>
      <c r="AV21" s="504"/>
      <c r="AW21" s="504"/>
      <c r="AX21" s="504"/>
      <c r="AY21" s="504"/>
      <c r="AZ21" s="504"/>
      <c r="BA21" s="504"/>
      <c r="BB21" s="504"/>
      <c r="BC21" s="504"/>
      <c r="BD21" s="504"/>
      <c r="BE21" s="504"/>
      <c r="BF21" s="504"/>
      <c r="BG21" s="504"/>
      <c r="BH21" s="504"/>
      <c r="BI21" s="504"/>
      <c r="BJ21" s="504"/>
    </row>
    <row r="22" spans="1:62">
      <c r="A22" s="77"/>
      <c r="B22" s="77"/>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row>
    <row r="23" spans="1:62">
      <c r="A23" s="80" t="s">
        <v>264</v>
      </c>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503" t="s">
        <v>262</v>
      </c>
      <c r="AL23" s="503"/>
      <c r="AM23" s="503"/>
      <c r="AN23" s="503"/>
      <c r="AO23" s="503"/>
      <c r="AP23" s="503"/>
      <c r="AQ23" s="503"/>
      <c r="AR23" s="503"/>
      <c r="AS23" s="503"/>
      <c r="AT23" s="503"/>
      <c r="AU23" s="503"/>
      <c r="AV23" s="503"/>
      <c r="AW23" s="503"/>
      <c r="AX23" s="503"/>
      <c r="AY23" s="503"/>
      <c r="AZ23" s="503"/>
      <c r="BA23" s="503"/>
      <c r="BB23" s="503"/>
      <c r="BC23" s="503"/>
      <c r="BD23" s="503"/>
      <c r="BE23" s="503"/>
      <c r="BF23" s="503"/>
      <c r="BG23" s="503"/>
      <c r="BH23" s="503"/>
      <c r="BI23" s="503"/>
      <c r="BJ23" s="503"/>
    </row>
    <row r="24" spans="1:62" ht="26.4">
      <c r="A24" s="380" t="s">
        <v>263</v>
      </c>
      <c r="B24" s="67">
        <v>1990</v>
      </c>
      <c r="C24" s="67">
        <v>1991</v>
      </c>
      <c r="D24" s="67">
        <v>1992</v>
      </c>
      <c r="E24" s="67">
        <v>1993</v>
      </c>
      <c r="F24" s="67">
        <v>1994</v>
      </c>
      <c r="G24" s="67">
        <v>1995</v>
      </c>
      <c r="H24" s="67">
        <v>1996</v>
      </c>
      <c r="I24" s="67">
        <v>1997</v>
      </c>
      <c r="J24" s="67">
        <v>1998</v>
      </c>
      <c r="K24" s="67">
        <v>1999</v>
      </c>
      <c r="L24" s="67">
        <v>2000</v>
      </c>
      <c r="M24" s="67">
        <v>2001</v>
      </c>
      <c r="N24" s="67">
        <v>2002</v>
      </c>
      <c r="O24" s="67">
        <v>2003</v>
      </c>
      <c r="P24" s="67">
        <v>2004</v>
      </c>
      <c r="Q24" s="67">
        <v>2005</v>
      </c>
      <c r="R24" s="67">
        <v>2006</v>
      </c>
      <c r="S24" s="67">
        <v>2007</v>
      </c>
      <c r="T24" s="67">
        <v>2008</v>
      </c>
      <c r="U24" s="67">
        <v>2009</v>
      </c>
      <c r="V24" s="67">
        <v>2010</v>
      </c>
      <c r="W24" s="67">
        <v>2011</v>
      </c>
      <c r="X24" s="67">
        <v>2012</v>
      </c>
      <c r="Y24" s="67">
        <v>2013</v>
      </c>
      <c r="Z24" s="67">
        <v>2014</v>
      </c>
      <c r="AA24" s="67">
        <v>2015</v>
      </c>
      <c r="AB24" s="67">
        <v>2016</v>
      </c>
      <c r="AC24" s="67">
        <v>2017</v>
      </c>
      <c r="AD24" s="67">
        <v>2018</v>
      </c>
      <c r="AE24" s="67">
        <v>2019</v>
      </c>
      <c r="AF24" s="68">
        <v>2020</v>
      </c>
      <c r="AG24" s="68">
        <v>2021</v>
      </c>
      <c r="AH24" s="68">
        <v>2022</v>
      </c>
      <c r="AI24" s="67">
        <v>2023</v>
      </c>
      <c r="AJ24" s="67">
        <v>2024</v>
      </c>
      <c r="AK24" s="67">
        <v>2025</v>
      </c>
      <c r="AL24" s="67">
        <v>2026</v>
      </c>
      <c r="AM24" s="142">
        <v>2027</v>
      </c>
      <c r="AN24" s="67">
        <v>2028</v>
      </c>
      <c r="AO24" s="142">
        <v>2029</v>
      </c>
      <c r="AP24" s="67">
        <v>2030</v>
      </c>
      <c r="AQ24" s="142">
        <v>2031</v>
      </c>
      <c r="AR24" s="142">
        <v>2032</v>
      </c>
      <c r="AS24" s="67">
        <v>2033</v>
      </c>
      <c r="AT24" s="142">
        <v>2034</v>
      </c>
      <c r="AU24" s="67">
        <v>2035</v>
      </c>
      <c r="AV24" s="142">
        <v>2036</v>
      </c>
      <c r="AW24" s="142">
        <v>2037</v>
      </c>
      <c r="AX24" s="67">
        <v>2038</v>
      </c>
      <c r="AY24" s="142">
        <v>2039</v>
      </c>
      <c r="AZ24" s="67">
        <v>2040</v>
      </c>
      <c r="BA24" s="142">
        <v>2041</v>
      </c>
      <c r="BB24" s="142">
        <v>2042</v>
      </c>
      <c r="BC24" s="142">
        <v>2043</v>
      </c>
      <c r="BD24" s="142">
        <v>2044</v>
      </c>
      <c r="BE24" s="67">
        <v>2045</v>
      </c>
      <c r="BF24" s="142">
        <v>2046</v>
      </c>
      <c r="BG24" s="142">
        <v>2047</v>
      </c>
      <c r="BH24" s="142">
        <v>2048</v>
      </c>
      <c r="BI24" s="142">
        <v>2049</v>
      </c>
      <c r="BJ24" s="67">
        <v>2050</v>
      </c>
    </row>
    <row r="25" spans="1:62">
      <c r="A25" s="82" t="s">
        <v>74</v>
      </c>
      <c r="B25" s="83">
        <v>41.3469461629645</v>
      </c>
      <c r="C25" s="83">
        <v>41.474479802490308</v>
      </c>
      <c r="D25" s="83">
        <v>42.407397668867794</v>
      </c>
      <c r="E25" s="83">
        <v>30.137713161636945</v>
      </c>
      <c r="F25" s="83">
        <v>26.625556531795763</v>
      </c>
      <c r="G25" s="83">
        <v>29.233995020741482</v>
      </c>
      <c r="H25" s="83">
        <v>32.618410382428934</v>
      </c>
      <c r="I25" s="83">
        <v>28.734302357639823</v>
      </c>
      <c r="J25" s="83">
        <v>41.296127926712337</v>
      </c>
      <c r="K25" s="83">
        <v>34.935554549522415</v>
      </c>
      <c r="L25" s="83">
        <v>34.446380275688142</v>
      </c>
      <c r="M25" s="83">
        <v>27.671699688454563</v>
      </c>
      <c r="N25" s="83">
        <v>31.416703640172024</v>
      </c>
      <c r="O25" s="83">
        <v>34.477274459520174</v>
      </c>
      <c r="P25" s="83">
        <v>32.90302714486203</v>
      </c>
      <c r="Q25" s="83">
        <v>38.697940336616327</v>
      </c>
      <c r="R25" s="83">
        <v>34.406485904808889</v>
      </c>
      <c r="S25" s="83">
        <v>34.775052150208587</v>
      </c>
      <c r="T25" s="83">
        <v>33.767202204790458</v>
      </c>
      <c r="U25" s="83">
        <v>33.255898227201378</v>
      </c>
      <c r="V25" s="83">
        <v>34.481544666783577</v>
      </c>
      <c r="W25" s="83">
        <v>27.665208235079948</v>
      </c>
      <c r="X25" s="83">
        <v>30.555704169844464</v>
      </c>
      <c r="Y25" s="83">
        <v>30.693028170040595</v>
      </c>
      <c r="Z25" s="83">
        <v>19.133079332617413</v>
      </c>
      <c r="AA25" s="83">
        <v>21.38973452538324</v>
      </c>
      <c r="AB25" s="83">
        <v>24.955786819768306</v>
      </c>
      <c r="AC25" s="83">
        <v>29.244366928380444</v>
      </c>
      <c r="AD25" s="83">
        <v>21.223218378025599</v>
      </c>
      <c r="AE25" s="83">
        <v>19.932334844671963</v>
      </c>
      <c r="AF25" s="83">
        <v>17.674498507630027</v>
      </c>
      <c r="AG25" s="83">
        <v>19.815952178360035</v>
      </c>
      <c r="AH25" s="83">
        <v>21.876715120993367</v>
      </c>
      <c r="AI25" s="83">
        <v>14.017594053572905</v>
      </c>
      <c r="AJ25" s="382">
        <v>9.7087582935093888</v>
      </c>
      <c r="AK25" s="383">
        <v>9.7320603812507525</v>
      </c>
      <c r="AL25" s="382">
        <v>9.2289883982941472</v>
      </c>
      <c r="AM25" s="382">
        <f>(AL25+AN25)/2</f>
        <v>8.2755015931116702</v>
      </c>
      <c r="AN25" s="383">
        <v>7.322014787929195</v>
      </c>
      <c r="AO25" s="382">
        <f>AN25+(AP25-AN25)/2</f>
        <v>6.4257588325057089</v>
      </c>
      <c r="AP25" s="383">
        <v>5.5295028770822228</v>
      </c>
      <c r="AQ25" s="382">
        <f>AP25+(AS25-AP25)/3</f>
        <v>5.4028292061888505</v>
      </c>
      <c r="AR25" s="382">
        <f>AP25+(AS25-AP25)*2/3</f>
        <v>5.2761555352954792</v>
      </c>
      <c r="AS25" s="383">
        <v>5.149481864402107</v>
      </c>
      <c r="AT25" s="382">
        <f>AS25+(AU25-AS25)/2</f>
        <v>5.0256568814376585</v>
      </c>
      <c r="AU25" s="383">
        <v>4.901831898473211</v>
      </c>
      <c r="AV25" s="382">
        <f>AU25+(AX25-AU25)/3</f>
        <v>4.2454675930484633</v>
      </c>
      <c r="AW25" s="382">
        <f>AU25+(AX25-AU25)*2/3</f>
        <v>3.5891032876237157</v>
      </c>
      <c r="AX25" s="383">
        <v>2.932738982198968</v>
      </c>
      <c r="AY25" s="382">
        <f>AX25+(AZ25-AX25)/2</f>
        <v>2.4244172861264923</v>
      </c>
      <c r="AZ25" s="383">
        <v>1.9160955900540164</v>
      </c>
      <c r="BA25" s="384">
        <f t="shared" ref="BA25:BA33" si="24">AZ25+(BE25-AZ25)*1/5</f>
        <v>1.7192415631514644</v>
      </c>
      <c r="BB25" s="384">
        <f t="shared" ref="BB25:BB33" si="25">AZ25+(BE25-AZ25)*2/5</f>
        <v>1.5223875362489125</v>
      </c>
      <c r="BC25" s="384">
        <f t="shared" ref="BC25:BC33" si="26">AZ25+(BE25-AZ25)*3/5</f>
        <v>1.3255335093463607</v>
      </c>
      <c r="BD25" s="384">
        <f t="shared" ref="BD25:BD33" si="27">AZ25+(BE25-AZ25)*4/5</f>
        <v>1.1286794824438087</v>
      </c>
      <c r="BE25" s="383">
        <v>0.93182545554125673</v>
      </c>
      <c r="BF25" s="384">
        <f t="shared" ref="BF25:BF33" si="28">BE25+(BJ25-BE25)*1/5</f>
        <v>0.76015940886925404</v>
      </c>
      <c r="BG25" s="384">
        <f t="shared" ref="BG25:BG33" si="29">BE25+(BJ25-BE25)*2/5</f>
        <v>0.58849336219725124</v>
      </c>
      <c r="BH25" s="384">
        <f t="shared" ref="BH25:BH33" si="30">BE25+(BJ25-BE25)*3/5</f>
        <v>0.41682731552524843</v>
      </c>
      <c r="BI25" s="384">
        <f t="shared" ref="BI25:BI33" si="31">BE25+(BJ25-BE25)*4/5</f>
        <v>0.24516126885324574</v>
      </c>
      <c r="BJ25" s="383">
        <v>7.3495222181242922E-2</v>
      </c>
    </row>
    <row r="26" spans="1:62">
      <c r="A26" s="82" t="s">
        <v>76</v>
      </c>
      <c r="B26" s="83">
        <v>6.016436647195909</v>
      </c>
      <c r="C26" s="83">
        <v>6.7384428309291797</v>
      </c>
      <c r="D26" s="83">
        <v>6.6018161432681168</v>
      </c>
      <c r="E26" s="83">
        <v>6.5745559590520184</v>
      </c>
      <c r="F26" s="83">
        <v>6.1766778819488559</v>
      </c>
      <c r="G26" s="83">
        <v>6.1553500720360557</v>
      </c>
      <c r="H26" s="83">
        <v>6.9534242421204198</v>
      </c>
      <c r="I26" s="83">
        <v>6.5448552914322242</v>
      </c>
      <c r="J26" s="83">
        <v>6.5547992592489299</v>
      </c>
      <c r="K26" s="83">
        <v>6.4294057297790053</v>
      </c>
      <c r="L26" s="83">
        <v>6.4155101620799488</v>
      </c>
      <c r="M26" s="83">
        <v>6.5350888872521482</v>
      </c>
      <c r="N26" s="83">
        <v>6.6148888200284217</v>
      </c>
      <c r="O26" s="83">
        <v>6.797693259815528</v>
      </c>
      <c r="P26" s="83">
        <v>6.9410602560634977</v>
      </c>
      <c r="Q26" s="83">
        <v>6.7764294099821436</v>
      </c>
      <c r="R26" s="83">
        <v>6.878352814831171</v>
      </c>
      <c r="S26" s="83">
        <v>6.4380788780840223</v>
      </c>
      <c r="T26" s="83">
        <v>6.6370119662147022</v>
      </c>
      <c r="U26" s="83">
        <v>5.9725161825394073</v>
      </c>
      <c r="V26" s="83">
        <v>6.4756642124109902</v>
      </c>
      <c r="W26" s="83">
        <v>8.1233078720521075</v>
      </c>
      <c r="X26" s="83">
        <v>9.4686047783250427</v>
      </c>
      <c r="Y26" s="83">
        <v>7.7924481492607249</v>
      </c>
      <c r="Z26" s="83">
        <v>5.6679584563289493</v>
      </c>
      <c r="AA26" s="83">
        <v>6.5028751036076295</v>
      </c>
      <c r="AB26" s="83">
        <v>6.6402726992302616</v>
      </c>
      <c r="AC26" s="83">
        <v>6.5920427389756533</v>
      </c>
      <c r="AD26" s="83">
        <v>5.7609796638029778</v>
      </c>
      <c r="AE26" s="83">
        <v>5.698075944751718</v>
      </c>
      <c r="AF26" s="83">
        <v>5.3449687224474705</v>
      </c>
      <c r="AG26" s="83">
        <v>5.9934826222932278</v>
      </c>
      <c r="AH26" s="83">
        <v>5.269696079710724</v>
      </c>
      <c r="AI26" s="83">
        <v>5.0840824976987831</v>
      </c>
      <c r="AJ26" s="382">
        <v>4.6089377197070123</v>
      </c>
      <c r="AK26" s="383">
        <v>4.5101861869156332</v>
      </c>
      <c r="AL26" s="382">
        <v>4.3633029669722152</v>
      </c>
      <c r="AM26" s="382">
        <f t="shared" ref="AM26:AM33" si="32">(AL26+AN26)/2</f>
        <v>4.6632016643821093</v>
      </c>
      <c r="AN26" s="383">
        <v>4.9631003617920024</v>
      </c>
      <c r="AO26" s="382">
        <f t="shared" ref="AO26:AO33" si="33">AN26+(AP26-AN26)/2</f>
        <v>5.1676483259130421</v>
      </c>
      <c r="AP26" s="383">
        <v>5.3721962900340809</v>
      </c>
      <c r="AQ26" s="382">
        <f t="shared" ref="AQ26:AQ33" si="34">AP26+(AS26-AP26)/3</f>
        <v>5.3398503576791168</v>
      </c>
      <c r="AR26" s="382">
        <f t="shared" ref="AR26:AR33" si="35">AP26+(AS26-AP26)*2/3</f>
        <v>5.3075044253241526</v>
      </c>
      <c r="AS26" s="383">
        <v>5.2751584929691884</v>
      </c>
      <c r="AT26" s="382">
        <f t="shared" ref="AT26:AT33" si="36">AS26+(AU26-AS26)/2</f>
        <v>5.2209459290518687</v>
      </c>
      <c r="AU26" s="383">
        <v>5.1667333651345482</v>
      </c>
      <c r="AV26" s="382">
        <f t="shared" ref="AV26:AV33" si="37">AU26+(AX26-AU26)/3</f>
        <v>4.8138284152504367</v>
      </c>
      <c r="AW26" s="382">
        <f t="shared" ref="AW26:AW33" si="38">AU26+(AX26-AU26)*2/3</f>
        <v>4.4609234653663261</v>
      </c>
      <c r="AX26" s="383">
        <v>4.1080185154822146</v>
      </c>
      <c r="AY26" s="382">
        <f t="shared" ref="AY26:AY33" si="39">AX26+(AZ26-AX26)/2</f>
        <v>3.7878559151599918</v>
      </c>
      <c r="AZ26" s="383">
        <v>3.4676933148377693</v>
      </c>
      <c r="BA26" s="384">
        <f t="shared" si="24"/>
        <v>3.1887974729174173</v>
      </c>
      <c r="BB26" s="384">
        <f t="shared" si="25"/>
        <v>2.9099016309970658</v>
      </c>
      <c r="BC26" s="384">
        <f t="shared" si="26"/>
        <v>2.6310057890767133</v>
      </c>
      <c r="BD26" s="384">
        <f t="shared" si="27"/>
        <v>2.3521099471563618</v>
      </c>
      <c r="BE26" s="383">
        <v>2.0732141052360098</v>
      </c>
      <c r="BF26" s="384">
        <f t="shared" si="28"/>
        <v>1.7027886829007559</v>
      </c>
      <c r="BG26" s="384">
        <f t="shared" si="29"/>
        <v>1.332363260565502</v>
      </c>
      <c r="BH26" s="384">
        <f t="shared" si="30"/>
        <v>0.96193783823024792</v>
      </c>
      <c r="BI26" s="384">
        <f t="shared" si="31"/>
        <v>0.59151241589499404</v>
      </c>
      <c r="BJ26" s="383">
        <v>0.22108699355974021</v>
      </c>
    </row>
    <row r="27" spans="1:62">
      <c r="A27" s="82" t="s">
        <v>78</v>
      </c>
      <c r="B27" s="83">
        <v>15.248512459535378</v>
      </c>
      <c r="C27" s="83">
        <v>15.526702313683574</v>
      </c>
      <c r="D27" s="83">
        <v>15.694444780680183</v>
      </c>
      <c r="E27" s="83">
        <v>15.686581066950794</v>
      </c>
      <c r="F27" s="83">
        <v>16.391352680945719</v>
      </c>
      <c r="G27" s="83">
        <v>16.541438771011006</v>
      </c>
      <c r="H27" s="83">
        <v>17.338011313594819</v>
      </c>
      <c r="I27" s="83">
        <v>18.146565943781759</v>
      </c>
      <c r="J27" s="83">
        <v>17.923941018206349</v>
      </c>
      <c r="K27" s="83">
        <v>17.178293708039597</v>
      </c>
      <c r="L27" s="83">
        <v>17.212042036792539</v>
      </c>
      <c r="M27" s="83">
        <v>17.30729198879666</v>
      </c>
      <c r="N27" s="83">
        <v>16.429206915027283</v>
      </c>
      <c r="O27" s="83">
        <v>16.39561421676445</v>
      </c>
      <c r="P27" s="83">
        <v>16.806950497897887</v>
      </c>
      <c r="Q27" s="83">
        <v>16.914856434624983</v>
      </c>
      <c r="R27" s="83">
        <v>17.34838525962596</v>
      </c>
      <c r="S27" s="83">
        <v>17.504150584126421</v>
      </c>
      <c r="T27" s="83">
        <v>17.596061896610657</v>
      </c>
      <c r="U27" s="83">
        <v>16.643819879968266</v>
      </c>
      <c r="V27" s="83">
        <v>14.783561225598566</v>
      </c>
      <c r="W27" s="83">
        <v>14.30742185049224</v>
      </c>
      <c r="X27" s="83">
        <v>11.717659323425524</v>
      </c>
      <c r="Y27" s="83">
        <v>10.945413156029613</v>
      </c>
      <c r="Z27" s="83">
        <v>10.884490559937237</v>
      </c>
      <c r="AA27" s="83">
        <v>10.464115790429949</v>
      </c>
      <c r="AB27" s="83">
        <v>10.193521089662992</v>
      </c>
      <c r="AC27" s="83">
        <v>9.603999786622353</v>
      </c>
      <c r="AD27" s="83">
        <v>9.0953155372097552</v>
      </c>
      <c r="AE27" s="83">
        <v>8.708580521774735</v>
      </c>
      <c r="AF27" s="83">
        <v>7.1803520824334299</v>
      </c>
      <c r="AG27" s="83">
        <v>6.5126458946549848</v>
      </c>
      <c r="AH27" s="83">
        <v>6.7419620697575899</v>
      </c>
      <c r="AI27" s="83">
        <v>7.1151809610308208</v>
      </c>
      <c r="AJ27" s="382">
        <v>6.9069384482554979</v>
      </c>
      <c r="AK27" s="383">
        <v>7.0909423164692473</v>
      </c>
      <c r="AL27" s="382">
        <v>6.8007745667209294</v>
      </c>
      <c r="AM27" s="382">
        <f t="shared" si="32"/>
        <v>6.1927183757526123</v>
      </c>
      <c r="AN27" s="383">
        <v>5.5846621847842952</v>
      </c>
      <c r="AO27" s="382">
        <f t="shared" si="33"/>
        <v>5.2904806852348569</v>
      </c>
      <c r="AP27" s="383">
        <v>4.9962991856854186</v>
      </c>
      <c r="AQ27" s="382">
        <f t="shared" si="34"/>
        <v>4.7880079605902823</v>
      </c>
      <c r="AR27" s="382">
        <f t="shared" si="35"/>
        <v>4.5797167354951451</v>
      </c>
      <c r="AS27" s="383">
        <v>4.3714255104000088</v>
      </c>
      <c r="AT27" s="382">
        <f t="shared" si="36"/>
        <v>4.1662356302685666</v>
      </c>
      <c r="AU27" s="383">
        <v>3.9610457501371235</v>
      </c>
      <c r="AV27" s="382">
        <f t="shared" si="37"/>
        <v>3.7755148484208769</v>
      </c>
      <c r="AW27" s="382">
        <f t="shared" si="38"/>
        <v>3.5899839467046304</v>
      </c>
      <c r="AX27" s="383">
        <v>3.4044530449883839</v>
      </c>
      <c r="AY27" s="382">
        <f t="shared" si="39"/>
        <v>3.2204868883743312</v>
      </c>
      <c r="AZ27" s="383">
        <v>3.0365207317602785</v>
      </c>
      <c r="BA27" s="384">
        <f t="shared" si="24"/>
        <v>2.859203140950175</v>
      </c>
      <c r="BB27" s="384">
        <f t="shared" si="25"/>
        <v>2.681885550140072</v>
      </c>
      <c r="BC27" s="384">
        <f t="shared" si="26"/>
        <v>2.5045679593299686</v>
      </c>
      <c r="BD27" s="384">
        <f t="shared" si="27"/>
        <v>2.3272503685198656</v>
      </c>
      <c r="BE27" s="383">
        <v>2.1499327777097621</v>
      </c>
      <c r="BF27" s="384">
        <f t="shared" si="28"/>
        <v>1.9727796249908522</v>
      </c>
      <c r="BG27" s="384">
        <f t="shared" si="29"/>
        <v>1.7956264722719422</v>
      </c>
      <c r="BH27" s="384">
        <f t="shared" si="30"/>
        <v>1.6184733195530323</v>
      </c>
      <c r="BI27" s="384">
        <f t="shared" si="31"/>
        <v>1.4413201668341222</v>
      </c>
      <c r="BJ27" s="383">
        <v>1.2641670141152124</v>
      </c>
    </row>
    <row r="28" spans="1:62">
      <c r="A28" s="82" t="s">
        <v>80</v>
      </c>
      <c r="B28" s="83">
        <v>4.1799220014695919</v>
      </c>
      <c r="C28" s="83">
        <v>4.1940922376604801</v>
      </c>
      <c r="D28" s="83">
        <v>4.2145073996223577</v>
      </c>
      <c r="E28" s="83">
        <v>3.8267267954090842</v>
      </c>
      <c r="F28" s="83">
        <v>3.7317029505192787</v>
      </c>
      <c r="G28" s="83">
        <v>3.7585639872550258</v>
      </c>
      <c r="H28" s="83">
        <v>3.69045473530268</v>
      </c>
      <c r="I28" s="83">
        <v>3.5517260051443329</v>
      </c>
      <c r="J28" s="83">
        <v>3.8839904103028258</v>
      </c>
      <c r="K28" s="83">
        <v>3.9433478665678119</v>
      </c>
      <c r="L28" s="83">
        <v>3.885644816847805</v>
      </c>
      <c r="M28" s="83">
        <v>3.7251944915153508</v>
      </c>
      <c r="N28" s="83">
        <v>3.5981460647957784</v>
      </c>
      <c r="O28" s="83">
        <v>3.5835493060777948</v>
      </c>
      <c r="P28" s="83">
        <v>3.4060173497116666</v>
      </c>
      <c r="Q28" s="83">
        <v>3.19110441529656</v>
      </c>
      <c r="R28" s="83">
        <v>3.1724010600584798</v>
      </c>
      <c r="S28" s="83">
        <v>3.109533528184909</v>
      </c>
      <c r="T28" s="83">
        <v>3.0072938007130769</v>
      </c>
      <c r="U28" s="83">
        <v>2.7414831629590957</v>
      </c>
      <c r="V28" s="83">
        <v>2.9771896781380329</v>
      </c>
      <c r="W28" s="83">
        <v>2.9393908394772095</v>
      </c>
      <c r="X28" s="83">
        <v>2.7006325844334187</v>
      </c>
      <c r="Y28" s="83">
        <v>2.8069482305872286</v>
      </c>
      <c r="Z28" s="83">
        <v>2.9587488640427106</v>
      </c>
      <c r="AA28" s="83">
        <v>2.9396522240093019</v>
      </c>
      <c r="AB28" s="83">
        <v>2.8616719798681665</v>
      </c>
      <c r="AC28" s="83">
        <v>2.9745269151550948</v>
      </c>
      <c r="AD28" s="83">
        <v>2.9294309628616215</v>
      </c>
      <c r="AE28" s="83">
        <v>2.8472145429754812</v>
      </c>
      <c r="AF28" s="83">
        <v>2.1192845397919959</v>
      </c>
      <c r="AG28" s="83">
        <v>2.1689551211212486</v>
      </c>
      <c r="AH28" s="83">
        <v>2.2036988040208163</v>
      </c>
      <c r="AI28" s="83">
        <v>2.0459288999826093</v>
      </c>
      <c r="AJ28" s="382">
        <v>1.7611536339733318</v>
      </c>
      <c r="AK28" s="383">
        <v>1.8564987954350622</v>
      </c>
      <c r="AL28" s="382">
        <v>1.749525025955516</v>
      </c>
      <c r="AM28" s="382">
        <f t="shared" si="32"/>
        <v>1.5879660000517739</v>
      </c>
      <c r="AN28" s="383">
        <v>1.4264069741480319</v>
      </c>
      <c r="AO28" s="382">
        <f t="shared" si="33"/>
        <v>1.2602061664959576</v>
      </c>
      <c r="AP28" s="383">
        <v>1.0940053588438836</v>
      </c>
      <c r="AQ28" s="382">
        <f t="shared" si="34"/>
        <v>1.0245033693571095</v>
      </c>
      <c r="AR28" s="382">
        <f t="shared" si="35"/>
        <v>0.95500137987033518</v>
      </c>
      <c r="AS28" s="383">
        <v>0.88549939038356096</v>
      </c>
      <c r="AT28" s="382">
        <f t="shared" si="36"/>
        <v>0.81986904286541207</v>
      </c>
      <c r="AU28" s="383">
        <v>0.75423869534726329</v>
      </c>
      <c r="AV28" s="382">
        <f t="shared" si="37"/>
        <v>0.70725911847442591</v>
      </c>
      <c r="AW28" s="382">
        <f t="shared" si="38"/>
        <v>0.66027954160158864</v>
      </c>
      <c r="AX28" s="383">
        <v>0.61329996472875126</v>
      </c>
      <c r="AY28" s="382">
        <f t="shared" si="39"/>
        <v>0.56904024717538881</v>
      </c>
      <c r="AZ28" s="383">
        <v>0.52478052962202626</v>
      </c>
      <c r="BA28" s="384">
        <f t="shared" si="24"/>
        <v>0.42004255428972742</v>
      </c>
      <c r="BB28" s="384">
        <f t="shared" si="25"/>
        <v>0.31530457895742858</v>
      </c>
      <c r="BC28" s="384">
        <f t="shared" si="26"/>
        <v>0.2105666036251298</v>
      </c>
      <c r="BD28" s="384">
        <f t="shared" si="27"/>
        <v>0.10582862829283096</v>
      </c>
      <c r="BE28" s="385">
        <v>1.0906529605321253E-3</v>
      </c>
      <c r="BF28" s="384">
        <f t="shared" si="28"/>
        <v>1.0906529605321253E-3</v>
      </c>
      <c r="BG28" s="384">
        <f t="shared" si="29"/>
        <v>1.0906529605321253E-3</v>
      </c>
      <c r="BH28" s="384">
        <f t="shared" si="30"/>
        <v>1.0906529605321253E-3</v>
      </c>
      <c r="BI28" s="384">
        <f t="shared" si="31"/>
        <v>1.0906529605321253E-3</v>
      </c>
      <c r="BJ28" s="383">
        <v>1.0906529605321253E-3</v>
      </c>
    </row>
    <row r="29" spans="1:62">
      <c r="A29" s="82" t="s">
        <v>244</v>
      </c>
      <c r="B29" s="83">
        <v>5.3541040000000004</v>
      </c>
      <c r="C29" s="83">
        <v>4.9685364731654875</v>
      </c>
      <c r="D29" s="83">
        <v>5.1887539869790578</v>
      </c>
      <c r="E29" s="83">
        <v>5.4205624232662313</v>
      </c>
      <c r="F29" s="83">
        <v>5.5418104037829954</v>
      </c>
      <c r="G29" s="83">
        <v>5.4914730903692242</v>
      </c>
      <c r="H29" s="83">
        <v>4.1738095690077444</v>
      </c>
      <c r="I29" s="83">
        <v>3.5520246866286929</v>
      </c>
      <c r="J29" s="83">
        <v>3.4465172708405434</v>
      </c>
      <c r="K29" s="83">
        <v>3.2742751500356491</v>
      </c>
      <c r="L29" s="83">
        <v>2.2451396437059938</v>
      </c>
      <c r="M29" s="83">
        <v>2.01877910690561</v>
      </c>
      <c r="N29" s="83">
        <v>1.3422459787879104</v>
      </c>
      <c r="O29" s="83">
        <v>1.2809441602510849</v>
      </c>
      <c r="P29" s="83">
        <v>0.74642789513523522</v>
      </c>
      <c r="Q29" s="83">
        <v>0.41459600000000008</v>
      </c>
      <c r="R29" s="83">
        <v>0.26451600000000003</v>
      </c>
      <c r="S29" s="83">
        <v>3.9396000000000007E-2</v>
      </c>
      <c r="T29" s="83">
        <v>3.9396000000000007E-2</v>
      </c>
      <c r="U29" s="83">
        <v>3.9396000000000007E-2</v>
      </c>
      <c r="V29" s="83">
        <v>3.9396000000000007E-2</v>
      </c>
      <c r="W29" s="83">
        <v>3.0016000000000001E-2</v>
      </c>
      <c r="X29" s="83">
        <v>1.3132E-2</v>
      </c>
      <c r="Y29" s="83">
        <v>1.5008000000000001E-2</v>
      </c>
      <c r="Z29" s="83">
        <v>1.1256E-2</v>
      </c>
      <c r="AA29" s="83">
        <v>1.1256E-2</v>
      </c>
      <c r="AB29" s="83">
        <v>1.1256E-2</v>
      </c>
      <c r="AC29" s="83">
        <v>1.1256E-2</v>
      </c>
      <c r="AD29" s="83">
        <v>1.1256E-2</v>
      </c>
      <c r="AE29" s="83">
        <v>8.1293333333333356E-3</v>
      </c>
      <c r="AF29" s="83">
        <v>5.0026666666666683E-3</v>
      </c>
      <c r="AG29" s="83">
        <v>1.8760000000000001E-3</v>
      </c>
      <c r="AH29" s="83">
        <v>1.8760000000000001E-3</v>
      </c>
      <c r="AI29" s="83">
        <v>1.8760000000000001E-3</v>
      </c>
      <c r="AJ29" s="382">
        <v>1.8760000000000001E-3</v>
      </c>
      <c r="AK29" s="383">
        <v>1.8760000000000001E-3</v>
      </c>
      <c r="AL29" s="382">
        <v>1.8760000000000001E-3</v>
      </c>
      <c r="AM29" s="382">
        <f t="shared" si="32"/>
        <v>1.5945999999999985E-3</v>
      </c>
      <c r="AN29" s="383">
        <v>1.313199999999997E-3</v>
      </c>
      <c r="AO29" s="382">
        <f t="shared" si="33"/>
        <v>1.313199999999997E-3</v>
      </c>
      <c r="AP29" s="383">
        <v>1.313199999999997E-3</v>
      </c>
      <c r="AQ29" s="382">
        <f t="shared" si="34"/>
        <v>1.313199999999997E-3</v>
      </c>
      <c r="AR29" s="382">
        <f t="shared" si="35"/>
        <v>1.313199999999997E-3</v>
      </c>
      <c r="AS29" s="383">
        <v>1.313199999999997E-3</v>
      </c>
      <c r="AT29" s="382">
        <f t="shared" si="36"/>
        <v>1.313199999999997E-3</v>
      </c>
      <c r="AU29" s="383">
        <v>1.313199999999997E-3</v>
      </c>
      <c r="AV29" s="382">
        <f t="shared" si="37"/>
        <v>1.313199999999997E-3</v>
      </c>
      <c r="AW29" s="382">
        <f t="shared" si="38"/>
        <v>1.313199999999997E-3</v>
      </c>
      <c r="AX29" s="383">
        <v>1.313199999999997E-3</v>
      </c>
      <c r="AY29" s="382">
        <f t="shared" si="39"/>
        <v>1.313199999999997E-3</v>
      </c>
      <c r="AZ29" s="383">
        <v>1.313199999999997E-3</v>
      </c>
      <c r="BA29" s="384">
        <f t="shared" si="24"/>
        <v>1.313199999999997E-3</v>
      </c>
      <c r="BB29" s="384">
        <f t="shared" si="25"/>
        <v>1.313199999999997E-3</v>
      </c>
      <c r="BC29" s="384">
        <f t="shared" si="26"/>
        <v>1.313199999999997E-3</v>
      </c>
      <c r="BD29" s="384">
        <f t="shared" si="27"/>
        <v>1.313199999999997E-3</v>
      </c>
      <c r="BE29" s="385">
        <v>1.313199999999997E-3</v>
      </c>
      <c r="BF29" s="384">
        <f t="shared" si="28"/>
        <v>1.313199999999997E-3</v>
      </c>
      <c r="BG29" s="384">
        <f t="shared" si="29"/>
        <v>1.313199999999997E-3</v>
      </c>
      <c r="BH29" s="384">
        <f t="shared" si="30"/>
        <v>1.313199999999997E-3</v>
      </c>
      <c r="BI29" s="384">
        <f t="shared" si="31"/>
        <v>1.313199999999997E-3</v>
      </c>
      <c r="BJ29" s="383">
        <v>1.313199999999997E-3</v>
      </c>
    </row>
    <row r="30" spans="1:62">
      <c r="A30" s="82" t="s">
        <v>245</v>
      </c>
      <c r="B30" s="83">
        <v>0.47536203835577101</v>
      </c>
      <c r="C30" s="83">
        <v>0.46484442012874017</v>
      </c>
      <c r="D30" s="83">
        <v>0.451964130035578</v>
      </c>
      <c r="E30" s="83">
        <v>0.43512749034271148</v>
      </c>
      <c r="F30" s="83">
        <v>0.43832316349513778</v>
      </c>
      <c r="G30" s="83">
        <v>0.39415583935865278</v>
      </c>
      <c r="H30" s="83">
        <v>0.3351487730469051</v>
      </c>
      <c r="I30" s="83">
        <v>0.28501508441820866</v>
      </c>
      <c r="J30" s="83">
        <v>0.27334543487254076</v>
      </c>
      <c r="K30" s="83">
        <v>0.24627003297664884</v>
      </c>
      <c r="L30" s="83">
        <v>0.22787930076191015</v>
      </c>
      <c r="M30" s="83">
        <v>0.22221856702672499</v>
      </c>
      <c r="N30" s="83">
        <v>0.2116543086104688</v>
      </c>
      <c r="O30" s="83">
        <v>0.19743767562531978</v>
      </c>
      <c r="P30" s="83">
        <v>0.18476447010188479</v>
      </c>
      <c r="Q30" s="83">
        <v>0.17528521877645872</v>
      </c>
      <c r="R30" s="83">
        <v>0.17207587596983789</v>
      </c>
      <c r="S30" s="83">
        <v>0.15898244832638328</v>
      </c>
      <c r="T30" s="83">
        <v>0.15805683566095535</v>
      </c>
      <c r="U30" s="83">
        <v>0.14427255902099903</v>
      </c>
      <c r="V30" s="83">
        <v>0.14441445385002818</v>
      </c>
      <c r="W30" s="83">
        <v>0.14473293077879451</v>
      </c>
      <c r="X30" s="83">
        <v>0.12954260766639586</v>
      </c>
      <c r="Y30" s="83">
        <v>0.12754838252325135</v>
      </c>
      <c r="Z30" s="83">
        <v>0.12289728260596587</v>
      </c>
      <c r="AA30" s="83">
        <v>0.13418327388529264</v>
      </c>
      <c r="AB30" s="83">
        <v>0.13106482652045146</v>
      </c>
      <c r="AC30" s="83">
        <v>0.12211660183828703</v>
      </c>
      <c r="AD30" s="83">
        <v>0.12449829671374033</v>
      </c>
      <c r="AE30" s="83">
        <v>0.11556875148091968</v>
      </c>
      <c r="AF30" s="83">
        <v>0.10255535131879859</v>
      </c>
      <c r="AG30" s="83">
        <v>0.10381730886638102</v>
      </c>
      <c r="AH30" s="83">
        <v>9.4200381029796165E-2</v>
      </c>
      <c r="AI30" s="83">
        <v>9.3045215025569783E-2</v>
      </c>
      <c r="AJ30" s="382">
        <v>8.7072063651540785E-2</v>
      </c>
      <c r="AK30" s="383">
        <v>9.0351666979525513E-2</v>
      </c>
      <c r="AL30" s="382">
        <v>8.9285123583773218E-2</v>
      </c>
      <c r="AM30" s="382">
        <f t="shared" si="32"/>
        <v>8.9630784905173233E-2</v>
      </c>
      <c r="AN30" s="383">
        <v>8.9976446226573248E-2</v>
      </c>
      <c r="AO30" s="382">
        <f t="shared" si="33"/>
        <v>8.8542981967649759E-2</v>
      </c>
      <c r="AP30" s="383">
        <v>8.710951770872627E-2</v>
      </c>
      <c r="AQ30" s="382">
        <f t="shared" si="34"/>
        <v>7.9397017422562027E-2</v>
      </c>
      <c r="AR30" s="382">
        <f t="shared" si="35"/>
        <v>7.1684517136397771E-2</v>
      </c>
      <c r="AS30" s="383">
        <v>6.3972016850233529E-2</v>
      </c>
      <c r="AT30" s="382">
        <f t="shared" si="36"/>
        <v>5.6291924978790972E-2</v>
      </c>
      <c r="AU30" s="383">
        <v>4.8611833107348422E-2</v>
      </c>
      <c r="AV30" s="382">
        <f t="shared" si="37"/>
        <v>4.1023898318347095E-2</v>
      </c>
      <c r="AW30" s="382">
        <f t="shared" si="38"/>
        <v>3.3435963529345775E-2</v>
      </c>
      <c r="AX30" s="383">
        <v>2.5848028740344448E-2</v>
      </c>
      <c r="AY30" s="382">
        <f t="shared" si="39"/>
        <v>1.8265543529109064E-2</v>
      </c>
      <c r="AZ30" s="383">
        <v>1.0683058317873684E-2</v>
      </c>
      <c r="BA30" s="384">
        <f t="shared" si="24"/>
        <v>9.8041345204999929E-3</v>
      </c>
      <c r="BB30" s="384">
        <f t="shared" si="25"/>
        <v>8.9252107231263013E-3</v>
      </c>
      <c r="BC30" s="384">
        <f t="shared" si="26"/>
        <v>8.0462869257526097E-3</v>
      </c>
      <c r="BD30" s="384">
        <f t="shared" si="27"/>
        <v>7.1673631283789181E-3</v>
      </c>
      <c r="BE30" s="385">
        <v>6.2884393310052265E-3</v>
      </c>
      <c r="BF30" s="384">
        <f t="shared" si="28"/>
        <v>5.9541979799180586E-3</v>
      </c>
      <c r="BG30" s="384">
        <f t="shared" si="29"/>
        <v>5.6199566288308907E-3</v>
      </c>
      <c r="BH30" s="384">
        <f t="shared" si="30"/>
        <v>5.285715277743722E-3</v>
      </c>
      <c r="BI30" s="384">
        <f t="shared" si="31"/>
        <v>4.9514739266565541E-3</v>
      </c>
      <c r="BJ30" s="383">
        <v>4.6172325755693862E-3</v>
      </c>
    </row>
    <row r="31" spans="1:62">
      <c r="A31" s="82" t="s">
        <v>246</v>
      </c>
      <c r="B31" s="83">
        <v>3.4658889767942873</v>
      </c>
      <c r="C31" s="83">
        <v>3.7082046189825411</v>
      </c>
      <c r="D31" s="83">
        <v>3.5343748552958019</v>
      </c>
      <c r="E31" s="83">
        <v>3.4681631222282387</v>
      </c>
      <c r="F31" s="83">
        <v>3.5302829350738936</v>
      </c>
      <c r="G31" s="83">
        <v>3.3687210107278713</v>
      </c>
      <c r="H31" s="83">
        <v>3.4542340407199967</v>
      </c>
      <c r="I31" s="83">
        <v>3.3504808224937959</v>
      </c>
      <c r="J31" s="83">
        <v>3.141693911082204</v>
      </c>
      <c r="K31" s="83">
        <v>3.1637806254317944</v>
      </c>
      <c r="L31" s="83">
        <v>3.1609828878599204</v>
      </c>
      <c r="M31" s="83">
        <v>2.9425709709273056</v>
      </c>
      <c r="N31" s="83">
        <v>3.0157092765947482</v>
      </c>
      <c r="O31" s="83">
        <v>3.0923886732647201</v>
      </c>
      <c r="P31" s="83">
        <v>3.1802375423138693</v>
      </c>
      <c r="Q31" s="83">
        <v>3.1536036012483502</v>
      </c>
      <c r="R31" s="83">
        <v>3.0312785223109806</v>
      </c>
      <c r="S31" s="83">
        <v>2.9078345617358323</v>
      </c>
      <c r="T31" s="83">
        <v>2.8981865352467775</v>
      </c>
      <c r="U31" s="83">
        <v>2.8166916749516098</v>
      </c>
      <c r="V31" s="83">
        <v>2.4894511120564635</v>
      </c>
      <c r="W31" s="83">
        <v>2.2796846235743358</v>
      </c>
      <c r="X31" s="83">
        <v>2.3388113413606444</v>
      </c>
      <c r="Y31" s="83">
        <v>2.1657109744583467</v>
      </c>
      <c r="Z31" s="83">
        <v>1.8167754448429005</v>
      </c>
      <c r="AA31" s="83">
        <v>1.7449659983120249</v>
      </c>
      <c r="AB31" s="83">
        <v>1.762059675802286</v>
      </c>
      <c r="AC31" s="83">
        <v>1.6512825625733309</v>
      </c>
      <c r="AD31" s="83">
        <v>1.596000838859569</v>
      </c>
      <c r="AE31" s="83">
        <v>1.5819187238886312</v>
      </c>
      <c r="AF31" s="83">
        <v>1.2637253507731621</v>
      </c>
      <c r="AG31" s="83">
        <v>1.1937605887312088</v>
      </c>
      <c r="AH31" s="83">
        <v>1.2466191444175163</v>
      </c>
      <c r="AI31" s="83">
        <v>1.2252034182808877</v>
      </c>
      <c r="AJ31" s="382">
        <v>0.98769583347925982</v>
      </c>
      <c r="AK31" s="383">
        <v>0.96425606157947663</v>
      </c>
      <c r="AL31" s="382">
        <v>0.93681189990801983</v>
      </c>
      <c r="AM31" s="382">
        <f t="shared" si="32"/>
        <v>0.94738746800896512</v>
      </c>
      <c r="AN31" s="383">
        <v>0.95796303610991029</v>
      </c>
      <c r="AO31" s="382">
        <f t="shared" si="33"/>
        <v>0.92508747228475685</v>
      </c>
      <c r="AP31" s="383">
        <v>0.89221190845960341</v>
      </c>
      <c r="AQ31" s="382">
        <f t="shared" si="34"/>
        <v>0.85241069873032704</v>
      </c>
      <c r="AR31" s="382">
        <f t="shared" si="35"/>
        <v>0.81260948900105079</v>
      </c>
      <c r="AS31" s="383">
        <v>0.77280827927177442</v>
      </c>
      <c r="AT31" s="382">
        <f t="shared" si="36"/>
        <v>0.73948680980749659</v>
      </c>
      <c r="AU31" s="383">
        <v>0.70616534034321876</v>
      </c>
      <c r="AV31" s="382">
        <f t="shared" si="37"/>
        <v>0.65656500982809229</v>
      </c>
      <c r="AW31" s="382">
        <f t="shared" si="38"/>
        <v>0.60696467931296583</v>
      </c>
      <c r="AX31" s="383">
        <v>0.55736434879783936</v>
      </c>
      <c r="AY31" s="382">
        <f t="shared" si="39"/>
        <v>0.50475244104725758</v>
      </c>
      <c r="AZ31" s="383">
        <v>0.45214053329667581</v>
      </c>
      <c r="BA31" s="384">
        <f t="shared" si="24"/>
        <v>0.42393113479046968</v>
      </c>
      <c r="BB31" s="384">
        <f t="shared" si="25"/>
        <v>0.39572173628426355</v>
      </c>
      <c r="BC31" s="384">
        <f t="shared" si="26"/>
        <v>0.36751233777805742</v>
      </c>
      <c r="BD31" s="384">
        <f t="shared" si="27"/>
        <v>0.33930293927185129</v>
      </c>
      <c r="BE31" s="385">
        <v>0.31109354076564516</v>
      </c>
      <c r="BF31" s="384">
        <f t="shared" si="28"/>
        <v>0.27928385146247481</v>
      </c>
      <c r="BG31" s="384">
        <f t="shared" si="29"/>
        <v>0.2474741621593044</v>
      </c>
      <c r="BH31" s="384">
        <f t="shared" si="30"/>
        <v>0.21566447285613402</v>
      </c>
      <c r="BI31" s="384">
        <f t="shared" si="31"/>
        <v>0.18385478355296364</v>
      </c>
      <c r="BJ31" s="383">
        <v>0.15204509424979326</v>
      </c>
    </row>
    <row r="32" spans="1:62">
      <c r="A32" s="82" t="s">
        <v>276</v>
      </c>
      <c r="B32" s="83">
        <v>4.8223751353895068E-2</v>
      </c>
      <c r="C32" s="83">
        <v>4.3963884882555274E-2</v>
      </c>
      <c r="D32" s="83">
        <v>3.9361395048648641E-2</v>
      </c>
      <c r="E32" s="83">
        <v>3.4978374584829983E-2</v>
      </c>
      <c r="F32" s="83">
        <v>3.0433796108108108E-2</v>
      </c>
      <c r="G32" s="83">
        <v>2.5883738775768869E-2</v>
      </c>
      <c r="H32" s="83">
        <v>2.1415717967567562E-2</v>
      </c>
      <c r="I32" s="83">
        <v>1.6803789475075076E-2</v>
      </c>
      <c r="J32" s="83">
        <v>1.2058872996257797E-2</v>
      </c>
      <c r="K32" s="83">
        <v>7.1915597967567562E-3</v>
      </c>
      <c r="L32" s="83">
        <v>2.2048384864864871E-3</v>
      </c>
      <c r="M32" s="83">
        <v>2.2128352864864862E-3</v>
      </c>
      <c r="N32" s="83">
        <v>2.2213024864864862E-3</v>
      </c>
      <c r="O32" s="83">
        <v>2.2097976092664154E-3</v>
      </c>
      <c r="P32" s="83">
        <v>2.1987855320463332E-3</v>
      </c>
      <c r="Q32" s="83">
        <v>2.1883334548262515E-3</v>
      </c>
      <c r="R32" s="83">
        <v>2.1759325776061805E-3</v>
      </c>
      <c r="S32" s="83">
        <v>2.1641589003860992E-3</v>
      </c>
      <c r="T32" s="83">
        <v>2.1513548231660282E-3</v>
      </c>
      <c r="U32" s="83">
        <v>2.1412611459459461E-3</v>
      </c>
      <c r="V32" s="83">
        <v>2.0075494054054054E-3</v>
      </c>
      <c r="W32" s="83">
        <v>1.872202464864865E-3</v>
      </c>
      <c r="X32" s="83">
        <v>2.0224006054054052E-3</v>
      </c>
      <c r="Y32" s="83">
        <v>2.3072730894277611E-3</v>
      </c>
      <c r="Z32" s="83">
        <v>2.2459941957241715E-3</v>
      </c>
      <c r="AA32" s="83">
        <v>2.7285319109150831E-3</v>
      </c>
      <c r="AB32" s="83">
        <v>3.3234686807375397E-3</v>
      </c>
      <c r="AC32" s="83">
        <v>2.6452381206238801E-3</v>
      </c>
      <c r="AD32" s="83">
        <v>1.9270244304645217E-3</v>
      </c>
      <c r="AE32" s="83">
        <v>1.8180602929225075E-3</v>
      </c>
      <c r="AF32" s="83">
        <v>1.8791422524855167E-3</v>
      </c>
      <c r="AG32" s="83">
        <v>1.7344065605321252E-3</v>
      </c>
      <c r="AH32" s="83">
        <v>1.7391105605321256E-3</v>
      </c>
      <c r="AI32" s="277">
        <v>1.7438817605321254E-3</v>
      </c>
      <c r="AJ32" s="277">
        <v>1.7438817605321254E-3</v>
      </c>
      <c r="AK32" s="277">
        <v>1.7438817605321254E-3</v>
      </c>
      <c r="AL32" s="277">
        <v>3.0931299047279532E-3</v>
      </c>
      <c r="AM32" s="382">
        <f t="shared" si="32"/>
        <v>1.8661569523639766E-3</v>
      </c>
      <c r="AN32" s="277">
        <v>6.39184E-4</v>
      </c>
      <c r="AO32" s="277">
        <f t="shared" si="33"/>
        <v>6.39184E-4</v>
      </c>
      <c r="AP32" s="277">
        <v>6.39184E-4</v>
      </c>
      <c r="AQ32" s="277">
        <f t="shared" si="34"/>
        <v>6.39184E-4</v>
      </c>
      <c r="AR32" s="277">
        <f t="shared" si="35"/>
        <v>6.39184E-4</v>
      </c>
      <c r="AS32" s="277">
        <v>6.39184E-4</v>
      </c>
      <c r="AT32" s="277">
        <f t="shared" si="36"/>
        <v>6.39184E-4</v>
      </c>
      <c r="AU32" s="277">
        <v>6.39184E-4</v>
      </c>
      <c r="AV32" s="277">
        <f t="shared" si="37"/>
        <v>6.39184E-4</v>
      </c>
      <c r="AW32" s="277">
        <f t="shared" si="38"/>
        <v>6.39184E-4</v>
      </c>
      <c r="AX32" s="277">
        <v>6.39184E-4</v>
      </c>
      <c r="AY32" s="277">
        <f t="shared" si="39"/>
        <v>6.39184E-4</v>
      </c>
      <c r="AZ32" s="277">
        <v>6.39184E-4</v>
      </c>
      <c r="BA32" s="134">
        <f t="shared" si="24"/>
        <v>6.39184E-4</v>
      </c>
      <c r="BB32" s="134">
        <f t="shared" si="25"/>
        <v>6.39184E-4</v>
      </c>
      <c r="BC32" s="134">
        <f t="shared" si="26"/>
        <v>6.39184E-4</v>
      </c>
      <c r="BD32" s="134">
        <f t="shared" si="27"/>
        <v>6.39184E-4</v>
      </c>
      <c r="BE32" s="277">
        <v>6.39184E-4</v>
      </c>
      <c r="BF32" s="134">
        <f t="shared" si="28"/>
        <v>6.39184E-4</v>
      </c>
      <c r="BG32" s="134">
        <f t="shared" si="29"/>
        <v>6.39184E-4</v>
      </c>
      <c r="BH32" s="134">
        <f t="shared" si="30"/>
        <v>6.39184E-4</v>
      </c>
      <c r="BI32" s="134">
        <f t="shared" si="31"/>
        <v>6.39184E-4</v>
      </c>
      <c r="BJ32" s="277">
        <v>6.39184E-4</v>
      </c>
    </row>
    <row r="33" spans="1:62">
      <c r="A33" s="82" t="s">
        <v>83</v>
      </c>
      <c r="B33" s="83">
        <v>2.7264205561207233</v>
      </c>
      <c r="C33" s="83">
        <v>2.9804828550098357</v>
      </c>
      <c r="D33" s="83">
        <v>3.2345451538989467</v>
      </c>
      <c r="E33" s="83">
        <v>3.4903913414020167</v>
      </c>
      <c r="F33" s="83">
        <v>3.5152958552447067</v>
      </c>
      <c r="G33" s="83">
        <v>3.5402003690873975</v>
      </c>
      <c r="H33" s="83">
        <v>3.5041587935172474</v>
      </c>
      <c r="I33" s="83">
        <v>3.5321678763554623</v>
      </c>
      <c r="J33" s="83">
        <v>3.5421086179508139</v>
      </c>
      <c r="K33" s="83">
        <v>3.92668748574174</v>
      </c>
      <c r="L33" s="83">
        <v>4.1256290003735314</v>
      </c>
      <c r="M33" s="83">
        <v>4.414561244157249</v>
      </c>
      <c r="N33" s="83">
        <v>4.7048246757552725</v>
      </c>
      <c r="O33" s="83">
        <v>4.8987392660420266</v>
      </c>
      <c r="P33" s="83">
        <v>5.0895356806868115</v>
      </c>
      <c r="Q33" s="83">
        <v>5.0604783688968631</v>
      </c>
      <c r="R33" s="83">
        <v>4.9305872273063525</v>
      </c>
      <c r="S33" s="83">
        <v>4.8411003996900863</v>
      </c>
      <c r="T33" s="83">
        <v>4.8127855059120392</v>
      </c>
      <c r="U33" s="83">
        <v>5.1505665470190047</v>
      </c>
      <c r="V33" s="83">
        <v>5.5797991294057159</v>
      </c>
      <c r="W33" s="83">
        <v>5.7260268075320058</v>
      </c>
      <c r="X33" s="83">
        <v>5.9721540375113618</v>
      </c>
      <c r="Y33" s="83">
        <v>6.2898667618243023</v>
      </c>
      <c r="Z33" s="83">
        <v>6.6118912016419449</v>
      </c>
      <c r="AA33" s="83">
        <v>6.7803713497191644</v>
      </c>
      <c r="AB33" s="83">
        <v>6.9688742414973799</v>
      </c>
      <c r="AC33" s="83">
        <v>7.0568268688179909</v>
      </c>
      <c r="AD33" s="83">
        <v>7.1029769013545767</v>
      </c>
      <c r="AE33" s="83">
        <v>7.1391467937602959</v>
      </c>
      <c r="AF33" s="83">
        <v>7.182506616343777</v>
      </c>
      <c r="AG33" s="83">
        <v>7.1425189688333859</v>
      </c>
      <c r="AH33" s="83">
        <v>7.1290910200715132</v>
      </c>
      <c r="AI33" s="83">
        <v>7.1399080254833294</v>
      </c>
      <c r="AJ33" s="277">
        <v>7.1206859946524341</v>
      </c>
      <c r="AK33" s="83">
        <v>7.1206859946524341</v>
      </c>
      <c r="AL33" s="277">
        <v>7.0434337106886016</v>
      </c>
      <c r="AM33" s="382">
        <f t="shared" si="32"/>
        <v>6.9522494532198582</v>
      </c>
      <c r="AN33" s="83">
        <v>6.8610651957511148</v>
      </c>
      <c r="AO33" s="277">
        <f t="shared" si="33"/>
        <v>6.8109024015248814</v>
      </c>
      <c r="AP33" s="83">
        <v>6.760739607298647</v>
      </c>
      <c r="AQ33" s="277">
        <f t="shared" si="34"/>
        <v>6.5982704366157909</v>
      </c>
      <c r="AR33" s="277">
        <f t="shared" si="35"/>
        <v>6.4358012659329349</v>
      </c>
      <c r="AS33" s="83">
        <v>6.2733320952500788</v>
      </c>
      <c r="AT33" s="277">
        <f t="shared" si="36"/>
        <v>6.1092957974214155</v>
      </c>
      <c r="AU33" s="83">
        <v>5.945259499592753</v>
      </c>
      <c r="AV33" s="277">
        <f t="shared" si="37"/>
        <v>5.7797650811513659</v>
      </c>
      <c r="AW33" s="277">
        <f t="shared" si="38"/>
        <v>5.6142706627099779</v>
      </c>
      <c r="AX33" s="83">
        <v>5.4487762442685908</v>
      </c>
      <c r="AY33" s="277">
        <f t="shared" si="39"/>
        <v>5.2816874470481245</v>
      </c>
      <c r="AZ33" s="83">
        <v>5.1145986498276592</v>
      </c>
      <c r="BA33" s="134">
        <f t="shared" si="24"/>
        <v>5.0218816901237391</v>
      </c>
      <c r="BB33" s="134">
        <f t="shared" si="25"/>
        <v>4.929164730419819</v>
      </c>
      <c r="BC33" s="134">
        <f t="shared" si="26"/>
        <v>4.8364477707158979</v>
      </c>
      <c r="BD33" s="134">
        <f t="shared" si="27"/>
        <v>4.7437308110119778</v>
      </c>
      <c r="BE33" s="83">
        <v>4.6510138513080577</v>
      </c>
      <c r="BF33" s="134">
        <f t="shared" si="28"/>
        <v>4.5551431628183154</v>
      </c>
      <c r="BG33" s="134">
        <f t="shared" si="29"/>
        <v>4.4592724743285732</v>
      </c>
      <c r="BH33" s="134">
        <f t="shared" si="30"/>
        <v>4.363401785838831</v>
      </c>
      <c r="BI33" s="134">
        <f t="shared" si="31"/>
        <v>4.2675310973490888</v>
      </c>
      <c r="BJ33" s="83">
        <v>4.1716604088593465</v>
      </c>
    </row>
    <row r="34" spans="1:62">
      <c r="A34" s="84" t="s">
        <v>277</v>
      </c>
      <c r="B34" s="85">
        <v>78.861816593790067</v>
      </c>
      <c r="C34" s="85">
        <v>80.099749436932697</v>
      </c>
      <c r="D34" s="85">
        <v>81.367165513696477</v>
      </c>
      <c r="E34" s="85">
        <v>69.074799734872869</v>
      </c>
      <c r="F34" s="85">
        <v>65.981436198914452</v>
      </c>
      <c r="G34" s="85">
        <v>68.509781899362494</v>
      </c>
      <c r="H34" s="85">
        <v>72.089067567706323</v>
      </c>
      <c r="I34" s="85">
        <v>67.713941857369363</v>
      </c>
      <c r="J34" s="85">
        <v>80.07458272221281</v>
      </c>
      <c r="K34" s="85">
        <v>73.104806707891413</v>
      </c>
      <c r="L34" s="85">
        <v>71.72141296259629</v>
      </c>
      <c r="M34" s="85">
        <v>64.839617780322101</v>
      </c>
      <c r="N34" s="85">
        <v>67.335600982258384</v>
      </c>
      <c r="O34" s="85">
        <v>70.725850814970357</v>
      </c>
      <c r="P34" s="85">
        <v>69.26021962230493</v>
      </c>
      <c r="Q34" s="85">
        <v>74.38648211889651</v>
      </c>
      <c r="R34" s="85">
        <v>70.206258597489267</v>
      </c>
      <c r="S34" s="85">
        <v>69.776292709256637</v>
      </c>
      <c r="T34" s="85">
        <v>68.918146099971835</v>
      </c>
      <c r="U34" s="85">
        <v>66.766785494805717</v>
      </c>
      <c r="V34" s="85">
        <v>66.97302802764878</v>
      </c>
      <c r="W34" s="85">
        <v>61.217661361451512</v>
      </c>
      <c r="X34" s="85">
        <v>62.898263243172252</v>
      </c>
      <c r="Y34" s="85">
        <v>60.838279097813491</v>
      </c>
      <c r="Z34" s="85">
        <v>47.209343136212858</v>
      </c>
      <c r="AA34" s="85">
        <v>49.969882797257526</v>
      </c>
      <c r="AB34" s="85">
        <v>53.527830801030589</v>
      </c>
      <c r="AC34" s="85">
        <v>57.259063640483774</v>
      </c>
      <c r="AD34" s="85">
        <v>47.845603603258311</v>
      </c>
      <c r="AE34" s="85">
        <v>46.03278751693</v>
      </c>
      <c r="AF34" s="85">
        <v>40.87477297965782</v>
      </c>
      <c r="AG34" s="85">
        <v>42.934743089421012</v>
      </c>
      <c r="AH34" s="85">
        <v>44.565597730561855</v>
      </c>
      <c r="AI34" s="85">
        <v>36.724562952835434</v>
      </c>
      <c r="AJ34" s="85">
        <v>31.184861868989</v>
      </c>
      <c r="AK34" s="276">
        <v>31.368601285042661</v>
      </c>
      <c r="AL34" s="276">
        <f t="shared" ref="AL34:BJ34" si="40">SUM(AL25:AL33)</f>
        <v>30.217090822027927</v>
      </c>
      <c r="AM34" s="276">
        <f t="shared" si="40"/>
        <v>28.712116096384527</v>
      </c>
      <c r="AN34" s="276">
        <f t="shared" si="40"/>
        <v>27.20714137074112</v>
      </c>
      <c r="AO34" s="276">
        <f t="shared" si="40"/>
        <v>25.970579249926853</v>
      </c>
      <c r="AP34" s="276">
        <f t="shared" si="40"/>
        <v>24.73401712911258</v>
      </c>
      <c r="AQ34" s="276">
        <f t="shared" si="40"/>
        <v>24.087221430584037</v>
      </c>
      <c r="AR34" s="276">
        <f t="shared" si="40"/>
        <v>23.440425732055491</v>
      </c>
      <c r="AS34" s="276">
        <f t="shared" si="40"/>
        <v>22.793630033526952</v>
      </c>
      <c r="AT34" s="276">
        <f t="shared" si="40"/>
        <v>22.139734399831205</v>
      </c>
      <c r="AU34" s="276">
        <f t="shared" si="40"/>
        <v>21.485838766135466</v>
      </c>
      <c r="AV34" s="276">
        <f t="shared" si="40"/>
        <v>20.021376348492009</v>
      </c>
      <c r="AW34" s="276">
        <f t="shared" si="40"/>
        <v>18.556913930848555</v>
      </c>
      <c r="AX34" s="276">
        <f t="shared" si="40"/>
        <v>17.092451513205095</v>
      </c>
      <c r="AY34" s="276">
        <f t="shared" si="40"/>
        <v>15.808458152460696</v>
      </c>
      <c r="AZ34" s="276">
        <f t="shared" si="40"/>
        <v>14.5244647917163</v>
      </c>
      <c r="BA34" s="276">
        <f t="shared" si="40"/>
        <v>13.644854074743495</v>
      </c>
      <c r="BB34" s="276">
        <f t="shared" si="40"/>
        <v>12.765243357770688</v>
      </c>
      <c r="BC34" s="276">
        <f t="shared" si="40"/>
        <v>11.88563264079788</v>
      </c>
      <c r="BD34" s="276">
        <f t="shared" si="40"/>
        <v>11.006021923825074</v>
      </c>
      <c r="BE34" s="276">
        <f t="shared" si="40"/>
        <v>10.126411206852268</v>
      </c>
      <c r="BF34" s="276">
        <f t="shared" si="40"/>
        <v>9.279151965982102</v>
      </c>
      <c r="BG34" s="276">
        <f t="shared" si="40"/>
        <v>8.4318927251119362</v>
      </c>
      <c r="BH34" s="276">
        <f t="shared" si="40"/>
        <v>7.5846334842417704</v>
      </c>
      <c r="BI34" s="276">
        <f t="shared" si="40"/>
        <v>6.7373742433716028</v>
      </c>
      <c r="BJ34" s="276">
        <f t="shared" si="40"/>
        <v>5.890115002501437</v>
      </c>
    </row>
    <row r="35" spans="1:62">
      <c r="A35" s="306" t="s">
        <v>348</v>
      </c>
      <c r="B35" s="85">
        <f>B34</f>
        <v>78.861816593790067</v>
      </c>
      <c r="C35" s="85">
        <f t="shared" ref="C35:AJ36" si="41">C34</f>
        <v>80.099749436932697</v>
      </c>
      <c r="D35" s="85">
        <f t="shared" si="41"/>
        <v>81.367165513696477</v>
      </c>
      <c r="E35" s="85">
        <f t="shared" si="41"/>
        <v>69.074799734872869</v>
      </c>
      <c r="F35" s="85">
        <f t="shared" si="41"/>
        <v>65.981436198914452</v>
      </c>
      <c r="G35" s="85">
        <f t="shared" si="41"/>
        <v>68.509781899362494</v>
      </c>
      <c r="H35" s="85">
        <f t="shared" si="41"/>
        <v>72.089067567706323</v>
      </c>
      <c r="I35" s="85">
        <f t="shared" si="41"/>
        <v>67.713941857369363</v>
      </c>
      <c r="J35" s="85">
        <f t="shared" si="41"/>
        <v>80.07458272221281</v>
      </c>
      <c r="K35" s="85">
        <f t="shared" si="41"/>
        <v>73.104806707891413</v>
      </c>
      <c r="L35" s="85">
        <f t="shared" si="41"/>
        <v>71.72141296259629</v>
      </c>
      <c r="M35" s="85">
        <f t="shared" si="41"/>
        <v>64.839617780322101</v>
      </c>
      <c r="N35" s="85">
        <f t="shared" si="41"/>
        <v>67.335600982258384</v>
      </c>
      <c r="O35" s="85">
        <f t="shared" si="41"/>
        <v>70.725850814970357</v>
      </c>
      <c r="P35" s="85">
        <f t="shared" si="41"/>
        <v>69.26021962230493</v>
      </c>
      <c r="Q35" s="85">
        <f t="shared" si="41"/>
        <v>74.38648211889651</v>
      </c>
      <c r="R35" s="85">
        <f t="shared" si="41"/>
        <v>70.206258597489267</v>
      </c>
      <c r="S35" s="85">
        <f t="shared" si="41"/>
        <v>69.776292709256637</v>
      </c>
      <c r="T35" s="85">
        <f t="shared" si="41"/>
        <v>68.918146099971835</v>
      </c>
      <c r="U35" s="85">
        <f t="shared" si="41"/>
        <v>66.766785494805717</v>
      </c>
      <c r="V35" s="85">
        <f t="shared" si="41"/>
        <v>66.97302802764878</v>
      </c>
      <c r="W35" s="85">
        <f t="shared" si="41"/>
        <v>61.217661361451512</v>
      </c>
      <c r="X35" s="85">
        <f t="shared" si="41"/>
        <v>62.898263243172252</v>
      </c>
      <c r="Y35" s="85">
        <f t="shared" si="41"/>
        <v>60.838279097813491</v>
      </c>
      <c r="Z35" s="85">
        <f t="shared" si="41"/>
        <v>47.209343136212858</v>
      </c>
      <c r="AA35" s="85">
        <f t="shared" si="41"/>
        <v>49.969882797257526</v>
      </c>
      <c r="AB35" s="85">
        <f t="shared" si="41"/>
        <v>53.527830801030589</v>
      </c>
      <c r="AC35" s="85">
        <f t="shared" si="41"/>
        <v>57.259063640483774</v>
      </c>
      <c r="AD35" s="85">
        <f t="shared" si="41"/>
        <v>47.845603603258311</v>
      </c>
      <c r="AE35" s="85">
        <f t="shared" si="41"/>
        <v>46.03278751693</v>
      </c>
      <c r="AF35" s="85">
        <f t="shared" si="41"/>
        <v>40.87477297965782</v>
      </c>
      <c r="AG35" s="85">
        <f t="shared" si="41"/>
        <v>42.934743089421012</v>
      </c>
      <c r="AH35" s="85">
        <f t="shared" si="41"/>
        <v>44.565597730561855</v>
      </c>
      <c r="AI35" s="85">
        <f t="shared" si="41"/>
        <v>36.724562952835434</v>
      </c>
      <c r="AJ35" s="85">
        <f t="shared" si="41"/>
        <v>31.184861868989</v>
      </c>
      <c r="AK35" s="276">
        <f t="shared" ref="AK35:BJ35" si="42">AK34+AK49</f>
        <v>31.368601285042661</v>
      </c>
      <c r="AL35" s="276">
        <f t="shared" si="42"/>
        <v>30.217090822027927</v>
      </c>
      <c r="AM35" s="276">
        <f t="shared" si="42"/>
        <v>28.712116096384527</v>
      </c>
      <c r="AN35" s="276">
        <f t="shared" si="42"/>
        <v>27.20714137074112</v>
      </c>
      <c r="AO35" s="276">
        <f t="shared" si="42"/>
        <v>25.970579249926853</v>
      </c>
      <c r="AP35" s="276">
        <f t="shared" si="42"/>
        <v>24.73401712911258</v>
      </c>
      <c r="AQ35" s="276">
        <f t="shared" si="42"/>
        <v>24.087221430584037</v>
      </c>
      <c r="AR35" s="276">
        <f t="shared" si="42"/>
        <v>23.440425732055491</v>
      </c>
      <c r="AS35" s="276">
        <f t="shared" si="42"/>
        <v>22.793630033526952</v>
      </c>
      <c r="AT35" s="276">
        <f t="shared" si="42"/>
        <v>21.904069722436038</v>
      </c>
      <c r="AU35" s="276">
        <f t="shared" si="42"/>
        <v>21.014509411345131</v>
      </c>
      <c r="AV35" s="276">
        <f t="shared" si="42"/>
        <v>19.404602893394475</v>
      </c>
      <c r="AW35" s="276">
        <f t="shared" si="42"/>
        <v>17.794696375443827</v>
      </c>
      <c r="AX35" s="276">
        <f t="shared" si="42"/>
        <v>16.184789857493168</v>
      </c>
      <c r="AY35" s="276">
        <f t="shared" si="42"/>
        <v>13.924275541191713</v>
      </c>
      <c r="AZ35" s="276">
        <f t="shared" si="42"/>
        <v>11.663761224890262</v>
      </c>
      <c r="BA35" s="276">
        <f t="shared" si="42"/>
        <v>10.781240358188363</v>
      </c>
      <c r="BB35" s="276">
        <f t="shared" si="42"/>
        <v>9.898719491486462</v>
      </c>
      <c r="BC35" s="276">
        <f t="shared" si="42"/>
        <v>9.0161986247845611</v>
      </c>
      <c r="BD35" s="276">
        <f t="shared" si="42"/>
        <v>8.133677758082662</v>
      </c>
      <c r="BE35" s="276">
        <f t="shared" si="42"/>
        <v>7.2511568913807629</v>
      </c>
      <c r="BF35" s="276">
        <f t="shared" si="42"/>
        <v>6.4356749717872601</v>
      </c>
      <c r="BG35" s="276">
        <f t="shared" si="42"/>
        <v>5.6201930521937582</v>
      </c>
      <c r="BH35" s="276">
        <f t="shared" si="42"/>
        <v>4.8047111326002563</v>
      </c>
      <c r="BI35" s="276">
        <f t="shared" si="42"/>
        <v>3.9892292130067522</v>
      </c>
      <c r="BJ35" s="276">
        <f t="shared" si="42"/>
        <v>3.1737472934132498</v>
      </c>
    </row>
    <row r="36" spans="1:62">
      <c r="A36" s="306" t="s">
        <v>349</v>
      </c>
      <c r="B36" s="85">
        <f>B35</f>
        <v>78.861816593790067</v>
      </c>
      <c r="C36" s="85">
        <f t="shared" si="41"/>
        <v>80.099749436932697</v>
      </c>
      <c r="D36" s="85">
        <f t="shared" si="41"/>
        <v>81.367165513696477</v>
      </c>
      <c r="E36" s="85">
        <f t="shared" si="41"/>
        <v>69.074799734872869</v>
      </c>
      <c r="F36" s="85">
        <f t="shared" si="41"/>
        <v>65.981436198914452</v>
      </c>
      <c r="G36" s="85">
        <f t="shared" si="41"/>
        <v>68.509781899362494</v>
      </c>
      <c r="H36" s="85">
        <f t="shared" si="41"/>
        <v>72.089067567706323</v>
      </c>
      <c r="I36" s="85">
        <f t="shared" si="41"/>
        <v>67.713941857369363</v>
      </c>
      <c r="J36" s="85">
        <f t="shared" si="41"/>
        <v>80.07458272221281</v>
      </c>
      <c r="K36" s="85">
        <f t="shared" si="41"/>
        <v>73.104806707891413</v>
      </c>
      <c r="L36" s="85">
        <f t="shared" si="41"/>
        <v>71.72141296259629</v>
      </c>
      <c r="M36" s="85">
        <f t="shared" si="41"/>
        <v>64.839617780322101</v>
      </c>
      <c r="N36" s="85">
        <f t="shared" si="41"/>
        <v>67.335600982258384</v>
      </c>
      <c r="O36" s="85">
        <f t="shared" si="41"/>
        <v>70.725850814970357</v>
      </c>
      <c r="P36" s="85">
        <f t="shared" si="41"/>
        <v>69.26021962230493</v>
      </c>
      <c r="Q36" s="85">
        <f t="shared" si="41"/>
        <v>74.38648211889651</v>
      </c>
      <c r="R36" s="85">
        <f t="shared" si="41"/>
        <v>70.206258597489267</v>
      </c>
      <c r="S36" s="85">
        <f t="shared" si="41"/>
        <v>69.776292709256637</v>
      </c>
      <c r="T36" s="85">
        <f t="shared" si="41"/>
        <v>68.918146099971835</v>
      </c>
      <c r="U36" s="85">
        <f t="shared" si="41"/>
        <v>66.766785494805717</v>
      </c>
      <c r="V36" s="85">
        <f t="shared" si="41"/>
        <v>66.97302802764878</v>
      </c>
      <c r="W36" s="85">
        <f t="shared" si="41"/>
        <v>61.217661361451512</v>
      </c>
      <c r="X36" s="85">
        <f t="shared" si="41"/>
        <v>62.898263243172252</v>
      </c>
      <c r="Y36" s="85">
        <f t="shared" si="41"/>
        <v>60.838279097813491</v>
      </c>
      <c r="Z36" s="85">
        <f t="shared" si="41"/>
        <v>47.209343136212858</v>
      </c>
      <c r="AA36" s="85">
        <f t="shared" si="41"/>
        <v>49.969882797257526</v>
      </c>
      <c r="AB36" s="85">
        <f t="shared" si="41"/>
        <v>53.527830801030589</v>
      </c>
      <c r="AC36" s="85">
        <f t="shared" si="41"/>
        <v>57.259063640483774</v>
      </c>
      <c r="AD36" s="85">
        <f t="shared" si="41"/>
        <v>47.845603603258311</v>
      </c>
      <c r="AE36" s="85">
        <f t="shared" si="41"/>
        <v>46.03278751693</v>
      </c>
      <c r="AF36" s="85">
        <f t="shared" si="41"/>
        <v>40.87477297965782</v>
      </c>
      <c r="AG36" s="85">
        <f t="shared" si="41"/>
        <v>42.934743089421012</v>
      </c>
      <c r="AH36" s="85">
        <f t="shared" si="41"/>
        <v>44.565597730561855</v>
      </c>
      <c r="AI36" s="85">
        <f t="shared" si="41"/>
        <v>36.724562952835434</v>
      </c>
      <c r="AJ36" s="85">
        <f t="shared" si="41"/>
        <v>31.184861868989</v>
      </c>
      <c r="AK36" s="276">
        <f t="shared" ref="AK36:BJ36" si="43">AK35+AK62</f>
        <v>31.368601285042661</v>
      </c>
      <c r="AL36" s="276">
        <f t="shared" si="43"/>
        <v>30.217090822027927</v>
      </c>
      <c r="AM36" s="276">
        <f t="shared" si="43"/>
        <v>28.712116096384527</v>
      </c>
      <c r="AN36" s="276">
        <f t="shared" si="43"/>
        <v>27.20714137074112</v>
      </c>
      <c r="AO36" s="276">
        <f t="shared" si="43"/>
        <v>25.970579249926853</v>
      </c>
      <c r="AP36" s="276">
        <f t="shared" si="43"/>
        <v>24.73401712911258</v>
      </c>
      <c r="AQ36" s="276">
        <f t="shared" si="43"/>
        <v>24.087221430584037</v>
      </c>
      <c r="AR36" s="276">
        <f t="shared" si="43"/>
        <v>23.440425732055491</v>
      </c>
      <c r="AS36" s="276">
        <f t="shared" si="43"/>
        <v>22.793630033526952</v>
      </c>
      <c r="AT36" s="276">
        <f t="shared" si="43"/>
        <v>21.359734399831204</v>
      </c>
      <c r="AU36" s="276">
        <f t="shared" si="43"/>
        <v>19.925838766135467</v>
      </c>
      <c r="AV36" s="276">
        <f t="shared" si="43"/>
        <v>17.74380709059195</v>
      </c>
      <c r="AW36" s="276">
        <f t="shared" si="43"/>
        <v>15.561775415048444</v>
      </c>
      <c r="AX36" s="276">
        <f t="shared" si="43"/>
        <v>13.379743739504926</v>
      </c>
      <c r="AY36" s="276">
        <f t="shared" si="43"/>
        <v>10.547104265610612</v>
      </c>
      <c r="AZ36" s="276">
        <f t="shared" si="43"/>
        <v>7.714464791716301</v>
      </c>
      <c r="BA36" s="276">
        <f t="shared" si="43"/>
        <v>5.8826540747434954</v>
      </c>
      <c r="BB36" s="276">
        <f t="shared" si="43"/>
        <v>4.0508433577706873</v>
      </c>
      <c r="BC36" s="276">
        <f t="shared" si="43"/>
        <v>2.2190326407978809</v>
      </c>
      <c r="BD36" s="276">
        <f t="shared" si="43"/>
        <v>0.38722192382507448</v>
      </c>
      <c r="BE36" s="276">
        <f t="shared" si="43"/>
        <v>-1.4445887931477319</v>
      </c>
      <c r="BF36" s="276">
        <f t="shared" si="43"/>
        <v>-2.293648034017898</v>
      </c>
      <c r="BG36" s="276">
        <f t="shared" si="43"/>
        <v>-3.1427072748880631</v>
      </c>
      <c r="BH36" s="276">
        <f t="shared" si="43"/>
        <v>-3.9917665157582283</v>
      </c>
      <c r="BI36" s="276">
        <f t="shared" si="43"/>
        <v>-4.8408257566283961</v>
      </c>
      <c r="BJ36" s="276">
        <f t="shared" si="43"/>
        <v>-5.6898849974985612</v>
      </c>
    </row>
    <row r="37" spans="1:62">
      <c r="A37" s="311"/>
      <c r="B37" s="304"/>
      <c r="C37" s="304"/>
      <c r="D37" s="304"/>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4"/>
      <c r="AG37" s="304"/>
      <c r="AH37" s="304"/>
      <c r="AI37" s="304"/>
      <c r="AJ37" s="304"/>
      <c r="AK37" s="305"/>
      <c r="AL37" s="305"/>
      <c r="AM37" s="305"/>
      <c r="AN37" s="305"/>
      <c r="AO37" s="305"/>
      <c r="AP37" s="305"/>
      <c r="AQ37" s="305"/>
      <c r="AR37" s="305"/>
      <c r="AS37" s="305"/>
      <c r="AT37" s="305"/>
      <c r="AU37" s="305"/>
      <c r="AV37" s="305"/>
      <c r="AW37" s="305"/>
      <c r="AX37" s="305"/>
      <c r="AY37" s="305"/>
      <c r="AZ37" s="305"/>
      <c r="BA37" s="305"/>
      <c r="BB37" s="305"/>
      <c r="BC37" s="305"/>
      <c r="BD37" s="305"/>
      <c r="BE37" s="305"/>
      <c r="BF37" s="305"/>
      <c r="BG37" s="305"/>
      <c r="BH37" s="305"/>
      <c r="BI37" s="305"/>
      <c r="BJ37" s="305"/>
    </row>
    <row r="38" spans="1:62">
      <c r="A38" s="80" t="s">
        <v>352</v>
      </c>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503" t="s">
        <v>262</v>
      </c>
      <c r="AL38" s="503"/>
      <c r="AM38" s="503"/>
      <c r="AN38" s="503"/>
      <c r="AO38" s="503"/>
      <c r="AP38" s="503"/>
      <c r="AQ38" s="503"/>
      <c r="AR38" s="503"/>
      <c r="AS38" s="503"/>
      <c r="AT38" s="503"/>
      <c r="AU38" s="503"/>
      <c r="AV38" s="503"/>
      <c r="AW38" s="503"/>
      <c r="AX38" s="503"/>
      <c r="AY38" s="503"/>
      <c r="AZ38" s="503"/>
      <c r="BA38" s="503"/>
      <c r="BB38" s="503"/>
      <c r="BC38" s="503"/>
      <c r="BD38" s="503"/>
      <c r="BE38" s="503"/>
      <c r="BF38" s="503"/>
      <c r="BG38" s="503"/>
      <c r="BH38" s="503"/>
      <c r="BI38" s="503"/>
      <c r="BJ38" s="503"/>
    </row>
    <row r="39" spans="1:62" ht="26.4">
      <c r="A39" s="380" t="s">
        <v>263</v>
      </c>
      <c r="B39" s="67">
        <v>1990</v>
      </c>
      <c r="C39" s="67">
        <v>1991</v>
      </c>
      <c r="D39" s="67">
        <v>1992</v>
      </c>
      <c r="E39" s="67">
        <v>1993</v>
      </c>
      <c r="F39" s="67">
        <v>1994</v>
      </c>
      <c r="G39" s="67">
        <v>1995</v>
      </c>
      <c r="H39" s="67">
        <v>1996</v>
      </c>
      <c r="I39" s="67">
        <v>1997</v>
      </c>
      <c r="J39" s="67">
        <v>1998</v>
      </c>
      <c r="K39" s="67">
        <v>1999</v>
      </c>
      <c r="L39" s="67">
        <v>2000</v>
      </c>
      <c r="M39" s="67">
        <v>2001</v>
      </c>
      <c r="N39" s="67">
        <v>2002</v>
      </c>
      <c r="O39" s="67">
        <v>2003</v>
      </c>
      <c r="P39" s="67">
        <v>2004</v>
      </c>
      <c r="Q39" s="67">
        <v>2005</v>
      </c>
      <c r="R39" s="67">
        <v>2006</v>
      </c>
      <c r="S39" s="67">
        <v>2007</v>
      </c>
      <c r="T39" s="67">
        <v>2008</v>
      </c>
      <c r="U39" s="67">
        <v>2009</v>
      </c>
      <c r="V39" s="67">
        <v>2010</v>
      </c>
      <c r="W39" s="67">
        <v>2011</v>
      </c>
      <c r="X39" s="67">
        <v>2012</v>
      </c>
      <c r="Y39" s="67">
        <v>2013</v>
      </c>
      <c r="Z39" s="67">
        <v>2014</v>
      </c>
      <c r="AA39" s="67">
        <v>2015</v>
      </c>
      <c r="AB39" s="67">
        <v>2016</v>
      </c>
      <c r="AC39" s="67">
        <v>2017</v>
      </c>
      <c r="AD39" s="67">
        <v>2018</v>
      </c>
      <c r="AE39" s="67">
        <v>2019</v>
      </c>
      <c r="AF39" s="68">
        <v>2020</v>
      </c>
      <c r="AG39" s="68">
        <v>2021</v>
      </c>
      <c r="AH39" s="68">
        <v>2022</v>
      </c>
      <c r="AI39" s="67">
        <v>2023</v>
      </c>
      <c r="AJ39" s="67">
        <v>2024</v>
      </c>
      <c r="AK39" s="67">
        <v>2025</v>
      </c>
      <c r="AL39" s="67">
        <v>2026</v>
      </c>
      <c r="AM39" s="142">
        <v>2027</v>
      </c>
      <c r="AN39" s="67">
        <v>2028</v>
      </c>
      <c r="AO39" s="142">
        <v>2029</v>
      </c>
      <c r="AP39" s="67">
        <v>2030</v>
      </c>
      <c r="AQ39" s="142">
        <v>2031</v>
      </c>
      <c r="AR39" s="142">
        <v>2032</v>
      </c>
      <c r="AS39" s="67">
        <v>2033</v>
      </c>
      <c r="AT39" s="142">
        <v>2034</v>
      </c>
      <c r="AU39" s="67">
        <v>2035</v>
      </c>
      <c r="AV39" s="142">
        <v>2036</v>
      </c>
      <c r="AW39" s="142">
        <v>2037</v>
      </c>
      <c r="AX39" s="67">
        <v>2038</v>
      </c>
      <c r="AY39" s="142">
        <v>2039</v>
      </c>
      <c r="AZ39" s="67">
        <v>2040</v>
      </c>
      <c r="BA39" s="142">
        <v>2041</v>
      </c>
      <c r="BB39" s="142">
        <v>2042</v>
      </c>
      <c r="BC39" s="142">
        <v>2043</v>
      </c>
      <c r="BD39" s="142">
        <v>2044</v>
      </c>
      <c r="BE39" s="67">
        <v>2045</v>
      </c>
      <c r="BF39" s="142">
        <v>2046</v>
      </c>
      <c r="BG39" s="142">
        <v>2047</v>
      </c>
      <c r="BH39" s="142">
        <v>2048</v>
      </c>
      <c r="BI39" s="142">
        <v>2049</v>
      </c>
      <c r="BJ39" s="67">
        <v>2050</v>
      </c>
    </row>
    <row r="40" spans="1:62">
      <c r="A40" s="82" t="s">
        <v>74</v>
      </c>
      <c r="B40" s="83">
        <v>0</v>
      </c>
      <c r="C40" s="83">
        <v>0</v>
      </c>
      <c r="D40" s="83">
        <v>0</v>
      </c>
      <c r="E40" s="83">
        <v>0</v>
      </c>
      <c r="F40" s="83">
        <v>0</v>
      </c>
      <c r="G40" s="83">
        <v>0</v>
      </c>
      <c r="H40" s="83">
        <v>0</v>
      </c>
      <c r="I40" s="83">
        <v>0</v>
      </c>
      <c r="J40" s="83">
        <v>0</v>
      </c>
      <c r="K40" s="83">
        <v>0</v>
      </c>
      <c r="L40" s="83">
        <v>0</v>
      </c>
      <c r="M40" s="83">
        <v>0</v>
      </c>
      <c r="N40" s="83">
        <v>0</v>
      </c>
      <c r="O40" s="83">
        <v>0</v>
      </c>
      <c r="P40" s="83">
        <v>0</v>
      </c>
      <c r="Q40" s="83">
        <v>0</v>
      </c>
      <c r="R40" s="83">
        <v>0</v>
      </c>
      <c r="S40" s="83">
        <v>0</v>
      </c>
      <c r="T40" s="83">
        <v>0</v>
      </c>
      <c r="U40" s="83">
        <v>0</v>
      </c>
      <c r="V40" s="83">
        <v>0</v>
      </c>
      <c r="W40" s="83">
        <v>0</v>
      </c>
      <c r="X40" s="83">
        <v>0</v>
      </c>
      <c r="Y40" s="83">
        <v>0</v>
      </c>
      <c r="Z40" s="83">
        <v>0</v>
      </c>
      <c r="AA40" s="83">
        <v>0</v>
      </c>
      <c r="AB40" s="83">
        <v>0</v>
      </c>
      <c r="AC40" s="83">
        <v>0</v>
      </c>
      <c r="AD40" s="83">
        <v>0</v>
      </c>
      <c r="AE40" s="83">
        <v>0</v>
      </c>
      <c r="AF40" s="83">
        <v>0</v>
      </c>
      <c r="AG40" s="83">
        <v>0</v>
      </c>
      <c r="AH40" s="83">
        <v>0</v>
      </c>
      <c r="AI40" s="83">
        <v>0</v>
      </c>
      <c r="AJ40" s="83">
        <v>0</v>
      </c>
      <c r="AK40" s="83">
        <v>0</v>
      </c>
      <c r="AL40" s="277">
        <f>AK40+(AN40-AK40)/3</f>
        <v>0</v>
      </c>
      <c r="AM40" s="382">
        <f>(AL40+AN40)/2</f>
        <v>0</v>
      </c>
      <c r="AN40" s="83"/>
      <c r="AO40" s="277">
        <f>AN40+(AP40-AN40)/2</f>
        <v>0</v>
      </c>
      <c r="AP40" s="83"/>
      <c r="AQ40" s="277">
        <f>AP40+(AS40-AP40)/3</f>
        <v>0</v>
      </c>
      <c r="AR40" s="277">
        <f>AP40+(AS40-AP40)*2/3</f>
        <v>0</v>
      </c>
      <c r="AS40" s="83"/>
      <c r="AT40" s="277">
        <f>AS40+(AU40-AS40)/2</f>
        <v>0</v>
      </c>
      <c r="AU40" s="83"/>
      <c r="AV40" s="277">
        <f>AU40+(AX40-AU40)/3</f>
        <v>0</v>
      </c>
      <c r="AW40" s="277">
        <f>AU40+(AX40-AU40)*2/3</f>
        <v>0</v>
      </c>
      <c r="AX40" s="83"/>
      <c r="AY40" s="277">
        <f>AX40+(AZ40-AX40)/2</f>
        <v>0</v>
      </c>
      <c r="AZ40" s="83"/>
      <c r="BA40" s="134">
        <f t="shared" ref="BA40:BA48" si="44">AZ40+(BE40-AZ40)*1/5</f>
        <v>0</v>
      </c>
      <c r="BB40" s="134">
        <f t="shared" ref="BB40:BB48" si="45">AZ40+(BE40-AZ40)*2/5</f>
        <v>0</v>
      </c>
      <c r="BC40" s="134">
        <f t="shared" ref="BC40:BC48" si="46">AZ40+(BE40-AZ40)*3/5</f>
        <v>0</v>
      </c>
      <c r="BD40" s="134">
        <f t="shared" ref="BD40:BD48" si="47">AZ40+(BE40-AZ40)*4/5</f>
        <v>0</v>
      </c>
      <c r="BE40" s="83"/>
      <c r="BF40" s="134">
        <f t="shared" ref="BF40:BF48" si="48">BE40+(BJ40-BE40)*1/5</f>
        <v>0</v>
      </c>
      <c r="BG40" s="134">
        <f t="shared" ref="BG40:BG48" si="49">BE40+(BJ40-BE40)*2/5</f>
        <v>0</v>
      </c>
      <c r="BH40" s="134">
        <f t="shared" ref="BH40:BH48" si="50">BE40+(BJ40-BE40)*3/5</f>
        <v>0</v>
      </c>
      <c r="BI40" s="134">
        <f t="shared" ref="BI40:BI48" si="51">BE40+(BJ40-BE40)*4/5</f>
        <v>0</v>
      </c>
      <c r="BJ40" s="83"/>
    </row>
    <row r="41" spans="1:62">
      <c r="A41" s="82" t="s">
        <v>76</v>
      </c>
      <c r="B41" s="83">
        <v>0</v>
      </c>
      <c r="C41" s="83">
        <v>0</v>
      </c>
      <c r="D41" s="83">
        <v>0</v>
      </c>
      <c r="E41" s="83">
        <v>0</v>
      </c>
      <c r="F41" s="83">
        <v>0</v>
      </c>
      <c r="G41" s="83">
        <v>0</v>
      </c>
      <c r="H41" s="83">
        <v>0</v>
      </c>
      <c r="I41" s="83">
        <v>0</v>
      </c>
      <c r="J41" s="83">
        <v>0</v>
      </c>
      <c r="K41" s="83">
        <v>0</v>
      </c>
      <c r="L41" s="83">
        <v>0</v>
      </c>
      <c r="M41" s="83">
        <v>0</v>
      </c>
      <c r="N41" s="83">
        <v>0</v>
      </c>
      <c r="O41" s="83">
        <v>0</v>
      </c>
      <c r="P41" s="83">
        <v>0</v>
      </c>
      <c r="Q41" s="83">
        <v>0</v>
      </c>
      <c r="R41" s="83">
        <v>0</v>
      </c>
      <c r="S41" s="83">
        <v>0</v>
      </c>
      <c r="T41" s="83">
        <v>0</v>
      </c>
      <c r="U41" s="83">
        <v>0</v>
      </c>
      <c r="V41" s="83">
        <v>0</v>
      </c>
      <c r="W41" s="83">
        <v>0</v>
      </c>
      <c r="X41" s="83">
        <v>0</v>
      </c>
      <c r="Y41" s="83">
        <v>0</v>
      </c>
      <c r="Z41" s="83">
        <v>0</v>
      </c>
      <c r="AA41" s="83">
        <v>0</v>
      </c>
      <c r="AB41" s="83">
        <v>0</v>
      </c>
      <c r="AC41" s="83">
        <v>0</v>
      </c>
      <c r="AD41" s="83">
        <v>0</v>
      </c>
      <c r="AE41" s="83">
        <v>0</v>
      </c>
      <c r="AF41" s="83">
        <v>0</v>
      </c>
      <c r="AG41" s="83">
        <v>0</v>
      </c>
      <c r="AH41" s="83">
        <v>0</v>
      </c>
      <c r="AI41" s="83">
        <v>0</v>
      </c>
      <c r="AJ41" s="83">
        <v>0</v>
      </c>
      <c r="AK41" s="83">
        <v>0</v>
      </c>
      <c r="AL41" s="277">
        <f t="shared" ref="AL41:AL48" si="52">AK41+(AN41-AK41)/3</f>
        <v>0</v>
      </c>
      <c r="AM41" s="382">
        <f t="shared" ref="AM41:AM47" si="53">(AL41+AN41)/2</f>
        <v>0</v>
      </c>
      <c r="AN41" s="83"/>
      <c r="AO41" s="277">
        <f t="shared" ref="AO41:AO48" si="54">AN41+(AP41-AN41)/2</f>
        <v>0</v>
      </c>
      <c r="AP41" s="83"/>
      <c r="AQ41" s="277">
        <f t="shared" ref="AQ41:AQ48" si="55">AP41+(AS41-AP41)/3</f>
        <v>0</v>
      </c>
      <c r="AR41" s="277">
        <f t="shared" ref="AR41:AR48" si="56">AP41+(AS41-AP41)*2/3</f>
        <v>0</v>
      </c>
      <c r="AS41" s="83"/>
      <c r="AT41" s="277">
        <f t="shared" ref="AT41:AT48" si="57">AS41+(AU41-AS41)/2</f>
        <v>0</v>
      </c>
      <c r="AU41" s="83"/>
      <c r="AV41" s="277">
        <f t="shared" ref="AV41:AV48" si="58">AU41+(AX41-AU41)/3</f>
        <v>0</v>
      </c>
      <c r="AW41" s="277">
        <f t="shared" ref="AW41:AW48" si="59">AU41+(AX41-AU41)*2/3</f>
        <v>0</v>
      </c>
      <c r="AX41" s="83"/>
      <c r="AY41" s="277">
        <f t="shared" ref="AY41:AY48" si="60">AX41+(AZ41-AX41)/2</f>
        <v>0</v>
      </c>
      <c r="AZ41" s="83"/>
      <c r="BA41" s="134">
        <f t="shared" si="44"/>
        <v>0</v>
      </c>
      <c r="BB41" s="134">
        <f t="shared" si="45"/>
        <v>0</v>
      </c>
      <c r="BC41" s="134">
        <f t="shared" si="46"/>
        <v>0</v>
      </c>
      <c r="BD41" s="134">
        <f t="shared" si="47"/>
        <v>0</v>
      </c>
      <c r="BE41" s="83"/>
      <c r="BF41" s="134">
        <f t="shared" si="48"/>
        <v>0</v>
      </c>
      <c r="BG41" s="134">
        <f t="shared" si="49"/>
        <v>0</v>
      </c>
      <c r="BH41" s="134">
        <f t="shared" si="50"/>
        <v>0</v>
      </c>
      <c r="BI41" s="134">
        <f t="shared" si="51"/>
        <v>0</v>
      </c>
      <c r="BJ41" s="83"/>
    </row>
    <row r="42" spans="1:62">
      <c r="A42" s="82" t="s">
        <v>78</v>
      </c>
      <c r="B42" s="83">
        <v>0</v>
      </c>
      <c r="C42" s="83">
        <v>0</v>
      </c>
      <c r="D42" s="83">
        <v>0</v>
      </c>
      <c r="E42" s="83">
        <v>0</v>
      </c>
      <c r="F42" s="83">
        <v>0</v>
      </c>
      <c r="G42" s="83">
        <v>0</v>
      </c>
      <c r="H42" s="83">
        <v>0</v>
      </c>
      <c r="I42" s="83">
        <v>0</v>
      </c>
      <c r="J42" s="83">
        <v>0</v>
      </c>
      <c r="K42" s="83">
        <v>0</v>
      </c>
      <c r="L42" s="83">
        <v>0</v>
      </c>
      <c r="M42" s="83">
        <v>0</v>
      </c>
      <c r="N42" s="83">
        <v>0</v>
      </c>
      <c r="O42" s="83">
        <v>0</v>
      </c>
      <c r="P42" s="83">
        <v>0</v>
      </c>
      <c r="Q42" s="83">
        <v>0</v>
      </c>
      <c r="R42" s="83">
        <v>0</v>
      </c>
      <c r="S42" s="83">
        <v>0</v>
      </c>
      <c r="T42" s="83">
        <v>0</v>
      </c>
      <c r="U42" s="83">
        <v>0</v>
      </c>
      <c r="V42" s="83">
        <v>0</v>
      </c>
      <c r="W42" s="83">
        <v>0</v>
      </c>
      <c r="X42" s="83">
        <v>0</v>
      </c>
      <c r="Y42" s="83">
        <v>0</v>
      </c>
      <c r="Z42" s="83">
        <v>0</v>
      </c>
      <c r="AA42" s="83">
        <v>0</v>
      </c>
      <c r="AB42" s="83">
        <v>0</v>
      </c>
      <c r="AC42" s="83">
        <v>0</v>
      </c>
      <c r="AD42" s="83">
        <v>0</v>
      </c>
      <c r="AE42" s="83">
        <v>0</v>
      </c>
      <c r="AF42" s="83">
        <v>0</v>
      </c>
      <c r="AG42" s="83">
        <v>0</v>
      </c>
      <c r="AH42" s="83">
        <v>0</v>
      </c>
      <c r="AI42" s="83">
        <v>0</v>
      </c>
      <c r="AJ42" s="83">
        <v>0</v>
      </c>
      <c r="AK42" s="83">
        <v>0</v>
      </c>
      <c r="AL42" s="277">
        <f t="shared" si="52"/>
        <v>0</v>
      </c>
      <c r="AM42" s="382">
        <f t="shared" si="53"/>
        <v>0</v>
      </c>
      <c r="AN42" s="83"/>
      <c r="AO42" s="277">
        <f t="shared" si="54"/>
        <v>0</v>
      </c>
      <c r="AP42" s="83"/>
      <c r="AQ42" s="277">
        <f t="shared" si="55"/>
        <v>0</v>
      </c>
      <c r="AR42" s="277">
        <f t="shared" si="56"/>
        <v>0</v>
      </c>
      <c r="AS42" s="83"/>
      <c r="AT42" s="277">
        <f t="shared" si="57"/>
        <v>0</v>
      </c>
      <c r="AU42" s="83"/>
      <c r="AV42" s="277">
        <f t="shared" si="58"/>
        <v>0</v>
      </c>
      <c r="AW42" s="277">
        <f t="shared" si="59"/>
        <v>0</v>
      </c>
      <c r="AX42" s="83"/>
      <c r="AY42" s="277">
        <f t="shared" si="60"/>
        <v>-0.83107685524985886</v>
      </c>
      <c r="AZ42" s="83">
        <v>-1.6621537104997177</v>
      </c>
      <c r="BA42" s="134">
        <f t="shared" si="44"/>
        <v>-1.5634188501315587</v>
      </c>
      <c r="BB42" s="134">
        <f t="shared" si="45"/>
        <v>-1.4646839897633999</v>
      </c>
      <c r="BC42" s="134">
        <f t="shared" si="46"/>
        <v>-1.3659491293952408</v>
      </c>
      <c r="BD42" s="134">
        <f t="shared" si="47"/>
        <v>-1.267214269027082</v>
      </c>
      <c r="BE42" s="83">
        <v>-1.168479408658923</v>
      </c>
      <c r="BF42" s="134">
        <f t="shared" si="48"/>
        <v>-1.0825875995743592</v>
      </c>
      <c r="BG42" s="134">
        <f t="shared" si="49"/>
        <v>-0.99669579048979529</v>
      </c>
      <c r="BH42" s="134">
        <f t="shared" si="50"/>
        <v>-0.91080398140523156</v>
      </c>
      <c r="BI42" s="134">
        <f t="shared" si="51"/>
        <v>-0.82491217232066771</v>
      </c>
      <c r="BJ42" s="83">
        <v>-0.73902036323610387</v>
      </c>
    </row>
    <row r="43" spans="1:62">
      <c r="A43" s="82" t="s">
        <v>80</v>
      </c>
      <c r="B43" s="83">
        <v>0</v>
      </c>
      <c r="C43" s="83">
        <v>0</v>
      </c>
      <c r="D43" s="83">
        <v>0</v>
      </c>
      <c r="E43" s="83">
        <v>0</v>
      </c>
      <c r="F43" s="83">
        <v>0</v>
      </c>
      <c r="G43" s="83">
        <v>0</v>
      </c>
      <c r="H43" s="83">
        <v>0</v>
      </c>
      <c r="I43" s="83">
        <v>0</v>
      </c>
      <c r="J43" s="83">
        <v>0</v>
      </c>
      <c r="K43" s="83">
        <v>0</v>
      </c>
      <c r="L43" s="83">
        <v>0</v>
      </c>
      <c r="M43" s="83">
        <v>0</v>
      </c>
      <c r="N43" s="83">
        <v>0</v>
      </c>
      <c r="O43" s="83">
        <v>0</v>
      </c>
      <c r="P43" s="83">
        <v>0</v>
      </c>
      <c r="Q43" s="83">
        <v>0</v>
      </c>
      <c r="R43" s="83">
        <v>0</v>
      </c>
      <c r="S43" s="83">
        <v>0</v>
      </c>
      <c r="T43" s="83">
        <v>0</v>
      </c>
      <c r="U43" s="83">
        <v>0</v>
      </c>
      <c r="V43" s="83">
        <v>0</v>
      </c>
      <c r="W43" s="83">
        <v>0</v>
      </c>
      <c r="X43" s="83">
        <v>0</v>
      </c>
      <c r="Y43" s="83">
        <v>0</v>
      </c>
      <c r="Z43" s="83">
        <v>0</v>
      </c>
      <c r="AA43" s="83">
        <v>0</v>
      </c>
      <c r="AB43" s="83">
        <v>0</v>
      </c>
      <c r="AC43" s="83">
        <v>0</v>
      </c>
      <c r="AD43" s="83">
        <v>0</v>
      </c>
      <c r="AE43" s="83">
        <v>0</v>
      </c>
      <c r="AF43" s="83">
        <v>0</v>
      </c>
      <c r="AG43" s="83">
        <v>0</v>
      </c>
      <c r="AH43" s="83">
        <v>0</v>
      </c>
      <c r="AI43" s="83">
        <v>0</v>
      </c>
      <c r="AJ43" s="83">
        <v>0</v>
      </c>
      <c r="AK43" s="83">
        <v>0</v>
      </c>
      <c r="AL43" s="277">
        <f t="shared" si="52"/>
        <v>0</v>
      </c>
      <c r="AM43" s="382">
        <f t="shared" si="53"/>
        <v>0</v>
      </c>
      <c r="AN43" s="83"/>
      <c r="AO43" s="277">
        <f t="shared" si="54"/>
        <v>0</v>
      </c>
      <c r="AP43" s="83"/>
      <c r="AQ43" s="277">
        <f t="shared" si="55"/>
        <v>0</v>
      </c>
      <c r="AR43" s="277">
        <f t="shared" si="56"/>
        <v>0</v>
      </c>
      <c r="AS43" s="83"/>
      <c r="AT43" s="277">
        <f t="shared" si="57"/>
        <v>0</v>
      </c>
      <c r="AU43" s="83"/>
      <c r="AV43" s="277">
        <f t="shared" si="58"/>
        <v>0</v>
      </c>
      <c r="AW43" s="277">
        <f t="shared" si="59"/>
        <v>0</v>
      </c>
      <c r="AX43" s="83"/>
      <c r="AY43" s="277">
        <f t="shared" si="60"/>
        <v>0</v>
      </c>
      <c r="AZ43" s="83"/>
      <c r="BA43" s="134">
        <f t="shared" si="44"/>
        <v>0</v>
      </c>
      <c r="BB43" s="134">
        <f t="shared" si="45"/>
        <v>0</v>
      </c>
      <c r="BC43" s="134">
        <f t="shared" si="46"/>
        <v>0</v>
      </c>
      <c r="BD43" s="134">
        <f t="shared" si="47"/>
        <v>0</v>
      </c>
      <c r="BE43" s="83"/>
      <c r="BF43" s="134">
        <f t="shared" si="48"/>
        <v>0</v>
      </c>
      <c r="BG43" s="134">
        <f t="shared" si="49"/>
        <v>0</v>
      </c>
      <c r="BH43" s="134">
        <f t="shared" si="50"/>
        <v>0</v>
      </c>
      <c r="BI43" s="134">
        <f t="shared" si="51"/>
        <v>0</v>
      </c>
      <c r="BJ43" s="83"/>
    </row>
    <row r="44" spans="1:62">
      <c r="A44" s="82" t="s">
        <v>244</v>
      </c>
      <c r="B44" s="83">
        <v>0</v>
      </c>
      <c r="C44" s="83">
        <v>0</v>
      </c>
      <c r="D44" s="83">
        <v>0</v>
      </c>
      <c r="E44" s="83">
        <v>0</v>
      </c>
      <c r="F44" s="83">
        <v>0</v>
      </c>
      <c r="G44" s="83">
        <v>0</v>
      </c>
      <c r="H44" s="83">
        <v>0</v>
      </c>
      <c r="I44" s="83">
        <v>0</v>
      </c>
      <c r="J44" s="83">
        <v>0</v>
      </c>
      <c r="K44" s="83">
        <v>0</v>
      </c>
      <c r="L44" s="83">
        <v>0</v>
      </c>
      <c r="M44" s="83">
        <v>0</v>
      </c>
      <c r="N44" s="83">
        <v>0</v>
      </c>
      <c r="O44" s="83">
        <v>0</v>
      </c>
      <c r="P44" s="83">
        <v>0</v>
      </c>
      <c r="Q44" s="83">
        <v>0</v>
      </c>
      <c r="R44" s="83">
        <v>0</v>
      </c>
      <c r="S44" s="83">
        <v>0</v>
      </c>
      <c r="T44" s="83">
        <v>0</v>
      </c>
      <c r="U44" s="83">
        <v>0</v>
      </c>
      <c r="V44" s="83">
        <v>0</v>
      </c>
      <c r="W44" s="83">
        <v>0</v>
      </c>
      <c r="X44" s="83">
        <v>0</v>
      </c>
      <c r="Y44" s="83">
        <v>0</v>
      </c>
      <c r="Z44" s="83">
        <v>0</v>
      </c>
      <c r="AA44" s="83">
        <v>0</v>
      </c>
      <c r="AB44" s="83">
        <v>0</v>
      </c>
      <c r="AC44" s="83">
        <v>0</v>
      </c>
      <c r="AD44" s="83">
        <v>0</v>
      </c>
      <c r="AE44" s="83">
        <v>0</v>
      </c>
      <c r="AF44" s="83">
        <v>0</v>
      </c>
      <c r="AG44" s="83">
        <v>0</v>
      </c>
      <c r="AH44" s="83">
        <v>0</v>
      </c>
      <c r="AI44" s="83">
        <v>0</v>
      </c>
      <c r="AJ44" s="83">
        <v>0</v>
      </c>
      <c r="AK44" s="83">
        <v>0</v>
      </c>
      <c r="AL44" s="277">
        <f t="shared" si="52"/>
        <v>0</v>
      </c>
      <c r="AM44" s="382">
        <f t="shared" si="53"/>
        <v>0</v>
      </c>
      <c r="AN44" s="83"/>
      <c r="AO44" s="277">
        <f t="shared" si="54"/>
        <v>0</v>
      </c>
      <c r="AP44" s="83"/>
      <c r="AQ44" s="277">
        <f t="shared" si="55"/>
        <v>0</v>
      </c>
      <c r="AR44" s="277">
        <f t="shared" si="56"/>
        <v>0</v>
      </c>
      <c r="AS44" s="83"/>
      <c r="AT44" s="277">
        <f t="shared" si="57"/>
        <v>0</v>
      </c>
      <c r="AU44" s="83"/>
      <c r="AV44" s="277">
        <f t="shared" si="58"/>
        <v>0</v>
      </c>
      <c r="AW44" s="277">
        <f t="shared" si="59"/>
        <v>0</v>
      </c>
      <c r="AX44" s="83"/>
      <c r="AY44" s="277">
        <f t="shared" si="60"/>
        <v>0</v>
      </c>
      <c r="AZ44" s="83"/>
      <c r="BA44" s="134">
        <f t="shared" si="44"/>
        <v>0</v>
      </c>
      <c r="BB44" s="134">
        <f t="shared" si="45"/>
        <v>0</v>
      </c>
      <c r="BC44" s="134">
        <f t="shared" si="46"/>
        <v>0</v>
      </c>
      <c r="BD44" s="134">
        <f t="shared" si="47"/>
        <v>0</v>
      </c>
      <c r="BE44" s="83"/>
      <c r="BF44" s="134">
        <f t="shared" si="48"/>
        <v>0</v>
      </c>
      <c r="BG44" s="134">
        <f t="shared" si="49"/>
        <v>0</v>
      </c>
      <c r="BH44" s="134">
        <f t="shared" si="50"/>
        <v>0</v>
      </c>
      <c r="BI44" s="134">
        <f t="shared" si="51"/>
        <v>0</v>
      </c>
      <c r="BJ44" s="83"/>
    </row>
    <row r="45" spans="1:62">
      <c r="A45" s="82" t="s">
        <v>245</v>
      </c>
      <c r="B45" s="83">
        <v>0</v>
      </c>
      <c r="C45" s="83">
        <v>0</v>
      </c>
      <c r="D45" s="83">
        <v>0</v>
      </c>
      <c r="E45" s="83">
        <v>0</v>
      </c>
      <c r="F45" s="83">
        <v>0</v>
      </c>
      <c r="G45" s="83">
        <v>0</v>
      </c>
      <c r="H45" s="83">
        <v>0</v>
      </c>
      <c r="I45" s="83">
        <v>0</v>
      </c>
      <c r="J45" s="83">
        <v>0</v>
      </c>
      <c r="K45" s="83">
        <v>0</v>
      </c>
      <c r="L45" s="83">
        <v>0</v>
      </c>
      <c r="M45" s="83">
        <v>0</v>
      </c>
      <c r="N45" s="83">
        <v>0</v>
      </c>
      <c r="O45" s="83">
        <v>0</v>
      </c>
      <c r="P45" s="83">
        <v>0</v>
      </c>
      <c r="Q45" s="83">
        <v>0</v>
      </c>
      <c r="R45" s="83">
        <v>0</v>
      </c>
      <c r="S45" s="83">
        <v>0</v>
      </c>
      <c r="T45" s="83">
        <v>0</v>
      </c>
      <c r="U45" s="83">
        <v>0</v>
      </c>
      <c r="V45" s="83">
        <v>0</v>
      </c>
      <c r="W45" s="83">
        <v>0</v>
      </c>
      <c r="X45" s="83">
        <v>0</v>
      </c>
      <c r="Y45" s="83">
        <v>0</v>
      </c>
      <c r="Z45" s="83">
        <v>0</v>
      </c>
      <c r="AA45" s="83">
        <v>0</v>
      </c>
      <c r="AB45" s="83">
        <v>0</v>
      </c>
      <c r="AC45" s="83">
        <v>0</v>
      </c>
      <c r="AD45" s="83">
        <v>0</v>
      </c>
      <c r="AE45" s="83">
        <v>0</v>
      </c>
      <c r="AF45" s="83">
        <v>0</v>
      </c>
      <c r="AG45" s="83">
        <v>0</v>
      </c>
      <c r="AH45" s="83">
        <v>0</v>
      </c>
      <c r="AI45" s="83">
        <v>0</v>
      </c>
      <c r="AJ45" s="83">
        <v>0</v>
      </c>
      <c r="AK45" s="83">
        <v>0</v>
      </c>
      <c r="AL45" s="277">
        <f t="shared" si="52"/>
        <v>0</v>
      </c>
      <c r="AM45" s="382">
        <f t="shared" si="53"/>
        <v>0</v>
      </c>
      <c r="AN45" s="83"/>
      <c r="AO45" s="277">
        <f t="shared" si="54"/>
        <v>0</v>
      </c>
      <c r="AP45" s="83"/>
      <c r="AQ45" s="277">
        <f t="shared" si="55"/>
        <v>0</v>
      </c>
      <c r="AR45" s="277">
        <f t="shared" si="56"/>
        <v>0</v>
      </c>
      <c r="AS45" s="83"/>
      <c r="AT45" s="277">
        <f t="shared" si="57"/>
        <v>0</v>
      </c>
      <c r="AU45" s="83"/>
      <c r="AV45" s="277">
        <f t="shared" si="58"/>
        <v>0</v>
      </c>
      <c r="AW45" s="277">
        <f t="shared" si="59"/>
        <v>0</v>
      </c>
      <c r="AX45" s="83"/>
      <c r="AY45" s="277">
        <f t="shared" si="60"/>
        <v>0</v>
      </c>
      <c r="AZ45" s="83"/>
      <c r="BA45" s="134">
        <f t="shared" si="44"/>
        <v>0</v>
      </c>
      <c r="BB45" s="134">
        <f t="shared" si="45"/>
        <v>0</v>
      </c>
      <c r="BC45" s="134">
        <f t="shared" si="46"/>
        <v>0</v>
      </c>
      <c r="BD45" s="134">
        <f t="shared" si="47"/>
        <v>0</v>
      </c>
      <c r="BE45" s="83"/>
      <c r="BF45" s="134">
        <f t="shared" si="48"/>
        <v>0</v>
      </c>
      <c r="BG45" s="134">
        <f t="shared" si="49"/>
        <v>0</v>
      </c>
      <c r="BH45" s="134">
        <f t="shared" si="50"/>
        <v>0</v>
      </c>
      <c r="BI45" s="134">
        <f t="shared" si="51"/>
        <v>0</v>
      </c>
      <c r="BJ45" s="83"/>
    </row>
    <row r="46" spans="1:62">
      <c r="A46" s="82" t="s">
        <v>246</v>
      </c>
      <c r="B46" s="83">
        <v>0</v>
      </c>
      <c r="C46" s="83">
        <v>0</v>
      </c>
      <c r="D46" s="83">
        <v>0</v>
      </c>
      <c r="E46" s="83">
        <v>0</v>
      </c>
      <c r="F46" s="83">
        <v>0</v>
      </c>
      <c r="G46" s="83">
        <v>0</v>
      </c>
      <c r="H46" s="83">
        <v>0</v>
      </c>
      <c r="I46" s="83">
        <v>0</v>
      </c>
      <c r="J46" s="83">
        <v>0</v>
      </c>
      <c r="K46" s="83">
        <v>0</v>
      </c>
      <c r="L46" s="83">
        <v>0</v>
      </c>
      <c r="M46" s="83">
        <v>0</v>
      </c>
      <c r="N46" s="83">
        <v>0</v>
      </c>
      <c r="O46" s="83">
        <v>0</v>
      </c>
      <c r="P46" s="83">
        <v>0</v>
      </c>
      <c r="Q46" s="83">
        <v>0</v>
      </c>
      <c r="R46" s="83">
        <v>0</v>
      </c>
      <c r="S46" s="83">
        <v>0</v>
      </c>
      <c r="T46" s="83">
        <v>0</v>
      </c>
      <c r="U46" s="83">
        <v>0</v>
      </c>
      <c r="V46" s="83">
        <v>0</v>
      </c>
      <c r="W46" s="83">
        <v>0</v>
      </c>
      <c r="X46" s="83">
        <v>0</v>
      </c>
      <c r="Y46" s="83">
        <v>0</v>
      </c>
      <c r="Z46" s="83">
        <v>0</v>
      </c>
      <c r="AA46" s="83">
        <v>0</v>
      </c>
      <c r="AB46" s="83">
        <v>0</v>
      </c>
      <c r="AC46" s="83">
        <v>0</v>
      </c>
      <c r="AD46" s="83">
        <v>0</v>
      </c>
      <c r="AE46" s="83">
        <v>0</v>
      </c>
      <c r="AF46" s="83">
        <v>0</v>
      </c>
      <c r="AG46" s="83">
        <v>0</v>
      </c>
      <c r="AH46" s="83">
        <v>0</v>
      </c>
      <c r="AI46" s="83">
        <v>0</v>
      </c>
      <c r="AJ46" s="83">
        <v>0</v>
      </c>
      <c r="AK46" s="83">
        <v>0</v>
      </c>
      <c r="AL46" s="277">
        <f t="shared" si="52"/>
        <v>0</v>
      </c>
      <c r="AM46" s="382">
        <f t="shared" si="53"/>
        <v>0</v>
      </c>
      <c r="AN46" s="83"/>
      <c r="AO46" s="277">
        <f t="shared" si="54"/>
        <v>0</v>
      </c>
      <c r="AP46" s="83"/>
      <c r="AQ46" s="277">
        <f t="shared" si="55"/>
        <v>0</v>
      </c>
      <c r="AR46" s="277">
        <f t="shared" si="56"/>
        <v>0</v>
      </c>
      <c r="AS46" s="83"/>
      <c r="AT46" s="277">
        <f t="shared" si="57"/>
        <v>0</v>
      </c>
      <c r="AU46" s="83"/>
      <c r="AV46" s="277">
        <f t="shared" si="58"/>
        <v>0</v>
      </c>
      <c r="AW46" s="277">
        <f t="shared" si="59"/>
        <v>0</v>
      </c>
      <c r="AX46" s="83"/>
      <c r="AY46" s="277">
        <f t="shared" si="60"/>
        <v>0</v>
      </c>
      <c r="AZ46" s="83"/>
      <c r="BA46" s="134">
        <f t="shared" si="44"/>
        <v>0</v>
      </c>
      <c r="BB46" s="134">
        <f t="shared" si="45"/>
        <v>0</v>
      </c>
      <c r="BC46" s="134">
        <f t="shared" si="46"/>
        <v>0</v>
      </c>
      <c r="BD46" s="134">
        <f t="shared" si="47"/>
        <v>0</v>
      </c>
      <c r="BE46" s="83"/>
      <c r="BF46" s="134">
        <f t="shared" si="48"/>
        <v>0</v>
      </c>
      <c r="BG46" s="134">
        <f t="shared" si="49"/>
        <v>0</v>
      </c>
      <c r="BH46" s="134">
        <f t="shared" si="50"/>
        <v>0</v>
      </c>
      <c r="BI46" s="134">
        <f t="shared" si="51"/>
        <v>0</v>
      </c>
      <c r="BJ46" s="83"/>
    </row>
    <row r="47" spans="1:62">
      <c r="A47" s="82" t="s">
        <v>276</v>
      </c>
      <c r="B47" s="83">
        <v>0</v>
      </c>
      <c r="C47" s="83">
        <v>0</v>
      </c>
      <c r="D47" s="83">
        <v>0</v>
      </c>
      <c r="E47" s="83">
        <v>0</v>
      </c>
      <c r="F47" s="83">
        <v>0</v>
      </c>
      <c r="G47" s="83">
        <v>0</v>
      </c>
      <c r="H47" s="83">
        <v>0</v>
      </c>
      <c r="I47" s="83">
        <v>0</v>
      </c>
      <c r="J47" s="83">
        <v>0</v>
      </c>
      <c r="K47" s="83">
        <v>0</v>
      </c>
      <c r="L47" s="83">
        <v>0</v>
      </c>
      <c r="M47" s="83">
        <v>0</v>
      </c>
      <c r="N47" s="83">
        <v>0</v>
      </c>
      <c r="O47" s="83">
        <v>0</v>
      </c>
      <c r="P47" s="83">
        <v>0</v>
      </c>
      <c r="Q47" s="83">
        <v>0</v>
      </c>
      <c r="R47" s="83">
        <v>0</v>
      </c>
      <c r="S47" s="83">
        <v>0</v>
      </c>
      <c r="T47" s="83">
        <v>0</v>
      </c>
      <c r="U47" s="83">
        <v>0</v>
      </c>
      <c r="V47" s="83">
        <v>0</v>
      </c>
      <c r="W47" s="83">
        <v>0</v>
      </c>
      <c r="X47" s="83">
        <v>0</v>
      </c>
      <c r="Y47" s="83">
        <v>0</v>
      </c>
      <c r="Z47" s="83">
        <v>0</v>
      </c>
      <c r="AA47" s="83">
        <v>0</v>
      </c>
      <c r="AB47" s="83">
        <v>0</v>
      </c>
      <c r="AC47" s="83">
        <v>0</v>
      </c>
      <c r="AD47" s="83">
        <v>0</v>
      </c>
      <c r="AE47" s="83">
        <v>0</v>
      </c>
      <c r="AF47" s="83">
        <v>0</v>
      </c>
      <c r="AG47" s="83">
        <v>0</v>
      </c>
      <c r="AH47" s="83">
        <v>0</v>
      </c>
      <c r="AI47" s="83">
        <v>0</v>
      </c>
      <c r="AJ47" s="83">
        <v>0</v>
      </c>
      <c r="AK47" s="277">
        <v>0</v>
      </c>
      <c r="AL47" s="277">
        <f t="shared" si="52"/>
        <v>0</v>
      </c>
      <c r="AM47" s="382">
        <f t="shared" si="53"/>
        <v>0</v>
      </c>
      <c r="AN47" s="277"/>
      <c r="AO47" s="277">
        <f t="shared" si="54"/>
        <v>0</v>
      </c>
      <c r="AP47" s="277"/>
      <c r="AQ47" s="277">
        <f t="shared" si="55"/>
        <v>0</v>
      </c>
      <c r="AR47" s="277">
        <f t="shared" si="56"/>
        <v>0</v>
      </c>
      <c r="AS47" s="277"/>
      <c r="AT47" s="277">
        <f t="shared" si="57"/>
        <v>0</v>
      </c>
      <c r="AU47" s="277"/>
      <c r="AV47" s="277">
        <f t="shared" si="58"/>
        <v>0</v>
      </c>
      <c r="AW47" s="277">
        <f t="shared" si="59"/>
        <v>0</v>
      </c>
      <c r="AX47" s="277"/>
      <c r="AY47" s="277">
        <f t="shared" si="60"/>
        <v>0</v>
      </c>
      <c r="AZ47" s="277"/>
      <c r="BA47" s="134">
        <f t="shared" si="44"/>
        <v>0</v>
      </c>
      <c r="BB47" s="134">
        <f t="shared" si="45"/>
        <v>0</v>
      </c>
      <c r="BC47" s="134">
        <f t="shared" si="46"/>
        <v>0</v>
      </c>
      <c r="BD47" s="134">
        <f t="shared" si="47"/>
        <v>0</v>
      </c>
      <c r="BE47" s="277"/>
      <c r="BF47" s="134">
        <f t="shared" si="48"/>
        <v>0</v>
      </c>
      <c r="BG47" s="134">
        <f t="shared" si="49"/>
        <v>0</v>
      </c>
      <c r="BH47" s="134">
        <f t="shared" si="50"/>
        <v>0</v>
      </c>
      <c r="BI47" s="134">
        <f t="shared" si="51"/>
        <v>0</v>
      </c>
      <c r="BJ47" s="277"/>
    </row>
    <row r="48" spans="1:62">
      <c r="A48" s="82" t="s">
        <v>83</v>
      </c>
      <c r="B48" s="83">
        <v>0</v>
      </c>
      <c r="C48" s="83">
        <v>0</v>
      </c>
      <c r="D48" s="83">
        <v>0</v>
      </c>
      <c r="E48" s="83">
        <v>0</v>
      </c>
      <c r="F48" s="83">
        <v>0</v>
      </c>
      <c r="G48" s="83">
        <v>0</v>
      </c>
      <c r="H48" s="83">
        <v>0</v>
      </c>
      <c r="I48" s="83">
        <v>0</v>
      </c>
      <c r="J48" s="83">
        <v>0</v>
      </c>
      <c r="K48" s="83">
        <v>0</v>
      </c>
      <c r="L48" s="83">
        <v>0</v>
      </c>
      <c r="M48" s="83">
        <v>0</v>
      </c>
      <c r="N48" s="83">
        <v>0</v>
      </c>
      <c r="O48" s="83">
        <v>0</v>
      </c>
      <c r="P48" s="83">
        <v>0</v>
      </c>
      <c r="Q48" s="83">
        <v>0</v>
      </c>
      <c r="R48" s="83">
        <v>0</v>
      </c>
      <c r="S48" s="83">
        <v>0</v>
      </c>
      <c r="T48" s="83">
        <v>0</v>
      </c>
      <c r="U48" s="83">
        <v>0</v>
      </c>
      <c r="V48" s="83">
        <v>0</v>
      </c>
      <c r="W48" s="83">
        <v>0</v>
      </c>
      <c r="X48" s="83">
        <v>0</v>
      </c>
      <c r="Y48" s="83">
        <v>0</v>
      </c>
      <c r="Z48" s="83">
        <v>0</v>
      </c>
      <c r="AA48" s="83">
        <v>0</v>
      </c>
      <c r="AB48" s="83">
        <v>0</v>
      </c>
      <c r="AC48" s="83">
        <v>0</v>
      </c>
      <c r="AD48" s="83">
        <v>0</v>
      </c>
      <c r="AE48" s="83">
        <v>0</v>
      </c>
      <c r="AF48" s="83">
        <v>0</v>
      </c>
      <c r="AG48" s="83">
        <v>0</v>
      </c>
      <c r="AH48" s="83">
        <v>0</v>
      </c>
      <c r="AI48" s="83">
        <v>0</v>
      </c>
      <c r="AJ48" s="83">
        <v>0</v>
      </c>
      <c r="AK48" s="83">
        <v>0</v>
      </c>
      <c r="AL48" s="277">
        <f t="shared" si="52"/>
        <v>0</v>
      </c>
      <c r="AM48" s="382">
        <f>(AL48+AN48)/2</f>
        <v>0</v>
      </c>
      <c r="AN48" s="83"/>
      <c r="AO48" s="277">
        <f t="shared" si="54"/>
        <v>0</v>
      </c>
      <c r="AP48" s="83"/>
      <c r="AQ48" s="277">
        <f t="shared" si="55"/>
        <v>0</v>
      </c>
      <c r="AR48" s="277">
        <f t="shared" si="56"/>
        <v>0</v>
      </c>
      <c r="AS48" s="83">
        <v>0</v>
      </c>
      <c r="AT48" s="277">
        <f t="shared" si="57"/>
        <v>-0.23566467739516772</v>
      </c>
      <c r="AU48" s="83">
        <v>-0.47132935479033544</v>
      </c>
      <c r="AV48" s="277">
        <f t="shared" si="58"/>
        <v>-0.61677345509753245</v>
      </c>
      <c r="AW48" s="277">
        <f t="shared" si="59"/>
        <v>-0.76221755540472946</v>
      </c>
      <c r="AX48" s="83">
        <v>-0.90766165571192658</v>
      </c>
      <c r="AY48" s="277">
        <f t="shared" si="60"/>
        <v>-1.0531057560191237</v>
      </c>
      <c r="AZ48" s="83">
        <v>-1.1985498563263208</v>
      </c>
      <c r="BA48" s="134">
        <f t="shared" si="44"/>
        <v>-1.3001948664235732</v>
      </c>
      <c r="BB48" s="134">
        <f t="shared" si="45"/>
        <v>-1.4018398765208253</v>
      </c>
      <c r="BC48" s="134">
        <f t="shared" si="46"/>
        <v>-1.5034848866180777</v>
      </c>
      <c r="BD48" s="134">
        <f t="shared" si="47"/>
        <v>-1.6051298967153298</v>
      </c>
      <c r="BE48" s="83">
        <v>-1.7067749068125821</v>
      </c>
      <c r="BF48" s="134">
        <f t="shared" si="48"/>
        <v>-1.7608893946204824</v>
      </c>
      <c r="BG48" s="134">
        <f t="shared" si="49"/>
        <v>-1.8150038824283827</v>
      </c>
      <c r="BH48" s="134">
        <f t="shared" si="50"/>
        <v>-1.8691183702362828</v>
      </c>
      <c r="BI48" s="134">
        <f t="shared" si="51"/>
        <v>-1.9232328580441831</v>
      </c>
      <c r="BJ48" s="83">
        <v>-1.9773473458520834</v>
      </c>
    </row>
    <row r="49" spans="1:62">
      <c r="A49" s="84" t="s">
        <v>353</v>
      </c>
      <c r="B49" s="85">
        <v>0</v>
      </c>
      <c r="C49" s="85">
        <v>0</v>
      </c>
      <c r="D49" s="85">
        <v>0</v>
      </c>
      <c r="E49" s="85">
        <v>0</v>
      </c>
      <c r="F49" s="85">
        <v>0</v>
      </c>
      <c r="G49" s="85">
        <v>0</v>
      </c>
      <c r="H49" s="85">
        <v>0</v>
      </c>
      <c r="I49" s="85">
        <v>0</v>
      </c>
      <c r="J49" s="85">
        <v>0</v>
      </c>
      <c r="K49" s="85">
        <v>0</v>
      </c>
      <c r="L49" s="85">
        <v>0</v>
      </c>
      <c r="M49" s="85">
        <v>0</v>
      </c>
      <c r="N49" s="85">
        <v>0</v>
      </c>
      <c r="O49" s="85">
        <v>0</v>
      </c>
      <c r="P49" s="85">
        <v>0</v>
      </c>
      <c r="Q49" s="85">
        <v>0</v>
      </c>
      <c r="R49" s="85">
        <v>0</v>
      </c>
      <c r="S49" s="85">
        <v>0</v>
      </c>
      <c r="T49" s="85">
        <v>0</v>
      </c>
      <c r="U49" s="85">
        <v>0</v>
      </c>
      <c r="V49" s="85">
        <v>0</v>
      </c>
      <c r="W49" s="85">
        <v>0</v>
      </c>
      <c r="X49" s="85">
        <v>0</v>
      </c>
      <c r="Y49" s="85">
        <v>0</v>
      </c>
      <c r="Z49" s="85">
        <v>0</v>
      </c>
      <c r="AA49" s="85">
        <v>0</v>
      </c>
      <c r="AB49" s="85">
        <v>0</v>
      </c>
      <c r="AC49" s="85">
        <v>0</v>
      </c>
      <c r="AD49" s="85">
        <v>0</v>
      </c>
      <c r="AE49" s="85">
        <v>0</v>
      </c>
      <c r="AF49" s="85">
        <v>0</v>
      </c>
      <c r="AG49" s="85">
        <v>0</v>
      </c>
      <c r="AH49" s="85">
        <v>0</v>
      </c>
      <c r="AI49" s="85">
        <v>0</v>
      </c>
      <c r="AJ49" s="85">
        <v>0</v>
      </c>
      <c r="AK49" s="276">
        <f>SUM(AK40:AK48)</f>
        <v>0</v>
      </c>
      <c r="AL49" s="276">
        <f t="shared" ref="AL49:BJ49" si="61">SUM(AL40:AL48)</f>
        <v>0</v>
      </c>
      <c r="AM49" s="276">
        <f t="shared" si="61"/>
        <v>0</v>
      </c>
      <c r="AN49" s="276">
        <f t="shared" si="61"/>
        <v>0</v>
      </c>
      <c r="AO49" s="276">
        <f t="shared" si="61"/>
        <v>0</v>
      </c>
      <c r="AP49" s="276">
        <f t="shared" si="61"/>
        <v>0</v>
      </c>
      <c r="AQ49" s="276">
        <f t="shared" si="61"/>
        <v>0</v>
      </c>
      <c r="AR49" s="276">
        <f t="shared" si="61"/>
        <v>0</v>
      </c>
      <c r="AS49" s="276">
        <f t="shared" si="61"/>
        <v>0</v>
      </c>
      <c r="AT49" s="276">
        <f t="shared" si="61"/>
        <v>-0.23566467739516772</v>
      </c>
      <c r="AU49" s="276">
        <f t="shared" si="61"/>
        <v>-0.47132935479033544</v>
      </c>
      <c r="AV49" s="276">
        <f t="shared" si="61"/>
        <v>-0.61677345509753245</v>
      </c>
      <c r="AW49" s="276">
        <f t="shared" si="61"/>
        <v>-0.76221755540472946</v>
      </c>
      <c r="AX49" s="276">
        <f t="shared" si="61"/>
        <v>-0.90766165571192658</v>
      </c>
      <c r="AY49" s="276">
        <f t="shared" si="61"/>
        <v>-1.8841826112689826</v>
      </c>
      <c r="AZ49" s="276">
        <f t="shared" si="61"/>
        <v>-2.8607035668260385</v>
      </c>
      <c r="BA49" s="276">
        <f t="shared" si="61"/>
        <v>-2.8636137165551316</v>
      </c>
      <c r="BB49" s="276">
        <f t="shared" si="61"/>
        <v>-2.8665238662842252</v>
      </c>
      <c r="BC49" s="276">
        <f t="shared" si="61"/>
        <v>-2.8694340160133187</v>
      </c>
      <c r="BD49" s="276">
        <f t="shared" si="61"/>
        <v>-2.8723441657424118</v>
      </c>
      <c r="BE49" s="276">
        <f t="shared" si="61"/>
        <v>-2.8752543154715049</v>
      </c>
      <c r="BF49" s="276">
        <f t="shared" si="61"/>
        <v>-2.8434769941948419</v>
      </c>
      <c r="BG49" s="276">
        <f t="shared" si="61"/>
        <v>-2.811699672918178</v>
      </c>
      <c r="BH49" s="276">
        <f t="shared" si="61"/>
        <v>-2.7799223516415141</v>
      </c>
      <c r="BI49" s="276">
        <f t="shared" si="61"/>
        <v>-2.7481450303648507</v>
      </c>
      <c r="BJ49" s="276">
        <f t="shared" si="61"/>
        <v>-2.7163677090881873</v>
      </c>
    </row>
    <row r="50" spans="1:62">
      <c r="A50" s="311"/>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5"/>
      <c r="AL50" s="305"/>
      <c r="AM50" s="305"/>
      <c r="AN50" s="305"/>
      <c r="AO50" s="305"/>
      <c r="AP50" s="305"/>
      <c r="AQ50" s="305"/>
      <c r="AR50" s="305"/>
      <c r="AS50" s="305"/>
      <c r="AT50" s="305"/>
      <c r="AU50" s="305"/>
      <c r="AV50" s="305"/>
      <c r="AW50" s="305"/>
      <c r="AX50" s="305"/>
      <c r="AY50" s="305"/>
      <c r="AZ50" s="305"/>
      <c r="BA50" s="305"/>
      <c r="BB50" s="305"/>
      <c r="BC50" s="305"/>
      <c r="BD50" s="305"/>
      <c r="BE50" s="305"/>
      <c r="BF50" s="305"/>
      <c r="BG50" s="305"/>
      <c r="BH50" s="305"/>
      <c r="BI50" s="305"/>
      <c r="BJ50" s="305"/>
    </row>
    <row r="51" spans="1:62">
      <c r="A51" s="80" t="s">
        <v>354</v>
      </c>
      <c r="B51" s="8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503" t="s">
        <v>262</v>
      </c>
      <c r="AL51" s="503"/>
      <c r="AM51" s="503"/>
      <c r="AN51" s="503"/>
      <c r="AO51" s="503"/>
      <c r="AP51" s="503"/>
      <c r="AQ51" s="503"/>
      <c r="AR51" s="503"/>
      <c r="AS51" s="503"/>
      <c r="AT51" s="503"/>
      <c r="AU51" s="503"/>
      <c r="AV51" s="503"/>
      <c r="AW51" s="503"/>
      <c r="AX51" s="503"/>
      <c r="AY51" s="503"/>
      <c r="AZ51" s="503"/>
      <c r="BA51" s="503"/>
      <c r="BB51" s="503"/>
      <c r="BC51" s="503"/>
      <c r="BD51" s="503"/>
      <c r="BE51" s="503"/>
      <c r="BF51" s="503"/>
      <c r="BG51" s="503"/>
      <c r="BH51" s="503"/>
      <c r="BI51" s="503"/>
      <c r="BJ51" s="503"/>
    </row>
    <row r="52" spans="1:62" ht="26.4">
      <c r="A52" s="380" t="s">
        <v>263</v>
      </c>
      <c r="B52" s="67">
        <v>1990</v>
      </c>
      <c r="C52" s="67">
        <v>1991</v>
      </c>
      <c r="D52" s="67">
        <v>1992</v>
      </c>
      <c r="E52" s="67">
        <v>1993</v>
      </c>
      <c r="F52" s="67">
        <v>1994</v>
      </c>
      <c r="G52" s="67">
        <v>1995</v>
      </c>
      <c r="H52" s="67">
        <v>1996</v>
      </c>
      <c r="I52" s="67">
        <v>1997</v>
      </c>
      <c r="J52" s="67">
        <v>1998</v>
      </c>
      <c r="K52" s="67">
        <v>1999</v>
      </c>
      <c r="L52" s="67">
        <v>2000</v>
      </c>
      <c r="M52" s="67">
        <v>2001</v>
      </c>
      <c r="N52" s="67">
        <v>2002</v>
      </c>
      <c r="O52" s="67">
        <v>2003</v>
      </c>
      <c r="P52" s="67">
        <v>2004</v>
      </c>
      <c r="Q52" s="67">
        <v>2005</v>
      </c>
      <c r="R52" s="67">
        <v>2006</v>
      </c>
      <c r="S52" s="67">
        <v>2007</v>
      </c>
      <c r="T52" s="67">
        <v>2008</v>
      </c>
      <c r="U52" s="67">
        <v>2009</v>
      </c>
      <c r="V52" s="67">
        <v>2010</v>
      </c>
      <c r="W52" s="67">
        <v>2011</v>
      </c>
      <c r="X52" s="67">
        <v>2012</v>
      </c>
      <c r="Y52" s="67">
        <v>2013</v>
      </c>
      <c r="Z52" s="67">
        <v>2014</v>
      </c>
      <c r="AA52" s="67">
        <v>2015</v>
      </c>
      <c r="AB52" s="67">
        <v>2016</v>
      </c>
      <c r="AC52" s="67">
        <v>2017</v>
      </c>
      <c r="AD52" s="67">
        <v>2018</v>
      </c>
      <c r="AE52" s="67">
        <v>2019</v>
      </c>
      <c r="AF52" s="68">
        <v>2020</v>
      </c>
      <c r="AG52" s="68">
        <v>2021</v>
      </c>
      <c r="AH52" s="68">
        <v>2022</v>
      </c>
      <c r="AI52" s="67">
        <v>2023</v>
      </c>
      <c r="AJ52" s="67">
        <v>2024</v>
      </c>
      <c r="AK52" s="67">
        <v>2025</v>
      </c>
      <c r="AL52" s="67">
        <v>2026</v>
      </c>
      <c r="AM52" s="142">
        <v>2027</v>
      </c>
      <c r="AN52" s="67">
        <v>2028</v>
      </c>
      <c r="AO52" s="142">
        <v>2029</v>
      </c>
      <c r="AP52" s="67">
        <v>2030</v>
      </c>
      <c r="AQ52" s="142">
        <v>2031</v>
      </c>
      <c r="AR52" s="142">
        <v>2032</v>
      </c>
      <c r="AS52" s="67">
        <v>2033</v>
      </c>
      <c r="AT52" s="142">
        <v>2034</v>
      </c>
      <c r="AU52" s="67">
        <v>2035</v>
      </c>
      <c r="AV52" s="142">
        <v>2036</v>
      </c>
      <c r="AW52" s="142">
        <v>2037</v>
      </c>
      <c r="AX52" s="67">
        <v>2038</v>
      </c>
      <c r="AY52" s="142">
        <v>2039</v>
      </c>
      <c r="AZ52" s="67">
        <v>2040</v>
      </c>
      <c r="BA52" s="142">
        <v>2041</v>
      </c>
      <c r="BB52" s="142">
        <v>2042</v>
      </c>
      <c r="BC52" s="142">
        <v>2043</v>
      </c>
      <c r="BD52" s="142">
        <v>2044</v>
      </c>
      <c r="BE52" s="67">
        <v>2045</v>
      </c>
      <c r="BF52" s="142">
        <v>2046</v>
      </c>
      <c r="BG52" s="142">
        <v>2047</v>
      </c>
      <c r="BH52" s="142">
        <v>2048</v>
      </c>
      <c r="BI52" s="142">
        <v>2049</v>
      </c>
      <c r="BJ52" s="67">
        <v>2050</v>
      </c>
    </row>
    <row r="53" spans="1:62">
      <c r="A53" s="82" t="s">
        <v>74</v>
      </c>
      <c r="B53" s="83">
        <v>0</v>
      </c>
      <c r="C53" s="83">
        <v>0</v>
      </c>
      <c r="D53" s="83">
        <v>0</v>
      </c>
      <c r="E53" s="83">
        <v>0</v>
      </c>
      <c r="F53" s="83">
        <v>0</v>
      </c>
      <c r="G53" s="83">
        <v>0</v>
      </c>
      <c r="H53" s="83">
        <v>0</v>
      </c>
      <c r="I53" s="83">
        <v>0</v>
      </c>
      <c r="J53" s="83">
        <v>0</v>
      </c>
      <c r="K53" s="83">
        <v>0</v>
      </c>
      <c r="L53" s="83">
        <v>0</v>
      </c>
      <c r="M53" s="83">
        <v>0</v>
      </c>
      <c r="N53" s="83">
        <v>0</v>
      </c>
      <c r="O53" s="83">
        <v>0</v>
      </c>
      <c r="P53" s="83">
        <v>0</v>
      </c>
      <c r="Q53" s="83">
        <v>0</v>
      </c>
      <c r="R53" s="83">
        <v>0</v>
      </c>
      <c r="S53" s="83">
        <v>0</v>
      </c>
      <c r="T53" s="83">
        <v>0</v>
      </c>
      <c r="U53" s="83">
        <v>0</v>
      </c>
      <c r="V53" s="83">
        <v>0</v>
      </c>
      <c r="W53" s="83">
        <v>0</v>
      </c>
      <c r="X53" s="83">
        <v>0</v>
      </c>
      <c r="Y53" s="83">
        <v>0</v>
      </c>
      <c r="Z53" s="83">
        <v>0</v>
      </c>
      <c r="AA53" s="83">
        <v>0</v>
      </c>
      <c r="AB53" s="83">
        <v>0</v>
      </c>
      <c r="AC53" s="83">
        <v>0</v>
      </c>
      <c r="AD53" s="83">
        <v>0</v>
      </c>
      <c r="AE53" s="83">
        <v>0</v>
      </c>
      <c r="AF53" s="83">
        <v>0</v>
      </c>
      <c r="AG53" s="83">
        <v>0</v>
      </c>
      <c r="AH53" s="83">
        <v>0</v>
      </c>
      <c r="AI53" s="83">
        <v>0</v>
      </c>
      <c r="AJ53" s="83">
        <v>0</v>
      </c>
      <c r="AK53" s="83">
        <v>0</v>
      </c>
      <c r="AL53" s="277">
        <f>AK53+(AN53-AK53)/3</f>
        <v>0</v>
      </c>
      <c r="AM53" s="382">
        <f t="shared" ref="AM53:AM61" si="62">(AL53+AN53)/2</f>
        <v>0</v>
      </c>
      <c r="AN53" s="83"/>
      <c r="AO53" s="277">
        <f>AN53+(AP53-AN53)/2</f>
        <v>0</v>
      </c>
      <c r="AP53" s="83"/>
      <c r="AQ53" s="277">
        <f>AP53+(AS53-AP53)/3</f>
        <v>0</v>
      </c>
      <c r="AR53" s="277">
        <f>AP53+(AS53-AP53)*2/3</f>
        <v>0</v>
      </c>
      <c r="AS53" s="83"/>
      <c r="AT53" s="277">
        <f>AS53+(AU53-AS53)/2</f>
        <v>0</v>
      </c>
      <c r="AU53" s="83"/>
      <c r="AV53" s="277">
        <f>AU53+(AX53-AU53)/3</f>
        <v>0</v>
      </c>
      <c r="AW53" s="277">
        <f>AU53+(AX53-AU53)*2/3</f>
        <v>0</v>
      </c>
      <c r="AX53" s="83"/>
      <c r="AY53" s="277">
        <f>AX53+(AZ53-AX53)/2</f>
        <v>0</v>
      </c>
      <c r="AZ53" s="83"/>
      <c r="BA53" s="134">
        <f t="shared" ref="BA53:BA61" si="63">AZ53+(BE53-AZ53)*1/5</f>
        <v>0</v>
      </c>
      <c r="BB53" s="134">
        <f t="shared" ref="BB53:BB61" si="64">AZ53+(BE53-AZ53)*2/5</f>
        <v>0</v>
      </c>
      <c r="BC53" s="134">
        <f t="shared" ref="BC53:BC61" si="65">AZ53+(BE53-AZ53)*3/5</f>
        <v>0</v>
      </c>
      <c r="BD53" s="134">
        <f t="shared" ref="BD53:BD61" si="66">AZ53+(BE53-AZ53)*4/5</f>
        <v>0</v>
      </c>
      <c r="BE53" s="83"/>
      <c r="BF53" s="134">
        <f t="shared" ref="BF53:BF61" si="67">BE53+(BJ53-BE53)*1/5</f>
        <v>0</v>
      </c>
      <c r="BG53" s="134">
        <f t="shared" ref="BG53:BG61" si="68">BE53+(BJ53-BE53)*2/5</f>
        <v>0</v>
      </c>
      <c r="BH53" s="134">
        <f t="shared" ref="BH53:BH61" si="69">BE53+(BJ53-BE53)*3/5</f>
        <v>0</v>
      </c>
      <c r="BI53" s="134">
        <f t="shared" ref="BI53:BI61" si="70">BE53+(BJ53-BE53)*4/5</f>
        <v>0</v>
      </c>
      <c r="BJ53" s="83"/>
    </row>
    <row r="54" spans="1:62">
      <c r="A54" s="82" t="s">
        <v>76</v>
      </c>
      <c r="B54" s="83">
        <v>0</v>
      </c>
      <c r="C54" s="83">
        <v>0</v>
      </c>
      <c r="D54" s="83">
        <v>0</v>
      </c>
      <c r="E54" s="83">
        <v>0</v>
      </c>
      <c r="F54" s="83">
        <v>0</v>
      </c>
      <c r="G54" s="83">
        <v>0</v>
      </c>
      <c r="H54" s="83">
        <v>0</v>
      </c>
      <c r="I54" s="83">
        <v>0</v>
      </c>
      <c r="J54" s="83">
        <v>0</v>
      </c>
      <c r="K54" s="83">
        <v>0</v>
      </c>
      <c r="L54" s="83">
        <v>0</v>
      </c>
      <c r="M54" s="83">
        <v>0</v>
      </c>
      <c r="N54" s="83">
        <v>0</v>
      </c>
      <c r="O54" s="83">
        <v>0</v>
      </c>
      <c r="P54" s="83">
        <v>0</v>
      </c>
      <c r="Q54" s="83">
        <v>0</v>
      </c>
      <c r="R54" s="83">
        <v>0</v>
      </c>
      <c r="S54" s="83">
        <v>0</v>
      </c>
      <c r="T54" s="83">
        <v>0</v>
      </c>
      <c r="U54" s="83">
        <v>0</v>
      </c>
      <c r="V54" s="83">
        <v>0</v>
      </c>
      <c r="W54" s="83">
        <v>0</v>
      </c>
      <c r="X54" s="83">
        <v>0</v>
      </c>
      <c r="Y54" s="83">
        <v>0</v>
      </c>
      <c r="Z54" s="83">
        <v>0</v>
      </c>
      <c r="AA54" s="83">
        <v>0</v>
      </c>
      <c r="AB54" s="83">
        <v>0</v>
      </c>
      <c r="AC54" s="83">
        <v>0</v>
      </c>
      <c r="AD54" s="83">
        <v>0</v>
      </c>
      <c r="AE54" s="83">
        <v>0</v>
      </c>
      <c r="AF54" s="83">
        <v>0</v>
      </c>
      <c r="AG54" s="83">
        <v>0</v>
      </c>
      <c r="AH54" s="83">
        <v>0</v>
      </c>
      <c r="AI54" s="83">
        <v>0</v>
      </c>
      <c r="AJ54" s="83">
        <v>0</v>
      </c>
      <c r="AK54" s="83">
        <v>0</v>
      </c>
      <c r="AL54" s="277">
        <f t="shared" ref="AL54:AL61" si="71">AK54+(AN54-AK54)/3</f>
        <v>0</v>
      </c>
      <c r="AM54" s="382">
        <f t="shared" si="62"/>
        <v>0</v>
      </c>
      <c r="AN54" s="83"/>
      <c r="AO54" s="277">
        <f t="shared" ref="AO54:AO61" si="72">AN54+(AP54-AN54)/2</f>
        <v>0</v>
      </c>
      <c r="AP54" s="83"/>
      <c r="AQ54" s="277">
        <f t="shared" ref="AQ54:AQ61" si="73">AP54+(AS54-AP54)/3</f>
        <v>0</v>
      </c>
      <c r="AR54" s="277">
        <f t="shared" ref="AR54:AR61" si="74">AP54+(AS54-AP54)*2/3</f>
        <v>0</v>
      </c>
      <c r="AS54" s="83">
        <v>0</v>
      </c>
      <c r="AT54" s="277">
        <f t="shared" ref="AT54:AT61" si="75">AS54+(AU54-AS54)/2</f>
        <v>-0.35</v>
      </c>
      <c r="AU54" s="83">
        <v>-0.7</v>
      </c>
      <c r="AV54" s="277">
        <f t="shared" ref="AV54:AV61" si="76">AU54+(AX54-AU54)/3</f>
        <v>-1.0819999999999999</v>
      </c>
      <c r="AW54" s="277">
        <f t="shared" ref="AW54:AW61" si="77">AU54+(AX54-AU54)*2/3</f>
        <v>-1.464</v>
      </c>
      <c r="AX54" s="83">
        <v>-1.8459999999999999</v>
      </c>
      <c r="AY54" s="277">
        <f t="shared" ref="AY54:AY61" si="78">AX54+(AZ54-AX54)/2</f>
        <v>-2.2279999999999998</v>
      </c>
      <c r="AZ54" s="83">
        <v>-2.61</v>
      </c>
      <c r="BA54" s="134">
        <f t="shared" si="63"/>
        <v>-3.1079999999999997</v>
      </c>
      <c r="BB54" s="134">
        <f t="shared" si="64"/>
        <v>-3.6059999999999999</v>
      </c>
      <c r="BC54" s="134">
        <f t="shared" si="65"/>
        <v>-4.1039999999999992</v>
      </c>
      <c r="BD54" s="134">
        <f t="shared" si="66"/>
        <v>-4.6019999999999994</v>
      </c>
      <c r="BE54" s="83">
        <v>-5.0999999999999996</v>
      </c>
      <c r="BF54" s="134">
        <f t="shared" si="67"/>
        <v>-5.2279999999999998</v>
      </c>
      <c r="BG54" s="134">
        <f t="shared" si="68"/>
        <v>-5.3559999999999999</v>
      </c>
      <c r="BH54" s="134">
        <f t="shared" si="69"/>
        <v>-5.4839999999999991</v>
      </c>
      <c r="BI54" s="134">
        <f t="shared" si="70"/>
        <v>-5.6119999999999992</v>
      </c>
      <c r="BJ54" s="83">
        <v>-5.7399999999999993</v>
      </c>
    </row>
    <row r="55" spans="1:62">
      <c r="A55" s="82" t="s">
        <v>78</v>
      </c>
      <c r="B55" s="83">
        <v>0</v>
      </c>
      <c r="C55" s="83">
        <v>0</v>
      </c>
      <c r="D55" s="83">
        <v>0</v>
      </c>
      <c r="E55" s="83">
        <v>0</v>
      </c>
      <c r="F55" s="83">
        <v>0</v>
      </c>
      <c r="G55" s="83">
        <v>0</v>
      </c>
      <c r="H55" s="83">
        <v>0</v>
      </c>
      <c r="I55" s="83">
        <v>0</v>
      </c>
      <c r="J55" s="83">
        <v>0</v>
      </c>
      <c r="K55" s="83">
        <v>0</v>
      </c>
      <c r="L55" s="83">
        <v>0</v>
      </c>
      <c r="M55" s="83">
        <v>0</v>
      </c>
      <c r="N55" s="83">
        <v>0</v>
      </c>
      <c r="O55" s="83">
        <v>0</v>
      </c>
      <c r="P55" s="83">
        <v>0</v>
      </c>
      <c r="Q55" s="83">
        <v>0</v>
      </c>
      <c r="R55" s="83">
        <v>0</v>
      </c>
      <c r="S55" s="83">
        <v>0</v>
      </c>
      <c r="T55" s="83">
        <v>0</v>
      </c>
      <c r="U55" s="83">
        <v>0</v>
      </c>
      <c r="V55" s="83">
        <v>0</v>
      </c>
      <c r="W55" s="83">
        <v>0</v>
      </c>
      <c r="X55" s="83">
        <v>0</v>
      </c>
      <c r="Y55" s="83">
        <v>0</v>
      </c>
      <c r="Z55" s="83">
        <v>0</v>
      </c>
      <c r="AA55" s="83">
        <v>0</v>
      </c>
      <c r="AB55" s="83">
        <v>0</v>
      </c>
      <c r="AC55" s="83">
        <v>0</v>
      </c>
      <c r="AD55" s="83">
        <v>0</v>
      </c>
      <c r="AE55" s="83">
        <v>0</v>
      </c>
      <c r="AF55" s="83">
        <v>0</v>
      </c>
      <c r="AG55" s="83">
        <v>0</v>
      </c>
      <c r="AH55" s="83">
        <v>0</v>
      </c>
      <c r="AI55" s="83">
        <v>0</v>
      </c>
      <c r="AJ55" s="83">
        <v>0</v>
      </c>
      <c r="AK55" s="83">
        <v>0</v>
      </c>
      <c r="AL55" s="277">
        <f t="shared" si="71"/>
        <v>0</v>
      </c>
      <c r="AM55" s="382">
        <f t="shared" si="62"/>
        <v>0</v>
      </c>
      <c r="AN55" s="83"/>
      <c r="AO55" s="277">
        <f t="shared" si="72"/>
        <v>0</v>
      </c>
      <c r="AP55" s="83"/>
      <c r="AQ55" s="277">
        <f t="shared" si="73"/>
        <v>0</v>
      </c>
      <c r="AR55" s="277">
        <f t="shared" si="74"/>
        <v>0</v>
      </c>
      <c r="AS55" s="83"/>
      <c r="AT55" s="277">
        <f t="shared" si="75"/>
        <v>0</v>
      </c>
      <c r="AU55" s="83">
        <v>0</v>
      </c>
      <c r="AV55" s="277">
        <f t="shared" si="76"/>
        <v>-6.756925790005644E-2</v>
      </c>
      <c r="AW55" s="277">
        <f t="shared" si="77"/>
        <v>-0.13513851580011288</v>
      </c>
      <c r="AX55" s="83">
        <v>-0.20270777370016932</v>
      </c>
      <c r="AY55" s="277">
        <f t="shared" si="78"/>
        <v>-0.27027703160022576</v>
      </c>
      <c r="AZ55" s="83">
        <v>-0.33784628950028217</v>
      </c>
      <c r="BA55" s="134">
        <f t="shared" si="63"/>
        <v>-0.73578114986844123</v>
      </c>
      <c r="BB55" s="134">
        <f t="shared" si="64"/>
        <v>-1.1337160102366002</v>
      </c>
      <c r="BC55" s="134">
        <f t="shared" si="65"/>
        <v>-1.5316508706047594</v>
      </c>
      <c r="BD55" s="134">
        <f t="shared" si="66"/>
        <v>-1.9295857309729181</v>
      </c>
      <c r="BE55" s="83">
        <v>-2.3275205913410772</v>
      </c>
      <c r="BF55" s="134">
        <f t="shared" si="67"/>
        <v>-2.322212400425641</v>
      </c>
      <c r="BG55" s="134">
        <f t="shared" si="68"/>
        <v>-2.3169042095102048</v>
      </c>
      <c r="BH55" s="134">
        <f t="shared" si="69"/>
        <v>-2.3115960185947686</v>
      </c>
      <c r="BI55" s="134">
        <f t="shared" si="70"/>
        <v>-2.3062878276793324</v>
      </c>
      <c r="BJ55" s="83">
        <v>-2.3009796367638962</v>
      </c>
    </row>
    <row r="56" spans="1:62">
      <c r="A56" s="82" t="s">
        <v>80</v>
      </c>
      <c r="B56" s="83">
        <v>0</v>
      </c>
      <c r="C56" s="83">
        <v>0</v>
      </c>
      <c r="D56" s="83">
        <v>0</v>
      </c>
      <c r="E56" s="83">
        <v>0</v>
      </c>
      <c r="F56" s="83">
        <v>0</v>
      </c>
      <c r="G56" s="83">
        <v>0</v>
      </c>
      <c r="H56" s="83">
        <v>0</v>
      </c>
      <c r="I56" s="83">
        <v>0</v>
      </c>
      <c r="J56" s="83">
        <v>0</v>
      </c>
      <c r="K56" s="83">
        <v>0</v>
      </c>
      <c r="L56" s="83">
        <v>0</v>
      </c>
      <c r="M56" s="83">
        <v>0</v>
      </c>
      <c r="N56" s="83">
        <v>0</v>
      </c>
      <c r="O56" s="83">
        <v>0</v>
      </c>
      <c r="P56" s="83">
        <v>0</v>
      </c>
      <c r="Q56" s="83">
        <v>0</v>
      </c>
      <c r="R56" s="83">
        <v>0</v>
      </c>
      <c r="S56" s="83">
        <v>0</v>
      </c>
      <c r="T56" s="83">
        <v>0</v>
      </c>
      <c r="U56" s="83">
        <v>0</v>
      </c>
      <c r="V56" s="83">
        <v>0</v>
      </c>
      <c r="W56" s="83">
        <v>0</v>
      </c>
      <c r="X56" s="83">
        <v>0</v>
      </c>
      <c r="Y56" s="83">
        <v>0</v>
      </c>
      <c r="Z56" s="83">
        <v>0</v>
      </c>
      <c r="AA56" s="83">
        <v>0</v>
      </c>
      <c r="AB56" s="83">
        <v>0</v>
      </c>
      <c r="AC56" s="83">
        <v>0</v>
      </c>
      <c r="AD56" s="83">
        <v>0</v>
      </c>
      <c r="AE56" s="83">
        <v>0</v>
      </c>
      <c r="AF56" s="83">
        <v>0</v>
      </c>
      <c r="AG56" s="83">
        <v>0</v>
      </c>
      <c r="AH56" s="83">
        <v>0</v>
      </c>
      <c r="AI56" s="83">
        <v>0</v>
      </c>
      <c r="AJ56" s="83">
        <v>0</v>
      </c>
      <c r="AK56" s="83">
        <v>0</v>
      </c>
      <c r="AL56" s="277">
        <f t="shared" si="71"/>
        <v>0</v>
      </c>
      <c r="AM56" s="382">
        <f t="shared" si="62"/>
        <v>0</v>
      </c>
      <c r="AN56" s="83"/>
      <c r="AO56" s="277">
        <f t="shared" si="72"/>
        <v>0</v>
      </c>
      <c r="AP56" s="83"/>
      <c r="AQ56" s="277">
        <f t="shared" si="73"/>
        <v>0</v>
      </c>
      <c r="AR56" s="277">
        <f t="shared" si="74"/>
        <v>0</v>
      </c>
      <c r="AS56" s="83"/>
      <c r="AT56" s="277">
        <f t="shared" si="75"/>
        <v>0</v>
      </c>
      <c r="AU56" s="83"/>
      <c r="AV56" s="277">
        <f t="shared" si="76"/>
        <v>0</v>
      </c>
      <c r="AW56" s="277">
        <f t="shared" si="77"/>
        <v>0</v>
      </c>
      <c r="AX56" s="83"/>
      <c r="AY56" s="277">
        <f t="shared" si="78"/>
        <v>0</v>
      </c>
      <c r="AZ56" s="83"/>
      <c r="BA56" s="134">
        <f t="shared" si="63"/>
        <v>0</v>
      </c>
      <c r="BB56" s="134">
        <f t="shared" si="64"/>
        <v>0</v>
      </c>
      <c r="BC56" s="134">
        <f t="shared" si="65"/>
        <v>0</v>
      </c>
      <c r="BD56" s="134">
        <f t="shared" si="66"/>
        <v>0</v>
      </c>
      <c r="BE56" s="83"/>
      <c r="BF56" s="134">
        <f t="shared" si="67"/>
        <v>0</v>
      </c>
      <c r="BG56" s="134">
        <f t="shared" si="68"/>
        <v>0</v>
      </c>
      <c r="BH56" s="134">
        <f t="shared" si="69"/>
        <v>0</v>
      </c>
      <c r="BI56" s="134">
        <f t="shared" si="70"/>
        <v>0</v>
      </c>
      <c r="BJ56" s="83"/>
    </row>
    <row r="57" spans="1:62">
      <c r="A57" s="82" t="s">
        <v>244</v>
      </c>
      <c r="B57" s="83">
        <v>0</v>
      </c>
      <c r="C57" s="83">
        <v>0</v>
      </c>
      <c r="D57" s="83">
        <v>0</v>
      </c>
      <c r="E57" s="83">
        <v>0</v>
      </c>
      <c r="F57" s="83">
        <v>0</v>
      </c>
      <c r="G57" s="83">
        <v>0</v>
      </c>
      <c r="H57" s="83">
        <v>0</v>
      </c>
      <c r="I57" s="83">
        <v>0</v>
      </c>
      <c r="J57" s="83">
        <v>0</v>
      </c>
      <c r="K57" s="83">
        <v>0</v>
      </c>
      <c r="L57" s="83">
        <v>0</v>
      </c>
      <c r="M57" s="83">
        <v>0</v>
      </c>
      <c r="N57" s="83">
        <v>0</v>
      </c>
      <c r="O57" s="83">
        <v>0</v>
      </c>
      <c r="P57" s="83">
        <v>0</v>
      </c>
      <c r="Q57" s="83">
        <v>0</v>
      </c>
      <c r="R57" s="83">
        <v>0</v>
      </c>
      <c r="S57" s="83">
        <v>0</v>
      </c>
      <c r="T57" s="83">
        <v>0</v>
      </c>
      <c r="U57" s="83">
        <v>0</v>
      </c>
      <c r="V57" s="83">
        <v>0</v>
      </c>
      <c r="W57" s="83">
        <v>0</v>
      </c>
      <c r="X57" s="83">
        <v>0</v>
      </c>
      <c r="Y57" s="83">
        <v>0</v>
      </c>
      <c r="Z57" s="83">
        <v>0</v>
      </c>
      <c r="AA57" s="83">
        <v>0</v>
      </c>
      <c r="AB57" s="83">
        <v>0</v>
      </c>
      <c r="AC57" s="83">
        <v>0</v>
      </c>
      <c r="AD57" s="83">
        <v>0</v>
      </c>
      <c r="AE57" s="83">
        <v>0</v>
      </c>
      <c r="AF57" s="83">
        <v>0</v>
      </c>
      <c r="AG57" s="83">
        <v>0</v>
      </c>
      <c r="AH57" s="83">
        <v>0</v>
      </c>
      <c r="AI57" s="83">
        <v>0</v>
      </c>
      <c r="AJ57" s="83">
        <v>0</v>
      </c>
      <c r="AK57" s="83">
        <v>0</v>
      </c>
      <c r="AL57" s="277">
        <f t="shared" si="71"/>
        <v>0</v>
      </c>
      <c r="AM57" s="382">
        <f t="shared" si="62"/>
        <v>0</v>
      </c>
      <c r="AN57" s="83"/>
      <c r="AO57" s="277">
        <f t="shared" si="72"/>
        <v>0</v>
      </c>
      <c r="AP57" s="83"/>
      <c r="AQ57" s="277">
        <f t="shared" si="73"/>
        <v>0</v>
      </c>
      <c r="AR57" s="277">
        <f t="shared" si="74"/>
        <v>0</v>
      </c>
      <c r="AS57" s="83"/>
      <c r="AT57" s="277">
        <f t="shared" si="75"/>
        <v>0</v>
      </c>
      <c r="AU57" s="83"/>
      <c r="AV57" s="277">
        <f t="shared" si="76"/>
        <v>0</v>
      </c>
      <c r="AW57" s="277">
        <f t="shared" si="77"/>
        <v>0</v>
      </c>
      <c r="AX57" s="83"/>
      <c r="AY57" s="277">
        <f t="shared" si="78"/>
        <v>0</v>
      </c>
      <c r="AZ57" s="83"/>
      <c r="BA57" s="134">
        <f t="shared" si="63"/>
        <v>0</v>
      </c>
      <c r="BB57" s="134">
        <f t="shared" si="64"/>
        <v>0</v>
      </c>
      <c r="BC57" s="134">
        <f t="shared" si="65"/>
        <v>0</v>
      </c>
      <c r="BD57" s="134">
        <f t="shared" si="66"/>
        <v>0</v>
      </c>
      <c r="BE57" s="83"/>
      <c r="BF57" s="134">
        <f t="shared" si="67"/>
        <v>0</v>
      </c>
      <c r="BG57" s="134">
        <f t="shared" si="68"/>
        <v>0</v>
      </c>
      <c r="BH57" s="134">
        <f t="shared" si="69"/>
        <v>0</v>
      </c>
      <c r="BI57" s="134">
        <f t="shared" si="70"/>
        <v>0</v>
      </c>
      <c r="BJ57" s="83"/>
    </row>
    <row r="58" spans="1:62">
      <c r="A58" s="82" t="s">
        <v>245</v>
      </c>
      <c r="B58" s="83">
        <v>0</v>
      </c>
      <c r="C58" s="83">
        <v>0</v>
      </c>
      <c r="D58" s="83">
        <v>0</v>
      </c>
      <c r="E58" s="83">
        <v>0</v>
      </c>
      <c r="F58" s="83">
        <v>0</v>
      </c>
      <c r="G58" s="83">
        <v>0</v>
      </c>
      <c r="H58" s="83">
        <v>0</v>
      </c>
      <c r="I58" s="83">
        <v>0</v>
      </c>
      <c r="J58" s="83">
        <v>0</v>
      </c>
      <c r="K58" s="83">
        <v>0</v>
      </c>
      <c r="L58" s="83">
        <v>0</v>
      </c>
      <c r="M58" s="83">
        <v>0</v>
      </c>
      <c r="N58" s="83">
        <v>0</v>
      </c>
      <c r="O58" s="83">
        <v>0</v>
      </c>
      <c r="P58" s="83">
        <v>0</v>
      </c>
      <c r="Q58" s="83">
        <v>0</v>
      </c>
      <c r="R58" s="83">
        <v>0</v>
      </c>
      <c r="S58" s="83">
        <v>0</v>
      </c>
      <c r="T58" s="83">
        <v>0</v>
      </c>
      <c r="U58" s="83">
        <v>0</v>
      </c>
      <c r="V58" s="83">
        <v>0</v>
      </c>
      <c r="W58" s="83">
        <v>0</v>
      </c>
      <c r="X58" s="83">
        <v>0</v>
      </c>
      <c r="Y58" s="83">
        <v>0</v>
      </c>
      <c r="Z58" s="83">
        <v>0</v>
      </c>
      <c r="AA58" s="83">
        <v>0</v>
      </c>
      <c r="AB58" s="83">
        <v>0</v>
      </c>
      <c r="AC58" s="83">
        <v>0</v>
      </c>
      <c r="AD58" s="83">
        <v>0</v>
      </c>
      <c r="AE58" s="83">
        <v>0</v>
      </c>
      <c r="AF58" s="83">
        <v>0</v>
      </c>
      <c r="AG58" s="83">
        <v>0</v>
      </c>
      <c r="AH58" s="83">
        <v>0</v>
      </c>
      <c r="AI58" s="83">
        <v>0</v>
      </c>
      <c r="AJ58" s="83">
        <v>0</v>
      </c>
      <c r="AK58" s="83">
        <v>0</v>
      </c>
      <c r="AL58" s="277">
        <f t="shared" si="71"/>
        <v>0</v>
      </c>
      <c r="AM58" s="382">
        <f t="shared" si="62"/>
        <v>0</v>
      </c>
      <c r="AN58" s="83"/>
      <c r="AO58" s="277">
        <f t="shared" si="72"/>
        <v>0</v>
      </c>
      <c r="AP58" s="83"/>
      <c r="AQ58" s="277">
        <f t="shared" si="73"/>
        <v>0</v>
      </c>
      <c r="AR58" s="277">
        <f t="shared" si="74"/>
        <v>0</v>
      </c>
      <c r="AS58" s="83"/>
      <c r="AT58" s="277">
        <f t="shared" si="75"/>
        <v>0</v>
      </c>
      <c r="AU58" s="83"/>
      <c r="AV58" s="277">
        <f t="shared" si="76"/>
        <v>0</v>
      </c>
      <c r="AW58" s="277">
        <f t="shared" si="77"/>
        <v>0</v>
      </c>
      <c r="AX58" s="83"/>
      <c r="AY58" s="277">
        <f t="shared" si="78"/>
        <v>0</v>
      </c>
      <c r="AZ58" s="83"/>
      <c r="BA58" s="134">
        <f t="shared" si="63"/>
        <v>0</v>
      </c>
      <c r="BB58" s="134">
        <f t="shared" si="64"/>
        <v>0</v>
      </c>
      <c r="BC58" s="134">
        <f t="shared" si="65"/>
        <v>0</v>
      </c>
      <c r="BD58" s="134">
        <f t="shared" si="66"/>
        <v>0</v>
      </c>
      <c r="BE58" s="83"/>
      <c r="BF58" s="134">
        <f t="shared" si="67"/>
        <v>0</v>
      </c>
      <c r="BG58" s="134">
        <f t="shared" si="68"/>
        <v>0</v>
      </c>
      <c r="BH58" s="134">
        <f t="shared" si="69"/>
        <v>0</v>
      </c>
      <c r="BI58" s="134">
        <f t="shared" si="70"/>
        <v>0</v>
      </c>
      <c r="BJ58" s="83"/>
    </row>
    <row r="59" spans="1:62">
      <c r="A59" s="82" t="s">
        <v>246</v>
      </c>
      <c r="B59" s="83">
        <v>0</v>
      </c>
      <c r="C59" s="83">
        <v>0</v>
      </c>
      <c r="D59" s="83">
        <v>0</v>
      </c>
      <c r="E59" s="83">
        <v>0</v>
      </c>
      <c r="F59" s="83">
        <v>0</v>
      </c>
      <c r="G59" s="83">
        <v>0</v>
      </c>
      <c r="H59" s="83">
        <v>0</v>
      </c>
      <c r="I59" s="83">
        <v>0</v>
      </c>
      <c r="J59" s="83">
        <v>0</v>
      </c>
      <c r="K59" s="83">
        <v>0</v>
      </c>
      <c r="L59" s="83">
        <v>0</v>
      </c>
      <c r="M59" s="83">
        <v>0</v>
      </c>
      <c r="N59" s="83">
        <v>0</v>
      </c>
      <c r="O59" s="83">
        <v>0</v>
      </c>
      <c r="P59" s="83">
        <v>0</v>
      </c>
      <c r="Q59" s="83">
        <v>0</v>
      </c>
      <c r="R59" s="83">
        <v>0</v>
      </c>
      <c r="S59" s="83">
        <v>0</v>
      </c>
      <c r="T59" s="83">
        <v>0</v>
      </c>
      <c r="U59" s="83">
        <v>0</v>
      </c>
      <c r="V59" s="83">
        <v>0</v>
      </c>
      <c r="W59" s="83">
        <v>0</v>
      </c>
      <c r="X59" s="83">
        <v>0</v>
      </c>
      <c r="Y59" s="83">
        <v>0</v>
      </c>
      <c r="Z59" s="83">
        <v>0</v>
      </c>
      <c r="AA59" s="83">
        <v>0</v>
      </c>
      <c r="AB59" s="83">
        <v>0</v>
      </c>
      <c r="AC59" s="83">
        <v>0</v>
      </c>
      <c r="AD59" s="83">
        <v>0</v>
      </c>
      <c r="AE59" s="83">
        <v>0</v>
      </c>
      <c r="AF59" s="83">
        <v>0</v>
      </c>
      <c r="AG59" s="83">
        <v>0</v>
      </c>
      <c r="AH59" s="83">
        <v>0</v>
      </c>
      <c r="AI59" s="83">
        <v>0</v>
      </c>
      <c r="AJ59" s="83">
        <v>0</v>
      </c>
      <c r="AK59" s="83">
        <v>0</v>
      </c>
      <c r="AL59" s="277">
        <f t="shared" si="71"/>
        <v>0</v>
      </c>
      <c r="AM59" s="382">
        <f t="shared" si="62"/>
        <v>0</v>
      </c>
      <c r="AN59" s="83"/>
      <c r="AO59" s="277">
        <f t="shared" si="72"/>
        <v>0</v>
      </c>
      <c r="AP59" s="83"/>
      <c r="AQ59" s="277">
        <f t="shared" si="73"/>
        <v>0</v>
      </c>
      <c r="AR59" s="277">
        <f t="shared" si="74"/>
        <v>0</v>
      </c>
      <c r="AS59" s="83"/>
      <c r="AT59" s="277">
        <f t="shared" si="75"/>
        <v>0</v>
      </c>
      <c r="AU59" s="83"/>
      <c r="AV59" s="277">
        <f t="shared" si="76"/>
        <v>0</v>
      </c>
      <c r="AW59" s="277">
        <f t="shared" si="77"/>
        <v>0</v>
      </c>
      <c r="AX59" s="83"/>
      <c r="AY59" s="277">
        <f t="shared" si="78"/>
        <v>0</v>
      </c>
      <c r="AZ59" s="83"/>
      <c r="BA59" s="134">
        <f t="shared" si="63"/>
        <v>0</v>
      </c>
      <c r="BB59" s="134">
        <f t="shared" si="64"/>
        <v>0</v>
      </c>
      <c r="BC59" s="134">
        <f t="shared" si="65"/>
        <v>0</v>
      </c>
      <c r="BD59" s="134">
        <f t="shared" si="66"/>
        <v>0</v>
      </c>
      <c r="BE59" s="83"/>
      <c r="BF59" s="134">
        <f t="shared" si="67"/>
        <v>0</v>
      </c>
      <c r="BG59" s="134">
        <f t="shared" si="68"/>
        <v>0</v>
      </c>
      <c r="BH59" s="134">
        <f t="shared" si="69"/>
        <v>0</v>
      </c>
      <c r="BI59" s="134">
        <f t="shared" si="70"/>
        <v>0</v>
      </c>
      <c r="BJ59" s="83"/>
    </row>
    <row r="60" spans="1:62">
      <c r="A60" s="82" t="s">
        <v>276</v>
      </c>
      <c r="B60" s="83">
        <v>0</v>
      </c>
      <c r="C60" s="83">
        <v>0</v>
      </c>
      <c r="D60" s="83">
        <v>0</v>
      </c>
      <c r="E60" s="83">
        <v>0</v>
      </c>
      <c r="F60" s="83">
        <v>0</v>
      </c>
      <c r="G60" s="83">
        <v>0</v>
      </c>
      <c r="H60" s="83">
        <v>0</v>
      </c>
      <c r="I60" s="83">
        <v>0</v>
      </c>
      <c r="J60" s="83">
        <v>0</v>
      </c>
      <c r="K60" s="83">
        <v>0</v>
      </c>
      <c r="L60" s="83">
        <v>0</v>
      </c>
      <c r="M60" s="83">
        <v>0</v>
      </c>
      <c r="N60" s="83">
        <v>0</v>
      </c>
      <c r="O60" s="83">
        <v>0</v>
      </c>
      <c r="P60" s="83">
        <v>0</v>
      </c>
      <c r="Q60" s="83">
        <v>0</v>
      </c>
      <c r="R60" s="83">
        <v>0</v>
      </c>
      <c r="S60" s="83">
        <v>0</v>
      </c>
      <c r="T60" s="83">
        <v>0</v>
      </c>
      <c r="U60" s="83">
        <v>0</v>
      </c>
      <c r="V60" s="83">
        <v>0</v>
      </c>
      <c r="W60" s="83">
        <v>0</v>
      </c>
      <c r="X60" s="83">
        <v>0</v>
      </c>
      <c r="Y60" s="83">
        <v>0</v>
      </c>
      <c r="Z60" s="83">
        <v>0</v>
      </c>
      <c r="AA60" s="83">
        <v>0</v>
      </c>
      <c r="AB60" s="83">
        <v>0</v>
      </c>
      <c r="AC60" s="83">
        <v>0</v>
      </c>
      <c r="AD60" s="83">
        <v>0</v>
      </c>
      <c r="AE60" s="83">
        <v>0</v>
      </c>
      <c r="AF60" s="83">
        <v>0</v>
      </c>
      <c r="AG60" s="83">
        <v>0</v>
      </c>
      <c r="AH60" s="83">
        <v>0</v>
      </c>
      <c r="AI60" s="83">
        <v>0</v>
      </c>
      <c r="AJ60" s="83">
        <v>0</v>
      </c>
      <c r="AK60" s="277">
        <v>0</v>
      </c>
      <c r="AL60" s="277">
        <f t="shared" si="71"/>
        <v>0</v>
      </c>
      <c r="AM60" s="382">
        <f t="shared" si="62"/>
        <v>0</v>
      </c>
      <c r="AN60" s="277"/>
      <c r="AO60" s="277">
        <f t="shared" si="72"/>
        <v>0</v>
      </c>
      <c r="AP60" s="277"/>
      <c r="AQ60" s="277">
        <f t="shared" si="73"/>
        <v>0</v>
      </c>
      <c r="AR60" s="277">
        <f t="shared" si="74"/>
        <v>0</v>
      </c>
      <c r="AS60" s="277"/>
      <c r="AT60" s="277">
        <f t="shared" si="75"/>
        <v>0</v>
      </c>
      <c r="AU60" s="277"/>
      <c r="AV60" s="277">
        <f t="shared" si="76"/>
        <v>0</v>
      </c>
      <c r="AW60" s="277">
        <f t="shared" si="77"/>
        <v>0</v>
      </c>
      <c r="AX60" s="277"/>
      <c r="AY60" s="277">
        <f t="shared" si="78"/>
        <v>0</v>
      </c>
      <c r="AZ60" s="277"/>
      <c r="BA60" s="134">
        <f t="shared" si="63"/>
        <v>0</v>
      </c>
      <c r="BB60" s="134">
        <f t="shared" si="64"/>
        <v>0</v>
      </c>
      <c r="BC60" s="134">
        <f t="shared" si="65"/>
        <v>0</v>
      </c>
      <c r="BD60" s="134">
        <f t="shared" si="66"/>
        <v>0</v>
      </c>
      <c r="BE60" s="277"/>
      <c r="BF60" s="134">
        <f t="shared" si="67"/>
        <v>0</v>
      </c>
      <c r="BG60" s="134">
        <f t="shared" si="68"/>
        <v>0</v>
      </c>
      <c r="BH60" s="134">
        <f t="shared" si="69"/>
        <v>0</v>
      </c>
      <c r="BI60" s="134">
        <f t="shared" si="70"/>
        <v>0</v>
      </c>
      <c r="BJ60" s="277"/>
    </row>
    <row r="61" spans="1:62">
      <c r="A61" s="82" t="s">
        <v>83</v>
      </c>
      <c r="B61" s="83">
        <v>0</v>
      </c>
      <c r="C61" s="83">
        <v>0</v>
      </c>
      <c r="D61" s="83">
        <v>0</v>
      </c>
      <c r="E61" s="83">
        <v>0</v>
      </c>
      <c r="F61" s="83">
        <v>0</v>
      </c>
      <c r="G61" s="83">
        <v>0</v>
      </c>
      <c r="H61" s="83">
        <v>0</v>
      </c>
      <c r="I61" s="83">
        <v>0</v>
      </c>
      <c r="J61" s="83">
        <v>0</v>
      </c>
      <c r="K61" s="83">
        <v>0</v>
      </c>
      <c r="L61" s="83">
        <v>0</v>
      </c>
      <c r="M61" s="83">
        <v>0</v>
      </c>
      <c r="N61" s="83">
        <v>0</v>
      </c>
      <c r="O61" s="83">
        <v>0</v>
      </c>
      <c r="P61" s="83">
        <v>0</v>
      </c>
      <c r="Q61" s="83">
        <v>0</v>
      </c>
      <c r="R61" s="83">
        <v>0</v>
      </c>
      <c r="S61" s="83">
        <v>0</v>
      </c>
      <c r="T61" s="83">
        <v>0</v>
      </c>
      <c r="U61" s="83">
        <v>0</v>
      </c>
      <c r="V61" s="83">
        <v>0</v>
      </c>
      <c r="W61" s="83">
        <v>0</v>
      </c>
      <c r="X61" s="83">
        <v>0</v>
      </c>
      <c r="Y61" s="83">
        <v>0</v>
      </c>
      <c r="Z61" s="83">
        <v>0</v>
      </c>
      <c r="AA61" s="83">
        <v>0</v>
      </c>
      <c r="AB61" s="83">
        <v>0</v>
      </c>
      <c r="AC61" s="83">
        <v>0</v>
      </c>
      <c r="AD61" s="83">
        <v>0</v>
      </c>
      <c r="AE61" s="83">
        <v>0</v>
      </c>
      <c r="AF61" s="83">
        <v>0</v>
      </c>
      <c r="AG61" s="83">
        <v>0</v>
      </c>
      <c r="AH61" s="83">
        <v>0</v>
      </c>
      <c r="AI61" s="83">
        <v>0</v>
      </c>
      <c r="AJ61" s="83">
        <v>0</v>
      </c>
      <c r="AK61" s="83">
        <v>0</v>
      </c>
      <c r="AL61" s="277">
        <f t="shared" si="71"/>
        <v>0</v>
      </c>
      <c r="AM61" s="382">
        <f t="shared" si="62"/>
        <v>0</v>
      </c>
      <c r="AN61" s="83"/>
      <c r="AO61" s="277">
        <f t="shared" si="72"/>
        <v>0</v>
      </c>
      <c r="AP61" s="83"/>
      <c r="AQ61" s="277">
        <f t="shared" si="73"/>
        <v>0</v>
      </c>
      <c r="AR61" s="277">
        <f t="shared" si="74"/>
        <v>0</v>
      </c>
      <c r="AS61" s="83">
        <v>0</v>
      </c>
      <c r="AT61" s="277">
        <f t="shared" si="75"/>
        <v>-0.19433532260483227</v>
      </c>
      <c r="AU61" s="83">
        <v>-0.38867064520966454</v>
      </c>
      <c r="AV61" s="277">
        <f t="shared" si="76"/>
        <v>-0.51122654490246744</v>
      </c>
      <c r="AW61" s="277">
        <f t="shared" si="77"/>
        <v>-0.63378244459527044</v>
      </c>
      <c r="AX61" s="83">
        <v>-0.75633834428807334</v>
      </c>
      <c r="AY61" s="277">
        <f t="shared" si="78"/>
        <v>-0.87889424398087623</v>
      </c>
      <c r="AZ61" s="83">
        <v>-1.0014501436736791</v>
      </c>
      <c r="BA61" s="134">
        <f t="shared" si="63"/>
        <v>-1.0548051335764268</v>
      </c>
      <c r="BB61" s="134">
        <f t="shared" si="64"/>
        <v>-1.1081601234791745</v>
      </c>
      <c r="BC61" s="134">
        <f t="shared" si="65"/>
        <v>-1.1615151133819224</v>
      </c>
      <c r="BD61" s="134">
        <f t="shared" si="66"/>
        <v>-1.21487010328467</v>
      </c>
      <c r="BE61" s="83">
        <v>-1.2682250931874177</v>
      </c>
      <c r="BF61" s="134">
        <f t="shared" si="67"/>
        <v>-1.1791106053795175</v>
      </c>
      <c r="BG61" s="134">
        <f t="shared" si="68"/>
        <v>-1.0899961175716173</v>
      </c>
      <c r="BH61" s="134">
        <f t="shared" si="69"/>
        <v>-1.0008816297637171</v>
      </c>
      <c r="BI61" s="134">
        <f t="shared" si="70"/>
        <v>-0.91176714195581687</v>
      </c>
      <c r="BJ61" s="83">
        <v>-0.82265265414791666</v>
      </c>
    </row>
    <row r="62" spans="1:62">
      <c r="A62" s="84" t="s">
        <v>353</v>
      </c>
      <c r="B62" s="85">
        <v>0</v>
      </c>
      <c r="C62" s="85">
        <v>0</v>
      </c>
      <c r="D62" s="85">
        <v>0</v>
      </c>
      <c r="E62" s="85">
        <v>0</v>
      </c>
      <c r="F62" s="85">
        <v>0</v>
      </c>
      <c r="G62" s="85">
        <v>0</v>
      </c>
      <c r="H62" s="85">
        <v>0</v>
      </c>
      <c r="I62" s="85">
        <v>0</v>
      </c>
      <c r="J62" s="85">
        <v>0</v>
      </c>
      <c r="K62" s="85">
        <v>0</v>
      </c>
      <c r="L62" s="85">
        <v>0</v>
      </c>
      <c r="M62" s="85">
        <v>0</v>
      </c>
      <c r="N62" s="85">
        <v>0</v>
      </c>
      <c r="O62" s="85">
        <v>0</v>
      </c>
      <c r="P62" s="85">
        <v>0</v>
      </c>
      <c r="Q62" s="85">
        <v>0</v>
      </c>
      <c r="R62" s="85">
        <v>0</v>
      </c>
      <c r="S62" s="85">
        <v>0</v>
      </c>
      <c r="T62" s="85">
        <v>0</v>
      </c>
      <c r="U62" s="85">
        <v>0</v>
      </c>
      <c r="V62" s="85">
        <v>0</v>
      </c>
      <c r="W62" s="85">
        <v>0</v>
      </c>
      <c r="X62" s="85">
        <v>0</v>
      </c>
      <c r="Y62" s="85">
        <v>0</v>
      </c>
      <c r="Z62" s="85">
        <v>0</v>
      </c>
      <c r="AA62" s="85">
        <v>0</v>
      </c>
      <c r="AB62" s="85">
        <v>0</v>
      </c>
      <c r="AC62" s="85">
        <v>0</v>
      </c>
      <c r="AD62" s="85">
        <v>0</v>
      </c>
      <c r="AE62" s="85">
        <v>0</v>
      </c>
      <c r="AF62" s="85">
        <v>0</v>
      </c>
      <c r="AG62" s="85">
        <v>0</v>
      </c>
      <c r="AH62" s="85">
        <v>0</v>
      </c>
      <c r="AI62" s="85">
        <v>0</v>
      </c>
      <c r="AJ62" s="85">
        <v>0</v>
      </c>
      <c r="AK62" s="276">
        <f t="shared" ref="AK62:BJ62" si="79">SUM(AK53:AK61)</f>
        <v>0</v>
      </c>
      <c r="AL62" s="276">
        <f t="shared" si="79"/>
        <v>0</v>
      </c>
      <c r="AM62" s="276">
        <f t="shared" si="79"/>
        <v>0</v>
      </c>
      <c r="AN62" s="276">
        <f t="shared" si="79"/>
        <v>0</v>
      </c>
      <c r="AO62" s="276">
        <f t="shared" si="79"/>
        <v>0</v>
      </c>
      <c r="AP62" s="276">
        <f t="shared" si="79"/>
        <v>0</v>
      </c>
      <c r="AQ62" s="276">
        <f t="shared" si="79"/>
        <v>0</v>
      </c>
      <c r="AR62" s="276">
        <f t="shared" si="79"/>
        <v>0</v>
      </c>
      <c r="AS62" s="276">
        <f t="shared" si="79"/>
        <v>0</v>
      </c>
      <c r="AT62" s="276">
        <f t="shared" si="79"/>
        <v>-0.54433532260483219</v>
      </c>
      <c r="AU62" s="276">
        <f t="shared" si="79"/>
        <v>-1.0886706452096644</v>
      </c>
      <c r="AV62" s="276">
        <f t="shared" si="79"/>
        <v>-1.6607958028025238</v>
      </c>
      <c r="AW62" s="276">
        <f t="shared" si="79"/>
        <v>-2.2329209603953832</v>
      </c>
      <c r="AX62" s="276">
        <f t="shared" si="79"/>
        <v>-2.8050461179882422</v>
      </c>
      <c r="AY62" s="276">
        <f t="shared" si="79"/>
        <v>-3.3771712755811016</v>
      </c>
      <c r="AZ62" s="276">
        <f t="shared" si="79"/>
        <v>-3.9492964331739611</v>
      </c>
      <c r="BA62" s="276">
        <f t="shared" si="79"/>
        <v>-4.8985862834448675</v>
      </c>
      <c r="BB62" s="276">
        <f t="shared" si="79"/>
        <v>-5.8478761337157747</v>
      </c>
      <c r="BC62" s="276">
        <f t="shared" si="79"/>
        <v>-6.7971659839866803</v>
      </c>
      <c r="BD62" s="276">
        <f t="shared" si="79"/>
        <v>-7.7464558342575875</v>
      </c>
      <c r="BE62" s="276">
        <f t="shared" si="79"/>
        <v>-8.6957456845284948</v>
      </c>
      <c r="BF62" s="276">
        <f t="shared" si="79"/>
        <v>-8.7293230058051581</v>
      </c>
      <c r="BG62" s="276">
        <f t="shared" si="79"/>
        <v>-8.7629003270818213</v>
      </c>
      <c r="BH62" s="276">
        <f t="shared" si="79"/>
        <v>-8.7964776483584846</v>
      </c>
      <c r="BI62" s="276">
        <f t="shared" si="79"/>
        <v>-8.8300549696351478</v>
      </c>
      <c r="BJ62" s="276">
        <f t="shared" si="79"/>
        <v>-8.863632290911811</v>
      </c>
    </row>
    <row r="63" spans="1:62">
      <c r="A63" s="311"/>
      <c r="B63" s="304"/>
      <c r="C63" s="304"/>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c r="AB63" s="304"/>
      <c r="AC63" s="304"/>
      <c r="AD63" s="304"/>
      <c r="AE63" s="304"/>
      <c r="AF63" s="304"/>
      <c r="AG63" s="304"/>
      <c r="AH63" s="304"/>
      <c r="AI63" s="304"/>
      <c r="AJ63" s="304"/>
      <c r="AK63" s="305"/>
      <c r="AL63" s="305"/>
      <c r="AM63" s="305"/>
      <c r="AN63" s="305"/>
      <c r="AO63" s="305"/>
      <c r="AP63" s="305"/>
      <c r="AQ63" s="305"/>
      <c r="AR63" s="305"/>
      <c r="AS63" s="305"/>
      <c r="AT63" s="305"/>
      <c r="AU63" s="305"/>
      <c r="AV63" s="305"/>
      <c r="AW63" s="305"/>
      <c r="AX63" s="305"/>
      <c r="AY63" s="305"/>
      <c r="AZ63" s="305"/>
      <c r="BA63" s="305"/>
      <c r="BB63" s="305"/>
      <c r="BC63" s="305"/>
      <c r="BD63" s="305"/>
      <c r="BE63" s="305"/>
      <c r="BF63" s="305"/>
      <c r="BG63" s="305"/>
      <c r="BH63" s="305"/>
      <c r="BI63" s="305"/>
      <c r="BJ63" s="305"/>
    </row>
    <row r="64" spans="1:62" ht="15">
      <c r="A64" s="86"/>
      <c r="B64" s="87"/>
      <c r="C64" s="87"/>
      <c r="D64" s="87"/>
      <c r="E64" s="87"/>
      <c r="F64" s="87"/>
      <c r="G64" s="87"/>
      <c r="H64" s="87"/>
      <c r="I64" s="87"/>
      <c r="J64" s="87"/>
      <c r="K64" s="61"/>
      <c r="L64" s="61"/>
      <c r="M64" s="61"/>
      <c r="N64" s="61"/>
      <c r="O64" s="61"/>
      <c r="P64" s="61"/>
      <c r="Q64" s="61"/>
      <c r="R64" s="61"/>
      <c r="S64" s="61"/>
      <c r="T64" s="61"/>
      <c r="U64" s="61"/>
      <c r="V64" s="61"/>
      <c r="W64" s="61"/>
      <c r="X64" s="61"/>
      <c r="Y64" s="61"/>
      <c r="Z64" s="61"/>
      <c r="AA64" s="61"/>
      <c r="AB64" s="61"/>
      <c r="AC64" s="61"/>
      <c r="AD64" s="61"/>
      <c r="AE64" s="61"/>
      <c r="AF64" s="61"/>
      <c r="AG64" s="88"/>
      <c r="AH64" s="61"/>
      <c r="AJ64" s="143"/>
    </row>
    <row r="65" spans="1:62">
      <c r="A65" s="89" t="s">
        <v>265</v>
      </c>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495" t="s">
        <v>262</v>
      </c>
      <c r="AL65" s="495"/>
      <c r="AM65" s="495"/>
      <c r="AN65" s="495"/>
      <c r="AO65" s="495"/>
      <c r="AP65" s="495"/>
      <c r="AQ65" s="495"/>
      <c r="AR65" s="495"/>
      <c r="AS65" s="495"/>
      <c r="AT65" s="495"/>
      <c r="AU65" s="495"/>
      <c r="AV65" s="495"/>
      <c r="AW65" s="495"/>
      <c r="AX65" s="495"/>
      <c r="AY65" s="495"/>
      <c r="AZ65" s="495"/>
      <c r="BA65" s="495"/>
      <c r="BB65" s="495"/>
      <c r="BC65" s="495"/>
      <c r="BD65" s="495"/>
      <c r="BE65" s="495"/>
      <c r="BF65" s="495"/>
      <c r="BG65" s="495"/>
      <c r="BH65" s="495"/>
      <c r="BI65" s="495"/>
      <c r="BJ65" s="495"/>
    </row>
    <row r="66" spans="1:62" ht="26.4">
      <c r="A66" s="66" t="s">
        <v>263</v>
      </c>
      <c r="B66" s="67">
        <v>1990</v>
      </c>
      <c r="C66" s="67">
        <v>1991</v>
      </c>
      <c r="D66" s="67">
        <v>1992</v>
      </c>
      <c r="E66" s="67">
        <v>1993</v>
      </c>
      <c r="F66" s="67">
        <v>1994</v>
      </c>
      <c r="G66" s="67">
        <v>1995</v>
      </c>
      <c r="H66" s="67">
        <v>1996</v>
      </c>
      <c r="I66" s="67">
        <v>1997</v>
      </c>
      <c r="J66" s="67">
        <v>1998</v>
      </c>
      <c r="K66" s="67">
        <v>1999</v>
      </c>
      <c r="L66" s="67">
        <v>2000</v>
      </c>
      <c r="M66" s="67">
        <v>2001</v>
      </c>
      <c r="N66" s="67">
        <v>2002</v>
      </c>
      <c r="O66" s="67">
        <v>2003</v>
      </c>
      <c r="P66" s="67">
        <v>2004</v>
      </c>
      <c r="Q66" s="67">
        <v>2005</v>
      </c>
      <c r="R66" s="67">
        <v>2006</v>
      </c>
      <c r="S66" s="67">
        <v>2007</v>
      </c>
      <c r="T66" s="67">
        <v>2008</v>
      </c>
      <c r="U66" s="67">
        <v>2009</v>
      </c>
      <c r="V66" s="67">
        <v>2010</v>
      </c>
      <c r="W66" s="67">
        <v>2011</v>
      </c>
      <c r="X66" s="67">
        <v>2012</v>
      </c>
      <c r="Y66" s="67">
        <v>2013</v>
      </c>
      <c r="Z66" s="67">
        <v>2014</v>
      </c>
      <c r="AA66" s="67">
        <v>2015</v>
      </c>
      <c r="AB66" s="67">
        <v>2016</v>
      </c>
      <c r="AC66" s="67">
        <v>2017</v>
      </c>
      <c r="AD66" s="67">
        <v>2018</v>
      </c>
      <c r="AE66" s="67">
        <v>2019</v>
      </c>
      <c r="AF66" s="68">
        <v>2020</v>
      </c>
      <c r="AG66" s="68">
        <v>2021</v>
      </c>
      <c r="AH66" s="68">
        <v>2022</v>
      </c>
      <c r="AI66" s="67">
        <v>2023</v>
      </c>
      <c r="AJ66" s="67">
        <v>2024</v>
      </c>
      <c r="AK66" s="67">
        <v>2025</v>
      </c>
      <c r="AL66" s="67">
        <v>2026</v>
      </c>
      <c r="AM66" s="142">
        <v>2027</v>
      </c>
      <c r="AN66" s="67">
        <v>2028</v>
      </c>
      <c r="AO66" s="142">
        <v>2029</v>
      </c>
      <c r="AP66" s="67">
        <v>2030</v>
      </c>
      <c r="AQ66" s="142">
        <v>2031</v>
      </c>
      <c r="AR66" s="142">
        <v>2032</v>
      </c>
      <c r="AS66" s="67">
        <v>2033</v>
      </c>
      <c r="AT66" s="142">
        <v>2034</v>
      </c>
      <c r="AU66" s="67">
        <v>2035</v>
      </c>
      <c r="AV66" s="142">
        <v>2036</v>
      </c>
      <c r="AW66" s="142">
        <v>2037</v>
      </c>
      <c r="AX66" s="67">
        <v>2038</v>
      </c>
      <c r="AY66" s="142">
        <v>2039</v>
      </c>
      <c r="AZ66" s="67">
        <v>2040</v>
      </c>
      <c r="BA66" s="142">
        <v>2041</v>
      </c>
      <c r="BB66" s="142">
        <v>2042</v>
      </c>
      <c r="BC66" s="142">
        <v>2043</v>
      </c>
      <c r="BD66" s="142">
        <v>2044</v>
      </c>
      <c r="BE66" s="67">
        <v>2045</v>
      </c>
      <c r="BF66" s="142">
        <v>2046</v>
      </c>
      <c r="BG66" s="142">
        <v>2047</v>
      </c>
      <c r="BH66" s="142">
        <v>2048</v>
      </c>
      <c r="BI66" s="142">
        <v>2049</v>
      </c>
      <c r="BJ66" s="67">
        <v>2050</v>
      </c>
    </row>
    <row r="67" spans="1:62">
      <c r="A67" s="91" t="s">
        <v>100</v>
      </c>
      <c r="B67" s="83">
        <v>49.392512755922539</v>
      </c>
      <c r="C67" s="83">
        <v>53.754023146253566</v>
      </c>
      <c r="D67" s="83">
        <v>50.416000836187948</v>
      </c>
      <c r="E67" s="83">
        <v>48.359221138490284</v>
      </c>
      <c r="F67" s="83">
        <v>49.8773210623418</v>
      </c>
      <c r="G67" s="83">
        <v>50.494027605764671</v>
      </c>
      <c r="H67" s="83">
        <v>52.296404664354561</v>
      </c>
      <c r="I67" s="83">
        <v>52.243198924380124</v>
      </c>
      <c r="J67" s="83">
        <v>42.790054985060735</v>
      </c>
      <c r="K67" s="83">
        <v>38.266806693726537</v>
      </c>
      <c r="L67" s="83">
        <v>37.165680929239642</v>
      </c>
      <c r="M67" s="83">
        <v>39.598120494984201</v>
      </c>
      <c r="N67" s="83">
        <v>35.03461358183494</v>
      </c>
      <c r="O67" s="83">
        <v>35.360412427932566</v>
      </c>
      <c r="P67" s="83">
        <v>32.172153320607883</v>
      </c>
      <c r="Q67" s="83">
        <v>33.235929745421146</v>
      </c>
      <c r="R67" s="83">
        <v>30.739514198237671</v>
      </c>
      <c r="S67" s="83">
        <v>30.574786967322606</v>
      </c>
      <c r="T67" s="83">
        <v>29.282590413301353</v>
      </c>
      <c r="U67" s="83">
        <v>26.400959589725176</v>
      </c>
      <c r="V67" s="83">
        <v>25.349090782230629</v>
      </c>
      <c r="W67" s="83">
        <v>23.899606287806424</v>
      </c>
      <c r="X67" s="83">
        <v>22.950205372204444</v>
      </c>
      <c r="Y67" s="83">
        <v>22.666320488722093</v>
      </c>
      <c r="Z67" s="83">
        <v>22.195623168904756</v>
      </c>
      <c r="AA67" s="83">
        <v>21.848847664302635</v>
      </c>
      <c r="AB67" s="83">
        <v>20.723663908858811</v>
      </c>
      <c r="AC67" s="83">
        <v>20.623805396191742</v>
      </c>
      <c r="AD67" s="83">
        <v>19.882808231138135</v>
      </c>
      <c r="AE67" s="83">
        <v>18.954202849852887</v>
      </c>
      <c r="AF67" s="83">
        <v>17.849292349557352</v>
      </c>
      <c r="AG67" s="83">
        <v>18.305934500546083</v>
      </c>
      <c r="AH67" s="83">
        <v>16.23541693645916</v>
      </c>
      <c r="AI67" s="279">
        <v>15.47450312754007</v>
      </c>
      <c r="AJ67" s="279">
        <v>14.716349236043914</v>
      </c>
      <c r="AK67" s="279">
        <v>13.275996745746923</v>
      </c>
      <c r="AL67" s="279">
        <v>12.9151135288656</v>
      </c>
      <c r="AM67" s="382">
        <f t="shared" ref="AM67" si="80">(AL67+AN67)/2</f>
        <v>12.88613118498883</v>
      </c>
      <c r="AN67" s="279">
        <v>12.857148841112062</v>
      </c>
      <c r="AO67" s="279">
        <f>AN67+(AP67-AN67)/2</f>
        <v>12.652942051733206</v>
      </c>
      <c r="AP67" s="279">
        <v>12.448735262354351</v>
      </c>
      <c r="AQ67" s="279">
        <f>AP67+(AS67-AP67)/3</f>
        <v>12.094313674542976</v>
      </c>
      <c r="AR67" s="279">
        <f>AP67+(AS67-AP67)*2/3</f>
        <v>11.739892086731599</v>
      </c>
      <c r="AS67" s="279">
        <v>11.385470498920224</v>
      </c>
      <c r="AT67" s="279">
        <f>AS67+(AU67-AS67)/2</f>
        <v>11.06217485114475</v>
      </c>
      <c r="AU67" s="279">
        <v>10.738879203369276</v>
      </c>
      <c r="AV67" s="279">
        <f>AU67+(AX67-AU67)/3</f>
        <v>10.365948549291058</v>
      </c>
      <c r="AW67" s="279">
        <f>AU67+(AX67-AU67)*2/3</f>
        <v>9.9930178952128408</v>
      </c>
      <c r="AX67" s="279">
        <v>9.6200872411346232</v>
      </c>
      <c r="AY67" s="279">
        <f>AX67+(AZ67-AX67)/2</f>
        <v>9.3227591604922964</v>
      </c>
      <c r="AZ67" s="279">
        <v>9.0254310798499713</v>
      </c>
      <c r="BA67" s="279">
        <f t="shared" ref="BA67:BA81" si="81">AZ67+(BE67-AZ67)*1/5</f>
        <v>8.5588828032502313</v>
      </c>
      <c r="BB67" s="279">
        <f t="shared" ref="BB67:BB81" si="82">AZ67+(BE67-AZ67)*2/5</f>
        <v>8.0923345266504931</v>
      </c>
      <c r="BC67" s="279">
        <f t="shared" ref="BC67:BC81" si="83">AZ67+(BE67-AZ67)*3/5</f>
        <v>7.6257862500507532</v>
      </c>
      <c r="BD67" s="279">
        <f t="shared" ref="BD67:BD81" si="84">AZ67+(BE67-AZ67)*4/5</f>
        <v>7.1592379734510141</v>
      </c>
      <c r="BE67" s="279">
        <v>6.692689696851275</v>
      </c>
      <c r="BF67" s="279">
        <f t="shared" ref="BF67:BF81" si="85">BE67+(BJ67-BE67)*1/5</f>
        <v>6.3277045352666734</v>
      </c>
      <c r="BG67" s="279">
        <f t="shared" ref="BG67:BG81" si="86">BE67+(BJ67-BE67)*2/5</f>
        <v>5.9627193736820718</v>
      </c>
      <c r="BH67" s="279">
        <f t="shared" ref="BH67:BH81" si="87">BE67+(BJ67-BE67)*3/5</f>
        <v>5.5977342120974711</v>
      </c>
      <c r="BI67" s="279">
        <f t="shared" ref="BI67:BI81" si="88">BE67+(BJ67-BE67)*4/5</f>
        <v>5.2327490505128695</v>
      </c>
      <c r="BJ67" s="279">
        <v>4.8677638889282679</v>
      </c>
    </row>
    <row r="68" spans="1:62" s="178" customFormat="1">
      <c r="A68" s="177" t="s">
        <v>230</v>
      </c>
      <c r="B68" s="179"/>
      <c r="C68" s="179"/>
      <c r="D68" s="179"/>
      <c r="E68" s="179"/>
      <c r="F68" s="179"/>
      <c r="G68" s="179"/>
      <c r="H68" s="179"/>
      <c r="I68" s="179"/>
      <c r="J68" s="179"/>
      <c r="K68" s="179"/>
      <c r="L68" s="179"/>
      <c r="M68" s="179"/>
      <c r="N68" s="179"/>
      <c r="O68" s="179"/>
      <c r="P68" s="179"/>
      <c r="Q68" s="179"/>
      <c r="R68" s="179"/>
      <c r="S68" s="179"/>
      <c r="T68" s="179"/>
      <c r="U68" s="179"/>
      <c r="V68" s="179"/>
      <c r="W68" s="179"/>
      <c r="X68" s="179"/>
      <c r="Y68" s="179"/>
      <c r="Z68" s="179"/>
      <c r="AA68" s="180">
        <f>$AE$68/$AE$67*AA67</f>
        <v>5.3948992312214248</v>
      </c>
      <c r="AB68" s="180">
        <f>$AE$68/$AE$67*AB67</f>
        <v>5.1170697973540955</v>
      </c>
      <c r="AC68" s="180">
        <f>$AE$68/$AE$67*AC67</f>
        <v>5.0924128167436864</v>
      </c>
      <c r="AD68" s="180">
        <f>$AE$68/$AE$67*AD67</f>
        <v>4.9094464151509669</v>
      </c>
      <c r="AE68" s="179">
        <v>4.6801559493755596</v>
      </c>
      <c r="AF68" s="179">
        <v>4.4771433109155803</v>
      </c>
      <c r="AG68" s="179">
        <v>4.7246929826786106</v>
      </c>
      <c r="AH68" s="179">
        <v>4.2978425710298582</v>
      </c>
      <c r="AI68" s="280">
        <v>4.2408399349888821</v>
      </c>
      <c r="AJ68" s="280">
        <v>4.1540338396269112</v>
      </c>
      <c r="AK68" s="280">
        <v>4.0620733212835907</v>
      </c>
      <c r="AL68" s="280">
        <v>3.9232897025315512</v>
      </c>
      <c r="AM68" s="280">
        <v>3.7792579220679858</v>
      </c>
      <c r="AN68" s="280">
        <v>3.6275434657012231</v>
      </c>
      <c r="AO68" s="280">
        <v>3.4645727340541415</v>
      </c>
      <c r="AP68" s="280">
        <v>3.284871251780348</v>
      </c>
      <c r="AQ68" s="280">
        <v>3.09802520767352</v>
      </c>
      <c r="AR68" s="280">
        <v>2.9161037441777919</v>
      </c>
      <c r="AS68" s="280">
        <v>2.7390349043585185</v>
      </c>
      <c r="AT68" s="280">
        <v>2.5667475342238459</v>
      </c>
      <c r="AU68" s="280">
        <v>2.3991710754297499</v>
      </c>
      <c r="AV68" s="280">
        <v>2.2263815643560556</v>
      </c>
      <c r="AW68" s="280">
        <v>2.0592517898258449</v>
      </c>
      <c r="AX68" s="280">
        <v>1.8976818610810637</v>
      </c>
      <c r="AY68" s="280">
        <v>1.7415733232631341</v>
      </c>
      <c r="AZ68" s="280">
        <v>1.5908279604682503</v>
      </c>
      <c r="BA68" s="280">
        <v>1.4435745003466054</v>
      </c>
      <c r="BB68" s="280">
        <v>1.3018158341727437</v>
      </c>
      <c r="BC68" s="280">
        <v>1.1654432308984064</v>
      </c>
      <c r="BD68" s="280">
        <v>1.0343487996785761</v>
      </c>
      <c r="BE68" s="280">
        <v>0.90842570716971904</v>
      </c>
      <c r="BF68" s="280">
        <v>0.77971768695771215</v>
      </c>
      <c r="BG68" s="280">
        <v>0.65738822529690599</v>
      </c>
      <c r="BH68" s="280">
        <v>0.54128097925787599</v>
      </c>
      <c r="BI68" s="280">
        <v>0.43124128732746164</v>
      </c>
      <c r="BJ68" s="280">
        <v>0.32711591613899355</v>
      </c>
    </row>
    <row r="69" spans="1:62" s="178" customFormat="1">
      <c r="A69" s="177" t="s">
        <v>231</v>
      </c>
      <c r="B69" s="179"/>
      <c r="C69" s="179"/>
      <c r="D69" s="179"/>
      <c r="E69" s="179"/>
      <c r="F69" s="179"/>
      <c r="G69" s="179"/>
      <c r="H69" s="179"/>
      <c r="I69" s="179"/>
      <c r="J69" s="179"/>
      <c r="K69" s="179"/>
      <c r="L69" s="179"/>
      <c r="M69" s="179"/>
      <c r="N69" s="179"/>
      <c r="O69" s="179"/>
      <c r="P69" s="179"/>
      <c r="Q69" s="179"/>
      <c r="R69" s="179"/>
      <c r="S69" s="179"/>
      <c r="T69" s="179"/>
      <c r="U69" s="179"/>
      <c r="V69" s="179"/>
      <c r="W69" s="179"/>
      <c r="X69" s="179"/>
      <c r="Y69" s="179"/>
      <c r="Z69" s="179"/>
      <c r="AA69" s="179">
        <f>$AE$69/$AE$67*AA67</f>
        <v>2.8774727071664303</v>
      </c>
      <c r="AB69" s="179">
        <f>$AE$69/$AE$67*AB67</f>
        <v>2.7292870638509492</v>
      </c>
      <c r="AC69" s="179">
        <f>$AE$69/$AE$67*AC67</f>
        <v>2.7161357915645308</v>
      </c>
      <c r="AD69" s="179">
        <f>$AE$69/$AE$67*AD67</f>
        <v>2.6185471612033466</v>
      </c>
      <c r="AE69" s="179">
        <v>2.4962507050501079</v>
      </c>
      <c r="AF69" s="179">
        <v>2.3099562262344633</v>
      </c>
      <c r="AG69" s="179">
        <v>2.2368084016136134</v>
      </c>
      <c r="AH69" s="179">
        <v>2.0955476874282164</v>
      </c>
      <c r="AI69" s="280">
        <v>1.5165228176857164</v>
      </c>
      <c r="AJ69" s="280">
        <v>1.5701633450665504</v>
      </c>
      <c r="AK69" s="280">
        <v>1.6227937593916195</v>
      </c>
      <c r="AL69" s="280">
        <v>1.6218798719133856</v>
      </c>
      <c r="AM69" s="280">
        <v>1.6172681152547295</v>
      </c>
      <c r="AN69" s="280">
        <v>1.6090399465537126</v>
      </c>
      <c r="AO69" s="280">
        <v>1.5972756203224463</v>
      </c>
      <c r="AP69" s="280">
        <v>1.5820537860818049</v>
      </c>
      <c r="AQ69" s="280">
        <v>1.5680853507943293</v>
      </c>
      <c r="AR69" s="280">
        <v>1.5542054431862971</v>
      </c>
      <c r="AS69" s="280">
        <v>1.5404138200707576</v>
      </c>
      <c r="AT69" s="280">
        <v>1.5267103584237238</v>
      </c>
      <c r="AU69" s="280">
        <v>1.5130947530694148</v>
      </c>
      <c r="AV69" s="280">
        <v>1.4856804693169734</v>
      </c>
      <c r="AW69" s="280">
        <v>1.4584549022145412</v>
      </c>
      <c r="AX69" s="280">
        <v>1.4314175336785455</v>
      </c>
      <c r="AY69" s="280">
        <v>1.4045679057068965</v>
      </c>
      <c r="AZ69" s="280">
        <v>1.377905499739184</v>
      </c>
      <c r="BA69" s="280">
        <v>1.2541269107737745</v>
      </c>
      <c r="BB69" s="280">
        <v>1.1343202917704849</v>
      </c>
      <c r="BC69" s="280">
        <v>1.0184449890833229</v>
      </c>
      <c r="BD69" s="280">
        <v>0.90646054728154291</v>
      </c>
      <c r="BE69" s="280">
        <v>0.79832661798434035</v>
      </c>
      <c r="BF69" s="280">
        <v>0.68027499015479509</v>
      </c>
      <c r="BG69" s="280">
        <v>0.56959865987163627</v>
      </c>
      <c r="BH69" s="280">
        <v>0.46620298449570424</v>
      </c>
      <c r="BI69" s="280">
        <v>0.3699937619853727</v>
      </c>
      <c r="BJ69" s="280">
        <v>0.2808771827466563</v>
      </c>
    </row>
    <row r="70" spans="1:62">
      <c r="A70" s="91" t="s">
        <v>16</v>
      </c>
      <c r="B70" s="83">
        <v>3.5189118495921292</v>
      </c>
      <c r="C70" s="83">
        <v>3.5521559786344108</v>
      </c>
      <c r="D70" s="83">
        <v>3.5767544345905633</v>
      </c>
      <c r="E70" s="83">
        <v>3.5537972281426025</v>
      </c>
      <c r="F70" s="83">
        <v>2.8276758305322298</v>
      </c>
      <c r="G70" s="83">
        <v>3.1895903266405679</v>
      </c>
      <c r="H70" s="83">
        <v>3.2320795682475154</v>
      </c>
      <c r="I70" s="83">
        <v>2.9584001647966391</v>
      </c>
      <c r="J70" s="83">
        <v>4.9264605019960772</v>
      </c>
      <c r="K70" s="83">
        <v>4.4444190554432215</v>
      </c>
      <c r="L70" s="83">
        <v>3.9499599509151482</v>
      </c>
      <c r="M70" s="83">
        <v>4.8243579454066294</v>
      </c>
      <c r="N70" s="83">
        <v>6.234807741399</v>
      </c>
      <c r="O70" s="83">
        <v>5.9336475425485347</v>
      </c>
      <c r="P70" s="83">
        <v>5.6178477900838271</v>
      </c>
      <c r="Q70" s="83">
        <v>5.2388804353450906</v>
      </c>
      <c r="R70" s="83">
        <v>5.1810750907991121</v>
      </c>
      <c r="S70" s="83">
        <v>4.391322633035819</v>
      </c>
      <c r="T70" s="83">
        <v>3.8607241582480851</v>
      </c>
      <c r="U70" s="83">
        <v>3.1707920853326561</v>
      </c>
      <c r="V70" s="83">
        <v>2.9134595755087696</v>
      </c>
      <c r="W70" s="83">
        <v>4.4620668485633423</v>
      </c>
      <c r="X70" s="83">
        <v>4.3856537557842303</v>
      </c>
      <c r="Y70" s="83">
        <v>4.6764298139868137</v>
      </c>
      <c r="Z70" s="83">
        <v>4.8012297086150637</v>
      </c>
      <c r="AA70" s="83">
        <v>4.6252709486935384</v>
      </c>
      <c r="AB70" s="83">
        <v>4.4120230924541897</v>
      </c>
      <c r="AC70" s="83">
        <v>4.8097704757009252</v>
      </c>
      <c r="AD70" s="83">
        <v>4.5852187533335149</v>
      </c>
      <c r="AE70" s="83">
        <v>5.0307253379031325</v>
      </c>
      <c r="AF70" s="83">
        <v>4.8133616623405002</v>
      </c>
      <c r="AG70" s="83">
        <v>4.9723173715148441</v>
      </c>
      <c r="AH70" s="83">
        <v>5.2810852980537781</v>
      </c>
      <c r="AI70" s="279">
        <v>4.7755337116119918</v>
      </c>
      <c r="AJ70" s="279">
        <v>4.8412168109183673</v>
      </c>
      <c r="AK70" s="279">
        <v>4.8476021324054868</v>
      </c>
      <c r="AL70" s="279">
        <v>4.5087944305738379</v>
      </c>
      <c r="AM70" s="382">
        <f t="shared" ref="AM70:AM72" si="89">(AL70+AN70)/2</f>
        <v>3.4456331728838134</v>
      </c>
      <c r="AN70" s="279">
        <v>2.382471915193789</v>
      </c>
      <c r="AO70" s="279">
        <f t="shared" ref="AO70:AO81" si="90">AN70+(AP70-AN70)/2</f>
        <v>2.0509311580649339</v>
      </c>
      <c r="AP70" s="279">
        <v>1.7193904009360792</v>
      </c>
      <c r="AQ70" s="279">
        <f>AP70+(AS70-AP70)/3</f>
        <v>1.6092690137021368</v>
      </c>
      <c r="AR70" s="279">
        <f>AP70+(AS70-AP70)*2/3</f>
        <v>1.4991476264681942</v>
      </c>
      <c r="AS70" s="279">
        <v>1.3890262392342518</v>
      </c>
      <c r="AT70" s="279">
        <f t="shared" ref="AT70:AT81" si="91">AS70+(AU70-AS70)/2</f>
        <v>1.2814832970252905</v>
      </c>
      <c r="AU70" s="279">
        <v>1.1739403548163292</v>
      </c>
      <c r="AV70" s="279">
        <f>AU70+(AX70-AU70)/3</f>
        <v>1.0749932617274041</v>
      </c>
      <c r="AW70" s="279">
        <f>AU70+(AX70-AU70)*2/3</f>
        <v>0.97604616863847904</v>
      </c>
      <c r="AX70" s="279">
        <v>0.87709907554955402</v>
      </c>
      <c r="AY70" s="279">
        <f t="shared" ref="AY70:AY81" si="92">AX70+(AZ70-AX70)/2</f>
        <v>0.78030188177659687</v>
      </c>
      <c r="AZ70" s="279">
        <v>0.68350468800363973</v>
      </c>
      <c r="BA70" s="279">
        <f t="shared" si="81"/>
        <v>0.60288319203919383</v>
      </c>
      <c r="BB70" s="279">
        <f t="shared" si="82"/>
        <v>0.52226169607474793</v>
      </c>
      <c r="BC70" s="279">
        <f t="shared" si="83"/>
        <v>0.44164020011030203</v>
      </c>
      <c r="BD70" s="279">
        <f t="shared" si="84"/>
        <v>0.36101870414585618</v>
      </c>
      <c r="BE70" s="279">
        <v>0.28039720818141028</v>
      </c>
      <c r="BF70" s="279">
        <f t="shared" si="85"/>
        <v>0.25792750423199834</v>
      </c>
      <c r="BG70" s="279">
        <f t="shared" si="86"/>
        <v>0.23545780028258645</v>
      </c>
      <c r="BH70" s="279">
        <f t="shared" si="87"/>
        <v>0.2129880963331745</v>
      </c>
      <c r="BI70" s="279">
        <f t="shared" si="88"/>
        <v>0.19051839238376259</v>
      </c>
      <c r="BJ70" s="279">
        <v>0.16804868843435067</v>
      </c>
    </row>
    <row r="71" spans="1:62">
      <c r="A71" s="91" t="s">
        <v>101</v>
      </c>
      <c r="B71" s="83">
        <v>5.2921931865575864</v>
      </c>
      <c r="C71" s="83">
        <v>6.0608054334431403</v>
      </c>
      <c r="D71" s="83">
        <v>5.6823231212906036</v>
      </c>
      <c r="E71" s="83">
        <v>6.23523734006932</v>
      </c>
      <c r="F71" s="83">
        <v>5.6717776009983139</v>
      </c>
      <c r="G71" s="83">
        <v>6.2734113689125763</v>
      </c>
      <c r="H71" s="83">
        <v>6.8410005276546579</v>
      </c>
      <c r="I71" s="83">
        <v>6.3456939690948779</v>
      </c>
      <c r="J71" s="83">
        <v>6.0230913303943971</v>
      </c>
      <c r="K71" s="83">
        <v>6.282352680338505</v>
      </c>
      <c r="L71" s="83">
        <v>6.130838325428515</v>
      </c>
      <c r="M71" s="83">
        <v>6.6044348099635748</v>
      </c>
      <c r="N71" s="83">
        <v>6.0372480973715899</v>
      </c>
      <c r="O71" s="83">
        <v>6.2823311365102921</v>
      </c>
      <c r="P71" s="83">
        <v>5.8427605018794244</v>
      </c>
      <c r="Q71" s="83">
        <v>5.9504998038167916</v>
      </c>
      <c r="R71" s="83">
        <v>5.2987549063446746</v>
      </c>
      <c r="S71" s="83">
        <v>4.910442454893591</v>
      </c>
      <c r="T71" s="83">
        <v>5.1368090379856577</v>
      </c>
      <c r="U71" s="83">
        <v>4.1427802735220549</v>
      </c>
      <c r="V71" s="83">
        <v>4.655391299676821</v>
      </c>
      <c r="W71" s="83">
        <v>3.9113972609481786</v>
      </c>
      <c r="X71" s="83">
        <v>3.9583357593741151</v>
      </c>
      <c r="Y71" s="83">
        <v>3.9058373422419175</v>
      </c>
      <c r="Z71" s="83">
        <v>3.2278337704629187</v>
      </c>
      <c r="AA71" s="83">
        <v>3.2134655017314429</v>
      </c>
      <c r="AB71" s="83">
        <v>3.3570238474425813</v>
      </c>
      <c r="AC71" s="83">
        <v>3.3629905222285421</v>
      </c>
      <c r="AD71" s="83">
        <v>3.27591580976567</v>
      </c>
      <c r="AE71" s="83">
        <v>3.1668673533701464</v>
      </c>
      <c r="AF71" s="83">
        <v>3.5742493945753928</v>
      </c>
      <c r="AG71" s="83">
        <v>3.8113221214692459</v>
      </c>
      <c r="AH71" s="83">
        <v>3.054030987446323</v>
      </c>
      <c r="AI71" s="279">
        <v>2.80358486907978</v>
      </c>
      <c r="AJ71" s="279">
        <v>2.8693095610854327</v>
      </c>
      <c r="AK71" s="279">
        <v>2.8071872278088095</v>
      </c>
      <c r="AL71" s="279">
        <v>2.6676464679946204</v>
      </c>
      <c r="AM71" s="382">
        <f t="shared" si="89"/>
        <v>2.2493134424648535</v>
      </c>
      <c r="AN71" s="279">
        <v>1.8309804169350865</v>
      </c>
      <c r="AO71" s="279">
        <f t="shared" si="90"/>
        <v>1.6905427476933079</v>
      </c>
      <c r="AP71" s="279">
        <v>1.5501050784515291</v>
      </c>
      <c r="AQ71" s="279">
        <f>AP71+(AS71-AP71)/3</f>
        <v>1.4657218392010081</v>
      </c>
      <c r="AR71" s="279">
        <f>AP71+(AS71-AP71)*2/3</f>
        <v>1.381338599950487</v>
      </c>
      <c r="AS71" s="279">
        <v>1.296955360699966</v>
      </c>
      <c r="AT71" s="279">
        <f t="shared" si="91"/>
        <v>1.2046423854143327</v>
      </c>
      <c r="AU71" s="279">
        <v>1.1123294101286991</v>
      </c>
      <c r="AV71" s="279">
        <f>AU71+(AX71-AU71)/3</f>
        <v>1.0409561542924899</v>
      </c>
      <c r="AW71" s="279">
        <f>AU71+(AX71-AU71)*2/3</f>
        <v>0.96958289845628065</v>
      </c>
      <c r="AX71" s="279">
        <v>0.89820964262007141</v>
      </c>
      <c r="AY71" s="279">
        <f t="shared" si="92"/>
        <v>0.85352730621997841</v>
      </c>
      <c r="AZ71" s="279">
        <v>0.80884496981988552</v>
      </c>
      <c r="BA71" s="279">
        <f t="shared" si="81"/>
        <v>0.74341355407217025</v>
      </c>
      <c r="BB71" s="279">
        <f t="shared" si="82"/>
        <v>0.67798213832445509</v>
      </c>
      <c r="BC71" s="279">
        <f t="shared" si="83"/>
        <v>0.6125507225767397</v>
      </c>
      <c r="BD71" s="279">
        <f t="shared" si="84"/>
        <v>0.54711930682902454</v>
      </c>
      <c r="BE71" s="279">
        <v>0.48168789108130927</v>
      </c>
      <c r="BF71" s="279">
        <f t="shared" si="85"/>
        <v>0.41792491362184991</v>
      </c>
      <c r="BG71" s="279">
        <f t="shared" si="86"/>
        <v>0.3541619361623905</v>
      </c>
      <c r="BH71" s="279">
        <f t="shared" si="87"/>
        <v>0.29039895870293114</v>
      </c>
      <c r="BI71" s="279">
        <f t="shared" si="88"/>
        <v>0.22663598124347173</v>
      </c>
      <c r="BJ71" s="279">
        <v>0.16287300378401237</v>
      </c>
    </row>
    <row r="72" spans="1:62">
      <c r="A72" s="91" t="s">
        <v>232</v>
      </c>
      <c r="B72" s="83">
        <v>8.9063355163892535</v>
      </c>
      <c r="C72" s="83">
        <v>10.886375981108531</v>
      </c>
      <c r="D72" s="83">
        <v>10.045758908694197</v>
      </c>
      <c r="E72" s="83">
        <v>10.447017560859116</v>
      </c>
      <c r="F72" s="83">
        <v>10.507971630651074</v>
      </c>
      <c r="G72" s="83">
        <v>11.196450123095428</v>
      </c>
      <c r="H72" s="83">
        <v>11.175043072015493</v>
      </c>
      <c r="I72" s="83">
        <v>11.015509783938386</v>
      </c>
      <c r="J72" s="83">
        <v>11.18255359700648</v>
      </c>
      <c r="K72" s="83">
        <v>11.878570222389206</v>
      </c>
      <c r="L72" s="83">
        <v>11.33929593473137</v>
      </c>
      <c r="M72" s="83">
        <v>11.871491624216588</v>
      </c>
      <c r="N72" s="83">
        <v>11.827760037700321</v>
      </c>
      <c r="O72" s="83">
        <v>11.586870507357917</v>
      </c>
      <c r="P72" s="83">
        <v>11.130053816743326</v>
      </c>
      <c r="Q72" s="83">
        <v>11.849505647936823</v>
      </c>
      <c r="R72" s="83">
        <v>12.19721260475472</v>
      </c>
      <c r="S72" s="83">
        <v>12.37000710417562</v>
      </c>
      <c r="T72" s="83">
        <v>11.689694742409394</v>
      </c>
      <c r="U72" s="83">
        <v>10.957138334578961</v>
      </c>
      <c r="V72" s="83">
        <v>12.233826491648639</v>
      </c>
      <c r="W72" s="83">
        <v>11.750327660829814</v>
      </c>
      <c r="X72" s="83">
        <v>11.09312338313665</v>
      </c>
      <c r="Y72" s="83">
        <v>11.308169329304118</v>
      </c>
      <c r="Z72" s="83">
        <v>11.241406188024408</v>
      </c>
      <c r="AA72" s="83">
        <v>10.792513074628708</v>
      </c>
      <c r="AB72" s="83">
        <v>11.224030249800963</v>
      </c>
      <c r="AC72" s="83">
        <v>10.554271460486571</v>
      </c>
      <c r="AD72" s="83">
        <v>10.488873834389599</v>
      </c>
      <c r="AE72" s="83">
        <v>10.19132945229352</v>
      </c>
      <c r="AF72" s="83">
        <v>9.3220735318916486</v>
      </c>
      <c r="AG72" s="83">
        <v>9.3463069176759657</v>
      </c>
      <c r="AH72" s="83">
        <v>8.6785757963438446</v>
      </c>
      <c r="AI72" s="279">
        <v>7.4923176311793478</v>
      </c>
      <c r="AJ72" s="279">
        <v>7.5783637230559524</v>
      </c>
      <c r="AK72" s="279">
        <v>7.2807884123463626</v>
      </c>
      <c r="AL72" s="279">
        <v>6.8180820788334531</v>
      </c>
      <c r="AM72" s="382">
        <f t="shared" si="89"/>
        <v>5.4945631355883924</v>
      </c>
      <c r="AN72" s="279">
        <v>4.1710441923433317</v>
      </c>
      <c r="AO72" s="279">
        <f t="shared" si="90"/>
        <v>3.8441449933829128</v>
      </c>
      <c r="AP72" s="279">
        <v>3.517245794422494</v>
      </c>
      <c r="AQ72" s="279">
        <f>AP72+(AS72-AP72)/3</f>
        <v>3.3010442422672983</v>
      </c>
      <c r="AR72" s="279">
        <f>AP72+(AS72-AP72)*2/3</f>
        <v>3.0848426901121031</v>
      </c>
      <c r="AS72" s="279">
        <v>2.8686411379569074</v>
      </c>
      <c r="AT72" s="279">
        <f t="shared" si="91"/>
        <v>2.6853865965131276</v>
      </c>
      <c r="AU72" s="279">
        <v>2.5021320550693478</v>
      </c>
      <c r="AV72" s="279">
        <f>AU72+(AX72-AU72)/3</f>
        <v>2.3113595186801974</v>
      </c>
      <c r="AW72" s="279">
        <f>AU72+(AX72-AU72)*2/3</f>
        <v>2.1205869822910466</v>
      </c>
      <c r="AX72" s="279">
        <v>1.9298144459018962</v>
      </c>
      <c r="AY72" s="279">
        <f t="shared" si="92"/>
        <v>1.7959443944281686</v>
      </c>
      <c r="AZ72" s="279">
        <v>1.6620743429544409</v>
      </c>
      <c r="BA72" s="279">
        <f t="shared" si="81"/>
        <v>1.5164159047853905</v>
      </c>
      <c r="BB72" s="279">
        <f t="shared" si="82"/>
        <v>1.37075746661634</v>
      </c>
      <c r="BC72" s="279">
        <f t="shared" si="83"/>
        <v>1.2250990284472896</v>
      </c>
      <c r="BD72" s="279">
        <f t="shared" si="84"/>
        <v>1.0794405902782391</v>
      </c>
      <c r="BE72" s="279">
        <v>0.93378215210918858</v>
      </c>
      <c r="BF72" s="279">
        <f t="shared" si="85"/>
        <v>0.85899994215562026</v>
      </c>
      <c r="BG72" s="279">
        <f t="shared" si="86"/>
        <v>0.78421773220205182</v>
      </c>
      <c r="BH72" s="279">
        <f t="shared" si="87"/>
        <v>0.70943552224848361</v>
      </c>
      <c r="BI72" s="279">
        <f t="shared" si="88"/>
        <v>0.63465331229491517</v>
      </c>
      <c r="BJ72" s="279">
        <v>0.55987110234134685</v>
      </c>
    </row>
    <row r="73" spans="1:62" s="178" customFormat="1">
      <c r="A73" s="177" t="s">
        <v>233</v>
      </c>
      <c r="B73" s="179"/>
      <c r="C73" s="179"/>
      <c r="D73" s="179"/>
      <c r="E73" s="179"/>
      <c r="F73" s="179"/>
      <c r="G73" s="179"/>
      <c r="H73" s="179"/>
      <c r="I73" s="179"/>
      <c r="J73" s="179"/>
      <c r="K73" s="179"/>
      <c r="L73" s="179"/>
      <c r="M73" s="179"/>
      <c r="N73" s="179"/>
      <c r="O73" s="179"/>
      <c r="P73" s="179"/>
      <c r="Q73" s="179"/>
      <c r="R73" s="179"/>
      <c r="S73" s="179"/>
      <c r="T73" s="179"/>
      <c r="U73" s="179"/>
      <c r="V73" s="179"/>
      <c r="W73" s="179"/>
      <c r="X73" s="179"/>
      <c r="Y73" s="179"/>
      <c r="Z73" s="179"/>
      <c r="AA73" s="179">
        <f>$AE$73/$AE$72*AA72</f>
        <v>1.9327112998514329</v>
      </c>
      <c r="AB73" s="179">
        <f>$AE$73/$AE$72*AB72</f>
        <v>2.0099869181220256</v>
      </c>
      <c r="AC73" s="179">
        <f>$AE$73/$AE$72*AC72</f>
        <v>1.8900472551971998</v>
      </c>
      <c r="AD73" s="179">
        <f>$AE$73/$AE$72*AD72</f>
        <v>1.8783359206760299</v>
      </c>
      <c r="AE73" s="179">
        <v>1.8250520019531249</v>
      </c>
      <c r="AF73" s="179">
        <v>1.723773193359375</v>
      </c>
      <c r="AG73" s="179">
        <v>1.8254631347656249</v>
      </c>
      <c r="AH73" s="179">
        <v>1.5865269775390625</v>
      </c>
      <c r="AI73" s="280">
        <v>1.6673853759765624</v>
      </c>
      <c r="AJ73" s="280">
        <v>1.6070187950134278</v>
      </c>
      <c r="AK73" s="280">
        <v>1.5481828765869141</v>
      </c>
      <c r="AL73" s="280">
        <v>1.4946317977905272</v>
      </c>
      <c r="AM73" s="280">
        <v>1.4425123443603516</v>
      </c>
      <c r="AN73" s="280">
        <v>1.3918210449218751</v>
      </c>
      <c r="AO73" s="280">
        <v>1.3425538482666015</v>
      </c>
      <c r="AP73" s="280">
        <v>1.2947054443359376</v>
      </c>
      <c r="AQ73" s="280">
        <v>1.21373876953125</v>
      </c>
      <c r="AR73" s="280">
        <v>1.1359091796875</v>
      </c>
      <c r="AS73" s="280">
        <v>1.0611587219238281</v>
      </c>
      <c r="AT73" s="280">
        <v>0.98942919921875006</v>
      </c>
      <c r="AU73" s="280">
        <v>0.92066296386718749</v>
      </c>
      <c r="AV73" s="280">
        <v>0.83646414184570317</v>
      </c>
      <c r="AW73" s="280">
        <v>0.75739337158203124</v>
      </c>
      <c r="AX73" s="280">
        <v>0.68331893920898434</v>
      </c>
      <c r="AY73" s="280">
        <v>0.61410931396484369</v>
      </c>
      <c r="AZ73" s="280">
        <v>0.54963311767578127</v>
      </c>
      <c r="BA73" s="280">
        <v>0.48960614013671877</v>
      </c>
      <c r="BB73" s="280">
        <v>0.43408520507812498</v>
      </c>
      <c r="BC73" s="280">
        <v>0.38293585205078123</v>
      </c>
      <c r="BD73" s="280">
        <v>0.33602380371093749</v>
      </c>
      <c r="BE73" s="280">
        <v>0.29321569824218752</v>
      </c>
      <c r="BF73" s="280">
        <v>0.23871154785156251</v>
      </c>
      <c r="BG73" s="280">
        <v>0.19107348632812499</v>
      </c>
      <c r="BH73" s="280">
        <v>0.150044189453125</v>
      </c>
      <c r="BI73" s="280">
        <v>0.1153670654296875</v>
      </c>
      <c r="BJ73" s="280">
        <v>8.6786865234374996E-2</v>
      </c>
    </row>
    <row r="74" spans="1:62">
      <c r="A74" s="91" t="s">
        <v>234</v>
      </c>
      <c r="B74" s="83">
        <v>25.543549647558578</v>
      </c>
      <c r="C74" s="83">
        <v>25.622628867446512</v>
      </c>
      <c r="D74" s="83">
        <v>24.02357756253182</v>
      </c>
      <c r="E74" s="83">
        <v>23.104906124887751</v>
      </c>
      <c r="F74" s="83">
        <v>22.9896896353576</v>
      </c>
      <c r="G74" s="83">
        <v>22.051651244044994</v>
      </c>
      <c r="H74" s="83">
        <v>21.549776476670786</v>
      </c>
      <c r="I74" s="83">
        <v>23.052655665862453</v>
      </c>
      <c r="J74" s="83">
        <v>23.39439933389324</v>
      </c>
      <c r="K74" s="83">
        <v>23.970795638588264</v>
      </c>
      <c r="L74" s="83">
        <v>25.269318271260843</v>
      </c>
      <c r="M74" s="83">
        <v>23.426725543977096</v>
      </c>
      <c r="N74" s="83">
        <v>24.642859015784868</v>
      </c>
      <c r="O74" s="83">
        <v>24.293817071631068</v>
      </c>
      <c r="P74" s="83">
        <v>24.392213796995087</v>
      </c>
      <c r="Q74" s="83">
        <v>24.818154134754252</v>
      </c>
      <c r="R74" s="83">
        <v>25.815269314988999</v>
      </c>
      <c r="S74" s="83">
        <v>26.538868779426263</v>
      </c>
      <c r="T74" s="83">
        <v>24.098916818125335</v>
      </c>
      <c r="U74" s="83">
        <v>15.229578476279451</v>
      </c>
      <c r="V74" s="83">
        <v>19.303680688491632</v>
      </c>
      <c r="W74" s="83">
        <v>17.709951418172057</v>
      </c>
      <c r="X74" s="83">
        <v>17.073114636189</v>
      </c>
      <c r="Y74" s="83">
        <v>18.663777528149893</v>
      </c>
      <c r="Z74" s="83">
        <v>18.205680583509981</v>
      </c>
      <c r="AA74" s="83">
        <v>17.793287422149334</v>
      </c>
      <c r="AB74" s="83">
        <v>17.255180446534514</v>
      </c>
      <c r="AC74" s="83">
        <v>18.691397241844754</v>
      </c>
      <c r="AD74" s="83">
        <v>18.319497112077396</v>
      </c>
      <c r="AE74" s="83">
        <v>16.853746326450157</v>
      </c>
      <c r="AF74" s="83">
        <v>12.814375503291418</v>
      </c>
      <c r="AG74" s="83">
        <v>16.111153919571883</v>
      </c>
      <c r="AH74" s="83">
        <v>14.125723648908531</v>
      </c>
      <c r="AI74" s="279">
        <v>11.690240070524121</v>
      </c>
      <c r="AJ74" s="279">
        <v>10.930950571876977</v>
      </c>
      <c r="AK74" s="279">
        <v>10.103458754957702</v>
      </c>
      <c r="AL74" s="279">
        <v>10.193190621061568</v>
      </c>
      <c r="AM74" s="382">
        <f t="shared" ref="AM74:AM75" si="93">(AL74+AN74)/2</f>
        <v>10.919102003616953</v>
      </c>
      <c r="AN74" s="279">
        <v>11.645013386172337</v>
      </c>
      <c r="AO74" s="279">
        <f t="shared" si="90"/>
        <v>11.51662091477637</v>
      </c>
      <c r="AP74" s="279">
        <v>11.388228443380402</v>
      </c>
      <c r="AQ74" s="279">
        <f>AP74+(AS74-AP74)/3</f>
        <v>10.961852221856892</v>
      </c>
      <c r="AR74" s="279">
        <f>AP74+(AS74-AP74)*2/3</f>
        <v>10.535476000333382</v>
      </c>
      <c r="AS74" s="279">
        <v>10.109099778809872</v>
      </c>
      <c r="AT74" s="279">
        <f t="shared" si="91"/>
        <v>9.6724155331006578</v>
      </c>
      <c r="AU74" s="279">
        <v>9.2357312873914452</v>
      </c>
      <c r="AV74" s="279">
        <f>AU74+(AX74-AU74)/3</f>
        <v>8.8009420102758558</v>
      </c>
      <c r="AW74" s="279">
        <f>AU74+(AX74-AU74)*2/3</f>
        <v>8.3661527331602681</v>
      </c>
      <c r="AX74" s="279">
        <v>7.9313634560446786</v>
      </c>
      <c r="AY74" s="279">
        <f t="shared" si="92"/>
        <v>7.5517711033377566</v>
      </c>
      <c r="AZ74" s="279">
        <v>7.1721787506308345</v>
      </c>
      <c r="BA74" s="279">
        <f t="shared" si="81"/>
        <v>6.2593510036704956</v>
      </c>
      <c r="BB74" s="279">
        <f t="shared" si="82"/>
        <v>5.3465232567101557</v>
      </c>
      <c r="BC74" s="279">
        <f t="shared" si="83"/>
        <v>4.4336955097498167</v>
      </c>
      <c r="BD74" s="279">
        <f t="shared" si="84"/>
        <v>3.5208677627894773</v>
      </c>
      <c r="BE74" s="279">
        <v>2.6080400158291379</v>
      </c>
      <c r="BF74" s="279">
        <f t="shared" si="85"/>
        <v>2.2885744250154954</v>
      </c>
      <c r="BG74" s="279">
        <f t="shared" si="86"/>
        <v>1.9691088342018528</v>
      </c>
      <c r="BH74" s="279">
        <f t="shared" si="87"/>
        <v>1.6496432433882102</v>
      </c>
      <c r="BI74" s="279">
        <f t="shared" si="88"/>
        <v>1.3301776525745677</v>
      </c>
      <c r="BJ74" s="279">
        <v>1.0107120617609251</v>
      </c>
    </row>
    <row r="75" spans="1:62">
      <c r="A75" s="91" t="s">
        <v>29</v>
      </c>
      <c r="B75" s="83">
        <v>7.4281539150351659</v>
      </c>
      <c r="C75" s="83">
        <v>8.0782804636337335</v>
      </c>
      <c r="D75" s="83">
        <v>7.8530609572098715</v>
      </c>
      <c r="E75" s="83">
        <v>6.3339926700598665</v>
      </c>
      <c r="F75" s="83">
        <v>5.8258279795936971</v>
      </c>
      <c r="G75" s="83">
        <v>5.7166243799520604</v>
      </c>
      <c r="H75" s="83">
        <v>5.5842080112991894</v>
      </c>
      <c r="I75" s="83">
        <v>5.6056557549835713</v>
      </c>
      <c r="J75" s="83">
        <v>6.3050334655028095</v>
      </c>
      <c r="K75" s="83">
        <v>6.8501366187628729</v>
      </c>
      <c r="L75" s="83">
        <v>5.5705180608071458</v>
      </c>
      <c r="M75" s="83">
        <v>5.0456913767349203</v>
      </c>
      <c r="N75" s="83">
        <v>6.0450505331178341</v>
      </c>
      <c r="O75" s="83">
        <v>5.3452543841306408</v>
      </c>
      <c r="P75" s="83">
        <v>4.3759266619211212</v>
      </c>
      <c r="Q75" s="83">
        <v>3.6634436589372532</v>
      </c>
      <c r="R75" s="83">
        <v>3.5925571663696969</v>
      </c>
      <c r="S75" s="83">
        <v>3.3054861292284263</v>
      </c>
      <c r="T75" s="83">
        <v>2.8706347709953914</v>
      </c>
      <c r="U75" s="83">
        <v>2.2469540086439586</v>
      </c>
      <c r="V75" s="83">
        <v>2.5584804418706364</v>
      </c>
      <c r="W75" s="83">
        <v>2.4719008999377472</v>
      </c>
      <c r="X75" s="83">
        <v>2.4812564101667336</v>
      </c>
      <c r="Y75" s="83">
        <v>2.3583537898861771</v>
      </c>
      <c r="Z75" s="83">
        <v>2.4187199107340813</v>
      </c>
      <c r="AA75" s="83">
        <v>2.408808741041681</v>
      </c>
      <c r="AB75" s="83">
        <v>2.7620081598829698</v>
      </c>
      <c r="AC75" s="83">
        <v>2.5911765149346455</v>
      </c>
      <c r="AD75" s="83">
        <v>2.5476275188481927</v>
      </c>
      <c r="AE75" s="83">
        <v>2.443724681039031</v>
      </c>
      <c r="AF75" s="83">
        <v>1.9362925391748553</v>
      </c>
      <c r="AG75" s="83">
        <v>2.2054763205091441</v>
      </c>
      <c r="AH75" s="83">
        <v>2.0683874786845515</v>
      </c>
      <c r="AI75" s="279">
        <v>1.889555400765329</v>
      </c>
      <c r="AJ75" s="279">
        <v>1.7527764087770936</v>
      </c>
      <c r="AK75" s="279">
        <v>1.7050307999025163</v>
      </c>
      <c r="AL75" s="279">
        <v>1.6561979081264551</v>
      </c>
      <c r="AM75" s="382">
        <f t="shared" si="93"/>
        <v>1.607187158092509</v>
      </c>
      <c r="AN75" s="279">
        <v>1.5581764080585627</v>
      </c>
      <c r="AO75" s="279">
        <f t="shared" si="90"/>
        <v>1.4655481316340926</v>
      </c>
      <c r="AP75" s="279">
        <v>1.3729198552096222</v>
      </c>
      <c r="AQ75" s="279">
        <f>AP75+(AS75-AP75)/3</f>
        <v>1.3197447212864417</v>
      </c>
      <c r="AR75" s="279">
        <f>AP75+(AS75-AP75)*2/3</f>
        <v>1.2665695873632614</v>
      </c>
      <c r="AS75" s="279">
        <v>1.2133944534400809</v>
      </c>
      <c r="AT75" s="279">
        <f t="shared" si="91"/>
        <v>1.1606101123173391</v>
      </c>
      <c r="AU75" s="279">
        <v>1.1078257711945971</v>
      </c>
      <c r="AV75" s="279">
        <f>AU75+(AX75-AU75)/3</f>
        <v>1.0502417835054623</v>
      </c>
      <c r="AW75" s="279">
        <f>AU75+(AX75-AU75)*2/3</f>
        <v>0.99265779581632729</v>
      </c>
      <c r="AX75" s="279">
        <v>0.93507380812719232</v>
      </c>
      <c r="AY75" s="279">
        <f t="shared" si="92"/>
        <v>0.88445455336762313</v>
      </c>
      <c r="AZ75" s="279">
        <v>0.83383529860805394</v>
      </c>
      <c r="BA75" s="279">
        <f t="shared" si="81"/>
        <v>0.7862886999898121</v>
      </c>
      <c r="BB75" s="279">
        <f t="shared" si="82"/>
        <v>0.73874210137157015</v>
      </c>
      <c r="BC75" s="279">
        <f t="shared" si="83"/>
        <v>0.69119550275332831</v>
      </c>
      <c r="BD75" s="279">
        <f t="shared" si="84"/>
        <v>0.64364890413508635</v>
      </c>
      <c r="BE75" s="279">
        <v>0.59610230551684451</v>
      </c>
      <c r="BF75" s="279">
        <f t="shared" si="85"/>
        <v>0.56780461997450993</v>
      </c>
      <c r="BG75" s="279">
        <f t="shared" si="86"/>
        <v>0.53950693443217534</v>
      </c>
      <c r="BH75" s="279">
        <f t="shared" si="87"/>
        <v>0.51120924888984076</v>
      </c>
      <c r="BI75" s="279">
        <f t="shared" si="88"/>
        <v>0.48291156334750618</v>
      </c>
      <c r="BJ75" s="279">
        <v>0.4546138778051716</v>
      </c>
    </row>
    <row r="76" spans="1:62" s="178" customFormat="1">
      <c r="A76" s="177" t="s">
        <v>235</v>
      </c>
      <c r="B76" s="179"/>
      <c r="C76" s="179"/>
      <c r="D76" s="179"/>
      <c r="E76" s="179"/>
      <c r="F76" s="179"/>
      <c r="G76" s="179"/>
      <c r="H76" s="179"/>
      <c r="I76" s="179"/>
      <c r="J76" s="179"/>
      <c r="K76" s="179"/>
      <c r="L76" s="179"/>
      <c r="M76" s="179"/>
      <c r="N76" s="179"/>
      <c r="O76" s="179"/>
      <c r="P76" s="179"/>
      <c r="Q76" s="179"/>
      <c r="R76" s="179"/>
      <c r="S76" s="179"/>
      <c r="T76" s="179"/>
      <c r="U76" s="179"/>
      <c r="V76" s="179"/>
      <c r="W76" s="179"/>
      <c r="X76" s="179"/>
      <c r="Y76" s="179"/>
      <c r="Z76" s="179"/>
      <c r="AA76" s="179">
        <f>$AE$76/$AE$75*AA75</f>
        <v>1.2138350171632959</v>
      </c>
      <c r="AB76" s="179">
        <f>$AE$76/$AE$75*AB75</f>
        <v>1.3918175258309957</v>
      </c>
      <c r="AC76" s="179">
        <f>$AE$76/$AE$75*AC75</f>
        <v>1.3057328860898554</v>
      </c>
      <c r="AD76" s="179">
        <f>$AE$76/$AE$75*AD75</f>
        <v>1.2837878908266847</v>
      </c>
      <c r="AE76" s="179">
        <v>1.2314296853923843</v>
      </c>
      <c r="AF76" s="179">
        <v>1.159154329520629</v>
      </c>
      <c r="AG76" s="179">
        <v>1.0408755749058041</v>
      </c>
      <c r="AH76" s="179">
        <v>0.94884104706543193</v>
      </c>
      <c r="AI76" s="280">
        <v>0.90612332440676524</v>
      </c>
      <c r="AJ76" s="280">
        <v>0.86375615805491957</v>
      </c>
      <c r="AK76" s="280">
        <v>0.81764715507832297</v>
      </c>
      <c r="AL76" s="280">
        <v>0.80034167435920112</v>
      </c>
      <c r="AM76" s="280">
        <v>0.78271317741427193</v>
      </c>
      <c r="AN76" s="280">
        <v>0.76491160271441472</v>
      </c>
      <c r="AO76" s="280">
        <v>0.74708322303142605</v>
      </c>
      <c r="AP76" s="280">
        <v>0.70018645646962363</v>
      </c>
      <c r="AQ76" s="280">
        <v>0.68783678698591744</v>
      </c>
      <c r="AR76" s="280">
        <v>0.67527593692548615</v>
      </c>
      <c r="AS76" s="280">
        <v>0.662518604357484</v>
      </c>
      <c r="AT76" s="280">
        <v>0.64957963643924477</v>
      </c>
      <c r="AU76" s="280">
        <v>0.63647381980289808</v>
      </c>
      <c r="AV76" s="280">
        <v>0.61960501183346095</v>
      </c>
      <c r="AW76" s="280">
        <v>0.60280755879246106</v>
      </c>
      <c r="AX76" s="280">
        <v>0.58610444084425473</v>
      </c>
      <c r="AY76" s="280">
        <v>0.56951884836902444</v>
      </c>
      <c r="AZ76" s="280">
        <v>0.45180615637618138</v>
      </c>
      <c r="BA76" s="280">
        <v>0.43985231718143192</v>
      </c>
      <c r="BB76" s="280">
        <v>0.4281121418970133</v>
      </c>
      <c r="BC76" s="280">
        <v>0.4166037414523589</v>
      </c>
      <c r="BD76" s="280">
        <v>0.40534520550808034</v>
      </c>
      <c r="BE76" s="280">
        <v>0.39435482588075355</v>
      </c>
      <c r="BF76" s="280">
        <v>0.37955120510062401</v>
      </c>
      <c r="BG76" s="280">
        <v>0.3655129198601067</v>
      </c>
      <c r="BH76" s="280">
        <v>0.35227264044455797</v>
      </c>
      <c r="BI76" s="280">
        <v>0.33986339354312017</v>
      </c>
      <c r="BJ76" s="280">
        <v>0.32831835625098937</v>
      </c>
    </row>
    <row r="77" spans="1:62">
      <c r="A77" s="91" t="s">
        <v>31</v>
      </c>
      <c r="B77" s="83">
        <v>29.934452689326108</v>
      </c>
      <c r="C77" s="83">
        <v>32.410319881104314</v>
      </c>
      <c r="D77" s="83">
        <v>27.328710968039754</v>
      </c>
      <c r="E77" s="83">
        <v>25.183584337756749</v>
      </c>
      <c r="F77" s="83">
        <v>26.802274481812763</v>
      </c>
      <c r="G77" s="83">
        <v>26.187752316077386</v>
      </c>
      <c r="H77" s="83">
        <v>26.030261891081786</v>
      </c>
      <c r="I77" s="83">
        <v>24.931326721830946</v>
      </c>
      <c r="J77" s="83">
        <v>25.399725447217374</v>
      </c>
      <c r="K77" s="83">
        <v>26.015775956185045</v>
      </c>
      <c r="L77" s="83">
        <v>25.60603831136044</v>
      </c>
      <c r="M77" s="83">
        <v>26.638012165813873</v>
      </c>
      <c r="N77" s="83">
        <v>25.142333909543957</v>
      </c>
      <c r="O77" s="83">
        <v>24.943168185890102</v>
      </c>
      <c r="P77" s="83">
        <v>25.491585214800441</v>
      </c>
      <c r="Q77" s="83">
        <v>25.336391321335299</v>
      </c>
      <c r="R77" s="83">
        <v>26.768886996668531</v>
      </c>
      <c r="S77" s="83">
        <v>26.880938937269836</v>
      </c>
      <c r="T77" s="83">
        <v>25.493031546578525</v>
      </c>
      <c r="U77" s="83">
        <v>22.396742609373081</v>
      </c>
      <c r="V77" s="83">
        <v>23.260281804576231</v>
      </c>
      <c r="W77" s="83">
        <v>23.095459760351268</v>
      </c>
      <c r="X77" s="83">
        <v>21.643956749342451</v>
      </c>
      <c r="Y77" s="83">
        <v>21.25644228126805</v>
      </c>
      <c r="Z77" s="83">
        <v>20.26651956404876</v>
      </c>
      <c r="AA77" s="83">
        <v>19.032993767093551</v>
      </c>
      <c r="AB77" s="83">
        <v>19.522991230660303</v>
      </c>
      <c r="AC77" s="83">
        <v>18.715384037406235</v>
      </c>
      <c r="AD77" s="83">
        <v>19.26657743389541</v>
      </c>
      <c r="AE77" s="83">
        <v>19.552406543291401</v>
      </c>
      <c r="AF77" s="83">
        <v>17.677164857449398</v>
      </c>
      <c r="AG77" s="83">
        <v>19.320231168378641</v>
      </c>
      <c r="AH77" s="83">
        <v>17.883663232503697</v>
      </c>
      <c r="AI77" s="279">
        <v>15.752871894962063</v>
      </c>
      <c r="AJ77" s="279">
        <v>14.828150549904144</v>
      </c>
      <c r="AK77" s="279">
        <v>14.413640929012528</v>
      </c>
      <c r="AL77" s="279">
        <v>13.985708846799165</v>
      </c>
      <c r="AM77" s="382">
        <f t="shared" ref="AM77" si="94">(AL77+AN77)/2</f>
        <v>13.096847967969989</v>
      </c>
      <c r="AN77" s="279">
        <v>12.207987089140813</v>
      </c>
      <c r="AO77" s="279">
        <f t="shared" si="90"/>
        <v>11.560355875907593</v>
      </c>
      <c r="AP77" s="279">
        <v>10.912724662674371</v>
      </c>
      <c r="AQ77" s="279">
        <f>AP77+(AS77-AP77)/3</f>
        <v>10.663178816754112</v>
      </c>
      <c r="AR77" s="279">
        <f>AP77+(AS77-AP77)*2/3</f>
        <v>10.41363297083385</v>
      </c>
      <c r="AS77" s="279">
        <v>10.164087124913591</v>
      </c>
      <c r="AT77" s="279">
        <f t="shared" si="91"/>
        <v>9.93284993629198</v>
      </c>
      <c r="AU77" s="279">
        <v>9.7016127476703709</v>
      </c>
      <c r="AV77" s="279">
        <f>AU77+(AX77-AU77)/3</f>
        <v>9.4451084740706772</v>
      </c>
      <c r="AW77" s="279">
        <f>AU77+(AX77-AU77)*2/3</f>
        <v>9.1886042004709836</v>
      </c>
      <c r="AX77" s="279">
        <v>8.93209992687129</v>
      </c>
      <c r="AY77" s="279">
        <f t="shared" si="92"/>
        <v>8.7324291913565055</v>
      </c>
      <c r="AZ77" s="279">
        <v>8.5327584558417229</v>
      </c>
      <c r="BA77" s="279">
        <f t="shared" si="81"/>
        <v>8.2932391780962629</v>
      </c>
      <c r="BB77" s="279">
        <f t="shared" si="82"/>
        <v>8.0537199003508029</v>
      </c>
      <c r="BC77" s="279">
        <f t="shared" si="83"/>
        <v>7.814200622605342</v>
      </c>
      <c r="BD77" s="279">
        <f t="shared" si="84"/>
        <v>7.5746813448598811</v>
      </c>
      <c r="BE77" s="279">
        <v>7.3351620671144211</v>
      </c>
      <c r="BF77" s="279">
        <f t="shared" si="85"/>
        <v>7.1434035320346121</v>
      </c>
      <c r="BG77" s="279">
        <f t="shared" si="86"/>
        <v>6.951644996954804</v>
      </c>
      <c r="BH77" s="279">
        <f t="shared" si="87"/>
        <v>6.759886461874995</v>
      </c>
      <c r="BI77" s="279">
        <f t="shared" si="88"/>
        <v>6.5681279267951869</v>
      </c>
      <c r="BJ77" s="279">
        <v>6.3763693917153779</v>
      </c>
    </row>
    <row r="78" spans="1:62" s="178" customFormat="1">
      <c r="A78" s="177" t="s">
        <v>236</v>
      </c>
      <c r="B78" s="179"/>
      <c r="C78" s="179"/>
      <c r="D78" s="179"/>
      <c r="E78" s="179"/>
      <c r="F78" s="179"/>
      <c r="G78" s="179"/>
      <c r="H78" s="179"/>
      <c r="I78" s="179"/>
      <c r="J78" s="179"/>
      <c r="K78" s="179"/>
      <c r="L78" s="179"/>
      <c r="M78" s="179"/>
      <c r="N78" s="179"/>
      <c r="O78" s="179"/>
      <c r="P78" s="179"/>
      <c r="Q78" s="179"/>
      <c r="R78" s="179"/>
      <c r="S78" s="179"/>
      <c r="T78" s="179"/>
      <c r="U78" s="179"/>
      <c r="V78" s="179"/>
      <c r="W78" s="179"/>
      <c r="X78" s="179"/>
      <c r="Y78" s="179"/>
      <c r="Z78" s="179"/>
      <c r="AA78" s="179">
        <f>$AE$78/$AE$77*AA77</f>
        <v>9.1781871767085033</v>
      </c>
      <c r="AB78" s="179">
        <f>$AE$78/$AE$77*AB77</f>
        <v>9.4144762488198754</v>
      </c>
      <c r="AC78" s="179">
        <f>$AE$78/$AE$77*AC77</f>
        <v>9.0250277954842044</v>
      </c>
      <c r="AD78" s="179">
        <f>$AE$78/$AE$77*AD77</f>
        <v>9.29082708199949</v>
      </c>
      <c r="AE78" s="179">
        <v>9.4286610506694082</v>
      </c>
      <c r="AF78" s="179">
        <v>8.8189524751627371</v>
      </c>
      <c r="AG78" s="179">
        <v>9.8435968253273192</v>
      </c>
      <c r="AH78" s="179">
        <v>9.2271361525823679</v>
      </c>
      <c r="AI78" s="280">
        <v>8.4044299506261773</v>
      </c>
      <c r="AJ78" s="280">
        <v>8.2293895542082538</v>
      </c>
      <c r="AK78" s="280">
        <v>8.0567079224387648</v>
      </c>
      <c r="AL78" s="280">
        <v>7.8880927813319088</v>
      </c>
      <c r="AM78" s="280">
        <v>7.7201336460844274</v>
      </c>
      <c r="AN78" s="280">
        <v>7.5528437179460175</v>
      </c>
      <c r="AO78" s="280">
        <v>7.3862346803547858</v>
      </c>
      <c r="AP78" s="280">
        <v>7.2203194904198043</v>
      </c>
      <c r="AQ78" s="280">
        <v>7.100417660664557</v>
      </c>
      <c r="AR78" s="280">
        <v>6.9813959755183808</v>
      </c>
      <c r="AS78" s="280">
        <v>6.8632469533803198</v>
      </c>
      <c r="AT78" s="280">
        <v>6.7459650143278935</v>
      </c>
      <c r="AU78" s="280">
        <v>6.6295431650413956</v>
      </c>
      <c r="AV78" s="280">
        <v>6.5142297974550463</v>
      </c>
      <c r="AW78" s="280">
        <v>6.399779589048384</v>
      </c>
      <c r="AX78" s="280">
        <v>6.2861850758764009</v>
      </c>
      <c r="AY78" s="280">
        <v>6.1734408000869267</v>
      </c>
      <c r="AZ78" s="280">
        <v>6.0615396639458901</v>
      </c>
      <c r="BA78" s="280">
        <v>5.9513364693881181</v>
      </c>
      <c r="BB78" s="280">
        <v>5.841956883228784</v>
      </c>
      <c r="BC78" s="280">
        <v>5.7333938077338162</v>
      </c>
      <c r="BD78" s="280">
        <v>5.6256415409104195</v>
      </c>
      <c r="BE78" s="280">
        <v>5.5186935953760852</v>
      </c>
      <c r="BF78" s="280">
        <v>5.4278613160343898</v>
      </c>
      <c r="BG78" s="280">
        <v>5.337324446848946</v>
      </c>
      <c r="BH78" s="280">
        <v>5.2470769975464666</v>
      </c>
      <c r="BI78" s="280">
        <v>5.1571143471110217</v>
      </c>
      <c r="BJ78" s="280">
        <v>5.0674306273396397</v>
      </c>
    </row>
    <row r="79" spans="1:62" s="178" customFormat="1" ht="18.600000000000001" customHeight="1">
      <c r="A79" s="177" t="s">
        <v>242</v>
      </c>
      <c r="B79" s="179"/>
      <c r="C79" s="179"/>
      <c r="D79" s="179"/>
      <c r="E79" s="179"/>
      <c r="F79" s="179"/>
      <c r="G79" s="179"/>
      <c r="H79" s="179"/>
      <c r="I79" s="179"/>
      <c r="J79" s="179"/>
      <c r="K79" s="179"/>
      <c r="L79" s="179"/>
      <c r="M79" s="179"/>
      <c r="N79" s="179"/>
      <c r="O79" s="179"/>
      <c r="P79" s="179"/>
      <c r="Q79" s="179"/>
      <c r="R79" s="179"/>
      <c r="S79" s="179"/>
      <c r="T79" s="179"/>
      <c r="U79" s="179"/>
      <c r="V79" s="179"/>
      <c r="W79" s="179"/>
      <c r="X79" s="179"/>
      <c r="Y79" s="179"/>
      <c r="Z79" s="179"/>
      <c r="AA79" s="179">
        <f>$AE$79/$AE$77*AA77</f>
        <v>2.9527989095043679</v>
      </c>
      <c r="AB79" s="179">
        <f>$AE$79/$AE$77*AB77</f>
        <v>3.0288176374977178</v>
      </c>
      <c r="AC79" s="179">
        <f>$AE$79/$AE$77*AC77</f>
        <v>2.9035245980142794</v>
      </c>
      <c r="AD79" s="179">
        <f>$AE$79/$AE$77*AD77</f>
        <v>2.9890373281709595</v>
      </c>
      <c r="AE79" s="179">
        <v>3.0333811604055017</v>
      </c>
      <c r="AF79" s="179">
        <v>2.6317657891342709</v>
      </c>
      <c r="AG79" s="179">
        <v>2.5803000300945191</v>
      </c>
      <c r="AH79" s="179">
        <v>2.4896753299661349</v>
      </c>
      <c r="AI79" s="280">
        <v>2.2119339125074107</v>
      </c>
      <c r="AJ79" s="280">
        <v>2.070131099470748</v>
      </c>
      <c r="AK79" s="280">
        <v>1.933278931892509</v>
      </c>
      <c r="AL79" s="280">
        <v>1.8046327201988661</v>
      </c>
      <c r="AM79" s="280">
        <v>1.6803512385685651</v>
      </c>
      <c r="AN79" s="280">
        <v>1.5603473843391096</v>
      </c>
      <c r="AO79" s="280">
        <v>1.4445346725502783</v>
      </c>
      <c r="AP79" s="280">
        <v>1.3328273505896977</v>
      </c>
      <c r="AQ79" s="280">
        <v>1.264086682799211</v>
      </c>
      <c r="AR79" s="280">
        <v>1.1975568304384119</v>
      </c>
      <c r="AS79" s="280">
        <v>1.1332091680190193</v>
      </c>
      <c r="AT79" s="280">
        <v>1.0710150090175947</v>
      </c>
      <c r="AU79" s="280">
        <v>1.0109457279458585</v>
      </c>
      <c r="AV79" s="280">
        <v>0.93315482822177798</v>
      </c>
      <c r="AW79" s="280">
        <v>0.85943930691566639</v>
      </c>
      <c r="AX79" s="280">
        <v>0.78973562642986739</v>
      </c>
      <c r="AY79" s="280">
        <v>0.72397994399094334</v>
      </c>
      <c r="AZ79" s="280">
        <v>0.66210863044850354</v>
      </c>
      <c r="BA79" s="280">
        <v>0.60405796509942322</v>
      </c>
      <c r="BB79" s="280">
        <v>0.54976425775815552</v>
      </c>
      <c r="BC79" s="280">
        <v>0.4991637877215751</v>
      </c>
      <c r="BD79" s="280">
        <v>0.45219288006292446</v>
      </c>
      <c r="BE79" s="280">
        <v>0.40878782933786761</v>
      </c>
      <c r="BF79" s="280">
        <v>0.35015090605421695</v>
      </c>
      <c r="BG79" s="280">
        <v>0.29817854118121079</v>
      </c>
      <c r="BH79" s="280">
        <v>0.2527433390889664</v>
      </c>
      <c r="BI79" s="280">
        <v>0.21371789461085774</v>
      </c>
      <c r="BJ79" s="280">
        <v>0.18097481020965339</v>
      </c>
    </row>
    <row r="80" spans="1:62">
      <c r="A80" s="91" t="s">
        <v>34</v>
      </c>
      <c r="B80" s="83">
        <v>4.5491706240757459</v>
      </c>
      <c r="C80" s="83">
        <v>5.6906692047392884</v>
      </c>
      <c r="D80" s="83">
        <v>5.1100993439360094</v>
      </c>
      <c r="E80" s="83">
        <v>4.8473666769786821</v>
      </c>
      <c r="F80" s="83">
        <v>5.1587523844645826</v>
      </c>
      <c r="G80" s="83">
        <v>5.2314411581266533</v>
      </c>
      <c r="H80" s="83">
        <v>5.5380143547482108</v>
      </c>
      <c r="I80" s="83">
        <v>5.4896415669969088</v>
      </c>
      <c r="J80" s="83">
        <v>5.5404592266531303</v>
      </c>
      <c r="K80" s="83">
        <v>5.362431789158121</v>
      </c>
      <c r="L80" s="83">
        <v>5.3510506849830062</v>
      </c>
      <c r="M80" s="83">
        <v>5.1765058904671095</v>
      </c>
      <c r="N80" s="83">
        <v>4.6867246151949056</v>
      </c>
      <c r="O80" s="83">
        <v>4.7632380622809674</v>
      </c>
      <c r="P80" s="83">
        <v>4.3914593967723725</v>
      </c>
      <c r="Q80" s="83">
        <v>4.135916443887095</v>
      </c>
      <c r="R80" s="83">
        <v>4.0754001151598649</v>
      </c>
      <c r="S80" s="83">
        <v>3.7233814398686884</v>
      </c>
      <c r="T80" s="83">
        <v>3.3114876576361763</v>
      </c>
      <c r="U80" s="83">
        <v>2.8652606139649994</v>
      </c>
      <c r="V80" s="83">
        <v>3.0601622034481553</v>
      </c>
      <c r="W80" s="83">
        <v>2.4779999123620109</v>
      </c>
      <c r="X80" s="83">
        <v>2.5097557998031803</v>
      </c>
      <c r="Y80" s="83">
        <v>2.8994525430319031</v>
      </c>
      <c r="Z80" s="83">
        <v>2.7948129604181537</v>
      </c>
      <c r="AA80" s="83">
        <v>2.6155941812447749</v>
      </c>
      <c r="AB80" s="83">
        <v>2.7894606233756831</v>
      </c>
      <c r="AC80" s="83">
        <v>2.5837541891535456</v>
      </c>
      <c r="AD80" s="83">
        <v>2.5653246233878955</v>
      </c>
      <c r="AE80" s="83">
        <v>2.4632580997546101</v>
      </c>
      <c r="AF80" s="83">
        <v>2.316983023632941</v>
      </c>
      <c r="AG80" s="83">
        <v>2.4567686023757913</v>
      </c>
      <c r="AH80" s="83">
        <v>2.2471953686082964</v>
      </c>
      <c r="AI80" s="279">
        <v>1.9109808806383155</v>
      </c>
      <c r="AJ80" s="279">
        <v>1.9576305652924098</v>
      </c>
      <c r="AK80" s="279">
        <v>1.8777096002424059</v>
      </c>
      <c r="AL80" s="279">
        <v>1.7723915483189292</v>
      </c>
      <c r="AM80" s="382">
        <f t="shared" ref="AM80:AM81" si="95">(AL80+AN80)/2</f>
        <v>1.4843877853104344</v>
      </c>
      <c r="AN80" s="279">
        <v>1.1963840223019393</v>
      </c>
      <c r="AO80" s="279">
        <f t="shared" si="90"/>
        <v>1.0873334965324839</v>
      </c>
      <c r="AP80" s="279">
        <v>0.97828297076302839</v>
      </c>
      <c r="AQ80" s="279">
        <f>AP80+(AS80-AP80)/3</f>
        <v>0.91395034790921648</v>
      </c>
      <c r="AR80" s="279">
        <f>AP80+(AS80-AP80)*2/3</f>
        <v>0.84961772505540445</v>
      </c>
      <c r="AS80" s="279">
        <v>0.78528510220159253</v>
      </c>
      <c r="AT80" s="279">
        <f t="shared" si="91"/>
        <v>0.72875287839695624</v>
      </c>
      <c r="AU80" s="279">
        <v>0.67222065459231994</v>
      </c>
      <c r="AV80" s="279">
        <f>AU80+(AX80-AU80)/3</f>
        <v>0.61279902734679259</v>
      </c>
      <c r="AW80" s="279">
        <f>AU80+(AX80-AU80)*2/3</f>
        <v>0.55337740010126535</v>
      </c>
      <c r="AX80" s="279">
        <v>0.493955772855738</v>
      </c>
      <c r="AY80" s="279">
        <f t="shared" si="92"/>
        <v>0.45370218643779148</v>
      </c>
      <c r="AZ80" s="279">
        <v>0.4134486000198449</v>
      </c>
      <c r="BA80" s="279">
        <f t="shared" si="81"/>
        <v>0.37057359138317203</v>
      </c>
      <c r="BB80" s="279">
        <f t="shared" si="82"/>
        <v>0.3276985827464991</v>
      </c>
      <c r="BC80" s="279">
        <f t="shared" si="83"/>
        <v>0.28482357410982617</v>
      </c>
      <c r="BD80" s="279">
        <f t="shared" si="84"/>
        <v>0.24194856547315333</v>
      </c>
      <c r="BE80" s="279">
        <v>0.19907355683648043</v>
      </c>
      <c r="BF80" s="279">
        <f t="shared" si="85"/>
        <v>0.17648734237058211</v>
      </c>
      <c r="BG80" s="279">
        <f t="shared" si="86"/>
        <v>0.1539011279046838</v>
      </c>
      <c r="BH80" s="279">
        <f t="shared" si="87"/>
        <v>0.13131491343878549</v>
      </c>
      <c r="BI80" s="279">
        <f t="shared" si="88"/>
        <v>0.10872869897288719</v>
      </c>
      <c r="BJ80" s="279">
        <v>8.6142484506988873E-2</v>
      </c>
    </row>
    <row r="81" spans="1:62">
      <c r="A81" s="91" t="s">
        <v>35</v>
      </c>
      <c r="B81" s="83">
        <v>5.5769443861963568</v>
      </c>
      <c r="C81" s="83">
        <v>6.272768646187564</v>
      </c>
      <c r="D81" s="83">
        <v>5.5059347851317808</v>
      </c>
      <c r="E81" s="83">
        <v>5.9433143668478685</v>
      </c>
      <c r="F81" s="83">
        <v>5.3990345667083126</v>
      </c>
      <c r="G81" s="83">
        <v>6.0211001892403919</v>
      </c>
      <c r="H81" s="83">
        <v>6.2819765316994873</v>
      </c>
      <c r="I81" s="83">
        <v>5.915255463184482</v>
      </c>
      <c r="J81" s="83">
        <v>5.8965527675179148</v>
      </c>
      <c r="K81" s="83">
        <v>5.5579011229356183</v>
      </c>
      <c r="L81" s="83">
        <v>5.2682938677286604</v>
      </c>
      <c r="M81" s="83">
        <v>5.7149926566806393</v>
      </c>
      <c r="N81" s="83">
        <v>5.1314773247829741</v>
      </c>
      <c r="O81" s="83">
        <v>4.8522543477207281</v>
      </c>
      <c r="P81" s="83">
        <v>4.7824939048906208</v>
      </c>
      <c r="Q81" s="83">
        <v>4.5470033861806352</v>
      </c>
      <c r="R81" s="83">
        <v>4.3021799957331623</v>
      </c>
      <c r="S81" s="83">
        <v>4.1638467372254091</v>
      </c>
      <c r="T81" s="83">
        <v>4.0254117310636488</v>
      </c>
      <c r="U81" s="83">
        <v>3.3580360102011912</v>
      </c>
      <c r="V81" s="83">
        <v>3.3638023864894131</v>
      </c>
      <c r="W81" s="83">
        <v>3.2692218228847514</v>
      </c>
      <c r="X81" s="83">
        <v>3.0874406243078902</v>
      </c>
      <c r="Y81" s="83">
        <v>3.1898084510313653</v>
      </c>
      <c r="Z81" s="83">
        <v>3.0447638928307916</v>
      </c>
      <c r="AA81" s="83">
        <v>3.0459220195518619</v>
      </c>
      <c r="AB81" s="83">
        <v>3.1273427783741385</v>
      </c>
      <c r="AC81" s="83">
        <v>3.3027058490296777</v>
      </c>
      <c r="AD81" s="83">
        <v>2.9610513636085281</v>
      </c>
      <c r="AE81" s="83">
        <v>2.838808944001844</v>
      </c>
      <c r="AF81" s="83">
        <v>2.2221320312881003</v>
      </c>
      <c r="AG81" s="83">
        <v>2.4578735904909297</v>
      </c>
      <c r="AH81" s="83">
        <v>2.024149559376939</v>
      </c>
      <c r="AI81" s="279">
        <v>2.0738982830524688</v>
      </c>
      <c r="AJ81" s="279">
        <v>2.1147721569369837</v>
      </c>
      <c r="AK81" s="279">
        <v>2.0762790759597092</v>
      </c>
      <c r="AL81" s="279">
        <v>2.0848370730281038</v>
      </c>
      <c r="AM81" s="382">
        <f t="shared" si="95"/>
        <v>2.158436594844984</v>
      </c>
      <c r="AN81" s="279">
        <v>2.2320361166618645</v>
      </c>
      <c r="AO81" s="279">
        <f t="shared" si="90"/>
        <v>1.8064884400525152</v>
      </c>
      <c r="AP81" s="279">
        <v>1.3809407634431656</v>
      </c>
      <c r="AQ81" s="279">
        <f>AP81+(AS81-AP81)/3</f>
        <v>1.3344542300856286</v>
      </c>
      <c r="AR81" s="279">
        <f>AP81+(AS81-AP81)*2/3</f>
        <v>1.2879676967280913</v>
      </c>
      <c r="AS81" s="279">
        <v>1.2414811633705543</v>
      </c>
      <c r="AT81" s="279">
        <f t="shared" si="91"/>
        <v>1.1992968899361367</v>
      </c>
      <c r="AU81" s="279">
        <v>1.1571126165017191</v>
      </c>
      <c r="AV81" s="279">
        <f>AU81+(AX81-AU81)/3</f>
        <v>1.1044117804247522</v>
      </c>
      <c r="AW81" s="279">
        <f>AU81+(AX81-AU81)*2/3</f>
        <v>1.051710944347785</v>
      </c>
      <c r="AX81" s="279">
        <v>0.99901010827081804</v>
      </c>
      <c r="AY81" s="279">
        <f t="shared" si="92"/>
        <v>0.96148244812542205</v>
      </c>
      <c r="AZ81" s="279">
        <v>0.92395478798002617</v>
      </c>
      <c r="BA81" s="279">
        <f t="shared" si="81"/>
        <v>0.86384965594501728</v>
      </c>
      <c r="BB81" s="279">
        <f t="shared" si="82"/>
        <v>0.80374452391000839</v>
      </c>
      <c r="BC81" s="279">
        <f t="shared" si="83"/>
        <v>0.7436393918749995</v>
      </c>
      <c r="BD81" s="279">
        <f t="shared" si="84"/>
        <v>0.68353425983999061</v>
      </c>
      <c r="BE81" s="279">
        <v>0.62342912780498172</v>
      </c>
      <c r="BF81" s="279">
        <f t="shared" si="85"/>
        <v>0.56568946771328033</v>
      </c>
      <c r="BG81" s="279">
        <f t="shared" si="86"/>
        <v>0.50794980762157882</v>
      </c>
      <c r="BH81" s="279">
        <f t="shared" si="87"/>
        <v>0.45021014752987742</v>
      </c>
      <c r="BI81" s="279">
        <f t="shared" si="88"/>
        <v>0.39247048743817603</v>
      </c>
      <c r="BJ81" s="279">
        <v>0.33473082734647458</v>
      </c>
    </row>
    <row r="82" spans="1:62">
      <c r="A82" s="92" t="s">
        <v>278</v>
      </c>
      <c r="B82" s="93">
        <v>140.14222457065344</v>
      </c>
      <c r="C82" s="93">
        <v>152.32802760255106</v>
      </c>
      <c r="D82" s="93">
        <v>139.54222091761255</v>
      </c>
      <c r="E82" s="93">
        <v>134.00843744409221</v>
      </c>
      <c r="F82" s="93">
        <v>135.06032517246035</v>
      </c>
      <c r="G82" s="93">
        <v>136.36204871185473</v>
      </c>
      <c r="H82" s="93">
        <v>138.52876509777167</v>
      </c>
      <c r="I82" s="93">
        <v>137.55733801506838</v>
      </c>
      <c r="J82" s="93">
        <v>131.45833065524215</v>
      </c>
      <c r="K82" s="93">
        <v>128.62918977752742</v>
      </c>
      <c r="L82" s="93">
        <v>125.65099433645477</v>
      </c>
      <c r="M82" s="93">
        <v>128.90033250824465</v>
      </c>
      <c r="N82" s="93">
        <v>124.78287485673039</v>
      </c>
      <c r="O82" s="93">
        <v>123.36099366600281</v>
      </c>
      <c r="P82" s="93">
        <v>118.19649440469411</v>
      </c>
      <c r="Q82" s="93">
        <v>118.77572457761438</v>
      </c>
      <c r="R82" s="93">
        <v>117.97085038905644</v>
      </c>
      <c r="S82" s="93">
        <v>116.85908118244626</v>
      </c>
      <c r="T82" s="93">
        <v>109.76930087634358</v>
      </c>
      <c r="U82" s="93">
        <v>90.76824200162153</v>
      </c>
      <c r="V82" s="93">
        <v>96.698175673940952</v>
      </c>
      <c r="W82" s="93">
        <v>93.047931871855596</v>
      </c>
      <c r="X82" s="93">
        <v>89.182842490308687</v>
      </c>
      <c r="Y82" s="93">
        <v>90.924591567622329</v>
      </c>
      <c r="Z82" s="93">
        <v>88.196589747548913</v>
      </c>
      <c r="AA82" s="93">
        <v>85.376703320437528</v>
      </c>
      <c r="AB82" s="93">
        <v>85.173724337384158</v>
      </c>
      <c r="AC82" s="93">
        <v>85.235255686976643</v>
      </c>
      <c r="AD82" s="93">
        <v>83.892894680444357</v>
      </c>
      <c r="AE82" s="93">
        <v>81.495069587956721</v>
      </c>
      <c r="AF82" s="93">
        <v>72.525924893201605</v>
      </c>
      <c r="AG82" s="93">
        <v>78.987384512532529</v>
      </c>
      <c r="AH82" s="93">
        <v>71.598228306385124</v>
      </c>
      <c r="AI82" s="93">
        <v>63.863485869353489</v>
      </c>
      <c r="AJ82" s="310">
        <v>61.589519583891281</v>
      </c>
      <c r="AK82" s="278">
        <v>58.387693678382448</v>
      </c>
      <c r="AL82" s="278">
        <f t="shared" ref="AL82:BJ82" si="96">AL67+AL70+AL71+AL72+AL74+AL75+AL77+AL80+AL81</f>
        <v>56.601962503601733</v>
      </c>
      <c r="AM82" s="278">
        <f t="shared" si="96"/>
        <v>53.341602445760756</v>
      </c>
      <c r="AN82" s="278">
        <f t="shared" si="96"/>
        <v>50.081242387919794</v>
      </c>
      <c r="AO82" s="278">
        <f t="shared" si="96"/>
        <v>47.674907809777409</v>
      </c>
      <c r="AP82" s="278">
        <f t="shared" si="96"/>
        <v>45.268573231635038</v>
      </c>
      <c r="AQ82" s="278">
        <f t="shared" si="96"/>
        <v>43.663529107605704</v>
      </c>
      <c r="AR82" s="278">
        <f t="shared" si="96"/>
        <v>42.058484983576371</v>
      </c>
      <c r="AS82" s="278">
        <f t="shared" si="96"/>
        <v>40.453440859547037</v>
      </c>
      <c r="AT82" s="278">
        <f t="shared" si="96"/>
        <v>38.927612480140567</v>
      </c>
      <c r="AU82" s="278">
        <f t="shared" si="96"/>
        <v>37.401784100734105</v>
      </c>
      <c r="AV82" s="278">
        <f t="shared" si="96"/>
        <v>35.806760559614695</v>
      </c>
      <c r="AW82" s="278">
        <f t="shared" si="96"/>
        <v>34.211737018495278</v>
      </c>
      <c r="AX82" s="278">
        <f t="shared" si="96"/>
        <v>32.616713477375868</v>
      </c>
      <c r="AY82" s="278">
        <f t="shared" si="96"/>
        <v>31.336372225542139</v>
      </c>
      <c r="AZ82" s="278">
        <f t="shared" si="96"/>
        <v>30.05603097370842</v>
      </c>
      <c r="BA82" s="278">
        <f t="shared" si="96"/>
        <v>27.99489758323174</v>
      </c>
      <c r="BB82" s="278">
        <f t="shared" si="96"/>
        <v>25.933764192755074</v>
      </c>
      <c r="BC82" s="278">
        <f t="shared" si="96"/>
        <v>23.872630802278394</v>
      </c>
      <c r="BD82" s="278">
        <f t="shared" si="96"/>
        <v>21.811497411801721</v>
      </c>
      <c r="BE82" s="278">
        <f t="shared" si="96"/>
        <v>19.750364021325048</v>
      </c>
      <c r="BF82" s="278">
        <f t="shared" si="96"/>
        <v>18.604516282384619</v>
      </c>
      <c r="BG82" s="278">
        <f t="shared" si="96"/>
        <v>17.458668543444197</v>
      </c>
      <c r="BH82" s="278">
        <f t="shared" si="96"/>
        <v>16.312820804503769</v>
      </c>
      <c r="BI82" s="278">
        <f t="shared" si="96"/>
        <v>15.166973065563345</v>
      </c>
      <c r="BJ82" s="278">
        <f t="shared" si="96"/>
        <v>14.021125326622915</v>
      </c>
    </row>
    <row r="83" spans="1:62">
      <c r="A83" s="92" t="s">
        <v>350</v>
      </c>
      <c r="B83" s="308"/>
      <c r="C83" s="308"/>
      <c r="D83" s="308"/>
      <c r="E83" s="308"/>
      <c r="F83" s="308"/>
      <c r="G83" s="308"/>
      <c r="H83" s="308"/>
      <c r="I83" s="308"/>
      <c r="J83" s="308"/>
      <c r="K83" s="308"/>
      <c r="L83" s="308"/>
      <c r="M83" s="308"/>
      <c r="N83" s="308"/>
      <c r="O83" s="308"/>
      <c r="P83" s="308"/>
      <c r="Q83" s="308"/>
      <c r="R83" s="308"/>
      <c r="S83" s="308"/>
      <c r="T83" s="308"/>
      <c r="U83" s="308"/>
      <c r="V83" s="308"/>
      <c r="W83" s="308"/>
      <c r="X83" s="308"/>
      <c r="Y83" s="308"/>
      <c r="Z83" s="308"/>
      <c r="AA83" s="308"/>
      <c r="AB83" s="308"/>
      <c r="AC83" s="308"/>
      <c r="AD83" s="308"/>
      <c r="AE83" s="308"/>
      <c r="AF83" s="308"/>
      <c r="AG83" s="308"/>
      <c r="AH83" s="308"/>
      <c r="AI83" s="308"/>
      <c r="AJ83" s="308"/>
      <c r="AK83" s="278">
        <f>AK82+AK103</f>
        <v>58.387693678382448</v>
      </c>
      <c r="AL83" s="278">
        <f t="shared" ref="AL83:BJ83" si="97">AL82+AL103</f>
        <v>56.601962503601733</v>
      </c>
      <c r="AM83" s="278">
        <f t="shared" si="97"/>
        <v>53.341602445760756</v>
      </c>
      <c r="AN83" s="278">
        <f t="shared" si="97"/>
        <v>50.081242387919794</v>
      </c>
      <c r="AO83" s="278">
        <f t="shared" si="97"/>
        <v>45.914826987235877</v>
      </c>
      <c r="AP83" s="278">
        <f t="shared" si="97"/>
        <v>41.748411586551981</v>
      </c>
      <c r="AQ83" s="278">
        <f t="shared" si="97"/>
        <v>39.432471361473446</v>
      </c>
      <c r="AR83" s="278">
        <f t="shared" si="97"/>
        <v>37.116531136394912</v>
      </c>
      <c r="AS83" s="278">
        <f t="shared" si="97"/>
        <v>34.800590911316377</v>
      </c>
      <c r="AT83" s="278">
        <f t="shared" si="97"/>
        <v>32.38914567772845</v>
      </c>
      <c r="AU83" s="278">
        <f t="shared" si="97"/>
        <v>29.977700444140538</v>
      </c>
      <c r="AV83" s="278">
        <f t="shared" si="97"/>
        <v>28.019589875480971</v>
      </c>
      <c r="AW83" s="278">
        <f t="shared" si="97"/>
        <v>26.061479306821397</v>
      </c>
      <c r="AX83" s="278">
        <f t="shared" si="97"/>
        <v>24.103368738161826</v>
      </c>
      <c r="AY83" s="278">
        <f t="shared" si="97"/>
        <v>22.258804330425392</v>
      </c>
      <c r="AZ83" s="278">
        <f t="shared" si="97"/>
        <v>20.414239922688964</v>
      </c>
      <c r="BA83" s="278">
        <f t="shared" si="97"/>
        <v>18.297963629223013</v>
      </c>
      <c r="BB83" s="278">
        <f t="shared" si="97"/>
        <v>16.181687335757083</v>
      </c>
      <c r="BC83" s="278">
        <f t="shared" si="97"/>
        <v>14.065411042291135</v>
      </c>
      <c r="BD83" s="278">
        <f t="shared" si="97"/>
        <v>11.949134748825196</v>
      </c>
      <c r="BE83" s="278">
        <f t="shared" si="97"/>
        <v>9.8328584553592577</v>
      </c>
      <c r="BF83" s="278">
        <f t="shared" si="97"/>
        <v>9.0459463761577492</v>
      </c>
      <c r="BG83" s="278">
        <f t="shared" si="97"/>
        <v>8.2590342969562496</v>
      </c>
      <c r="BH83" s="278">
        <f t="shared" si="97"/>
        <v>7.4721222177547446</v>
      </c>
      <c r="BI83" s="278">
        <f t="shared" si="97"/>
        <v>6.6852101385532414</v>
      </c>
      <c r="BJ83" s="278">
        <f t="shared" si="97"/>
        <v>5.8982980593517347</v>
      </c>
    </row>
    <row r="84" spans="1:62">
      <c r="A84" s="92" t="s">
        <v>351</v>
      </c>
      <c r="B84" s="308"/>
      <c r="C84" s="308"/>
      <c r="D84" s="308"/>
      <c r="E84" s="308"/>
      <c r="F84" s="308"/>
      <c r="G84" s="308"/>
      <c r="H84" s="308"/>
      <c r="I84" s="308"/>
      <c r="J84" s="308"/>
      <c r="K84" s="308"/>
      <c r="L84" s="308"/>
      <c r="M84" s="308"/>
      <c r="N84" s="308"/>
      <c r="O84" s="308"/>
      <c r="P84" s="308"/>
      <c r="Q84" s="308"/>
      <c r="R84" s="308"/>
      <c r="S84" s="308"/>
      <c r="T84" s="308"/>
      <c r="U84" s="308"/>
      <c r="V84" s="308"/>
      <c r="W84" s="308"/>
      <c r="X84" s="308"/>
      <c r="Y84" s="308"/>
      <c r="Z84" s="308"/>
      <c r="AA84" s="308"/>
      <c r="AB84" s="308"/>
      <c r="AC84" s="308"/>
      <c r="AD84" s="308"/>
      <c r="AE84" s="308"/>
      <c r="AF84" s="308"/>
      <c r="AG84" s="308"/>
      <c r="AH84" s="308"/>
      <c r="AI84" s="308"/>
      <c r="AJ84" s="308"/>
      <c r="AK84" s="278">
        <f>AK83+AK122</f>
        <v>58.387693678382448</v>
      </c>
      <c r="AL84" s="278">
        <f t="shared" ref="AL84:BJ84" si="98">AL83+AL122</f>
        <v>56.601962503601733</v>
      </c>
      <c r="AM84" s="278">
        <f t="shared" si="98"/>
        <v>53.341602445760756</v>
      </c>
      <c r="AN84" s="278">
        <f t="shared" si="98"/>
        <v>50.081242387919794</v>
      </c>
      <c r="AO84" s="278">
        <f t="shared" si="98"/>
        <v>45.747407809777407</v>
      </c>
      <c r="AP84" s="278">
        <f t="shared" si="98"/>
        <v>41.413573231635041</v>
      </c>
      <c r="AQ84" s="278">
        <f t="shared" si="98"/>
        <v>39.008580403644842</v>
      </c>
      <c r="AR84" s="278">
        <f t="shared" si="98"/>
        <v>36.60358757565465</v>
      </c>
      <c r="AS84" s="278">
        <f t="shared" si="98"/>
        <v>34.198594747664451</v>
      </c>
      <c r="AT84" s="278">
        <f t="shared" si="98"/>
        <v>31.460628007150191</v>
      </c>
      <c r="AU84" s="278">
        <f t="shared" si="98"/>
        <v>28.722661266635942</v>
      </c>
      <c r="AV84" s="278">
        <f t="shared" si="98"/>
        <v>26.151914158729554</v>
      </c>
      <c r="AW84" s="278">
        <f t="shared" si="98"/>
        <v>23.581167050823158</v>
      </c>
      <c r="AX84" s="278">
        <f t="shared" si="98"/>
        <v>21.010419942916762</v>
      </c>
      <c r="AY84" s="278">
        <f t="shared" si="98"/>
        <v>18.004355124296062</v>
      </c>
      <c r="AZ84" s="278">
        <f t="shared" si="98"/>
        <v>14.998290305675365</v>
      </c>
      <c r="BA84" s="278">
        <f t="shared" si="98"/>
        <v>12.376887444723907</v>
      </c>
      <c r="BB84" s="278">
        <f t="shared" si="98"/>
        <v>9.7554845837724713</v>
      </c>
      <c r="BC84" s="278">
        <f t="shared" si="98"/>
        <v>7.1340817228210156</v>
      </c>
      <c r="BD84" s="278">
        <f t="shared" si="98"/>
        <v>4.5126788618695706</v>
      </c>
      <c r="BE84" s="278">
        <f t="shared" si="98"/>
        <v>1.8912760009181246</v>
      </c>
      <c r="BF84" s="278">
        <f t="shared" si="98"/>
        <v>1.1716699291525998</v>
      </c>
      <c r="BG84" s="278">
        <f t="shared" si="98"/>
        <v>0.45206385738708299</v>
      </c>
      <c r="BH84" s="278">
        <f t="shared" si="98"/>
        <v>-0.26754221437843917</v>
      </c>
      <c r="BI84" s="278">
        <f t="shared" si="98"/>
        <v>-0.98714828614395778</v>
      </c>
      <c r="BJ84" s="278">
        <f t="shared" si="98"/>
        <v>-1.7067543579094808</v>
      </c>
    </row>
    <row r="85" spans="1:62">
      <c r="A85" s="307"/>
      <c r="B85" s="308"/>
      <c r="C85" s="308"/>
      <c r="D85" s="308"/>
      <c r="E85" s="308"/>
      <c r="F85" s="308"/>
      <c r="G85" s="308"/>
      <c r="H85" s="308"/>
      <c r="I85" s="308"/>
      <c r="J85" s="308"/>
      <c r="K85" s="308"/>
      <c r="L85" s="308"/>
      <c r="M85" s="308"/>
      <c r="N85" s="308"/>
      <c r="O85" s="308"/>
      <c r="P85" s="308"/>
      <c r="Q85" s="308"/>
      <c r="R85" s="308"/>
      <c r="S85" s="308"/>
      <c r="T85" s="308"/>
      <c r="U85" s="308"/>
      <c r="V85" s="308"/>
      <c r="W85" s="308"/>
      <c r="X85" s="308"/>
      <c r="Y85" s="308"/>
      <c r="Z85" s="308"/>
      <c r="AA85" s="308"/>
      <c r="AB85" s="308"/>
      <c r="AC85" s="308"/>
      <c r="AD85" s="308"/>
      <c r="AE85" s="308"/>
      <c r="AF85" s="308"/>
      <c r="AG85" s="308"/>
      <c r="AH85" s="308"/>
      <c r="AI85" s="308"/>
      <c r="AJ85" s="308"/>
      <c r="AK85" s="309"/>
      <c r="AL85" s="309"/>
      <c r="AM85" s="309"/>
      <c r="AN85" s="309"/>
      <c r="AO85" s="309"/>
      <c r="AP85" s="309"/>
      <c r="AQ85" s="309"/>
      <c r="AR85" s="309"/>
      <c r="AS85" s="309"/>
      <c r="AT85" s="309"/>
      <c r="AU85" s="309"/>
      <c r="AV85" s="309"/>
      <c r="AW85" s="309"/>
      <c r="AX85" s="309"/>
      <c r="AY85" s="309"/>
      <c r="AZ85" s="309"/>
      <c r="BA85" s="309"/>
      <c r="BB85" s="309"/>
      <c r="BC85" s="309"/>
      <c r="BD85" s="309"/>
      <c r="BE85" s="309"/>
      <c r="BF85" s="309"/>
      <c r="BG85" s="309"/>
      <c r="BH85" s="309"/>
      <c r="BI85" s="309"/>
      <c r="BJ85" s="309"/>
    </row>
    <row r="86" spans="1:62">
      <c r="A86" s="89" t="s">
        <v>355</v>
      </c>
      <c r="B86" s="90"/>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496" t="s">
        <v>262</v>
      </c>
      <c r="AL86" s="496"/>
      <c r="AM86" s="496"/>
      <c r="AN86" s="496"/>
      <c r="AO86" s="496"/>
      <c r="AP86" s="496"/>
      <c r="AQ86" s="496"/>
      <c r="AR86" s="496"/>
      <c r="AS86" s="496"/>
      <c r="AT86" s="496"/>
      <c r="AU86" s="496"/>
      <c r="AV86" s="496"/>
      <c r="AW86" s="496"/>
      <c r="AX86" s="496"/>
      <c r="AY86" s="496"/>
      <c r="AZ86" s="496"/>
      <c r="BA86" s="496"/>
      <c r="BB86" s="496"/>
      <c r="BC86" s="496"/>
      <c r="BD86" s="496"/>
      <c r="BE86" s="496"/>
      <c r="BF86" s="496"/>
      <c r="BG86" s="496"/>
      <c r="BH86" s="496"/>
      <c r="BI86" s="496"/>
      <c r="BJ86" s="496"/>
    </row>
    <row r="87" spans="1:62" ht="26.4">
      <c r="A87" s="66" t="s">
        <v>263</v>
      </c>
      <c r="B87" s="67">
        <v>1990</v>
      </c>
      <c r="C87" s="67">
        <v>1991</v>
      </c>
      <c r="D87" s="67">
        <v>1992</v>
      </c>
      <c r="E87" s="67">
        <v>1993</v>
      </c>
      <c r="F87" s="67">
        <v>1994</v>
      </c>
      <c r="G87" s="67">
        <v>1995</v>
      </c>
      <c r="H87" s="67">
        <v>1996</v>
      </c>
      <c r="I87" s="67">
        <v>1997</v>
      </c>
      <c r="J87" s="67">
        <v>1998</v>
      </c>
      <c r="K87" s="67">
        <v>1999</v>
      </c>
      <c r="L87" s="67">
        <v>2000</v>
      </c>
      <c r="M87" s="67">
        <v>2001</v>
      </c>
      <c r="N87" s="67">
        <v>2002</v>
      </c>
      <c r="O87" s="67">
        <v>2003</v>
      </c>
      <c r="P87" s="67">
        <v>2004</v>
      </c>
      <c r="Q87" s="67">
        <v>2005</v>
      </c>
      <c r="R87" s="67">
        <v>2006</v>
      </c>
      <c r="S87" s="67">
        <v>2007</v>
      </c>
      <c r="T87" s="67">
        <v>2008</v>
      </c>
      <c r="U87" s="67">
        <v>2009</v>
      </c>
      <c r="V87" s="67">
        <v>2010</v>
      </c>
      <c r="W87" s="67">
        <v>2011</v>
      </c>
      <c r="X87" s="67">
        <v>2012</v>
      </c>
      <c r="Y87" s="67">
        <v>2013</v>
      </c>
      <c r="Z87" s="67">
        <v>2014</v>
      </c>
      <c r="AA87" s="67">
        <v>2015</v>
      </c>
      <c r="AB87" s="67">
        <v>2016</v>
      </c>
      <c r="AC87" s="67">
        <v>2017</v>
      </c>
      <c r="AD87" s="67">
        <v>2018</v>
      </c>
      <c r="AE87" s="67">
        <v>2019</v>
      </c>
      <c r="AF87" s="68">
        <v>2020</v>
      </c>
      <c r="AG87" s="68">
        <v>2021</v>
      </c>
      <c r="AH87" s="68">
        <v>2022</v>
      </c>
      <c r="AI87" s="67">
        <v>2023</v>
      </c>
      <c r="AJ87" s="67">
        <v>2024</v>
      </c>
      <c r="AK87" s="67">
        <v>2025</v>
      </c>
      <c r="AL87" s="67">
        <v>2026</v>
      </c>
      <c r="AM87" s="142">
        <v>2027</v>
      </c>
      <c r="AN87" s="67">
        <v>2028</v>
      </c>
      <c r="AO87" s="142">
        <v>2029</v>
      </c>
      <c r="AP87" s="67">
        <v>2030</v>
      </c>
      <c r="AQ87" s="142">
        <v>2031</v>
      </c>
      <c r="AR87" s="142">
        <v>2032</v>
      </c>
      <c r="AS87" s="67">
        <v>2033</v>
      </c>
      <c r="AT87" s="142">
        <v>2034</v>
      </c>
      <c r="AU87" s="67">
        <v>2035</v>
      </c>
      <c r="AV87" s="142">
        <v>2036</v>
      </c>
      <c r="AW87" s="142">
        <v>2037</v>
      </c>
      <c r="AX87" s="67">
        <v>2038</v>
      </c>
      <c r="AY87" s="142">
        <v>2039</v>
      </c>
      <c r="AZ87" s="67">
        <v>2040</v>
      </c>
      <c r="BA87" s="142">
        <v>2041</v>
      </c>
      <c r="BB87" s="142">
        <v>2042</v>
      </c>
      <c r="BC87" s="142">
        <v>2043</v>
      </c>
      <c r="BD87" s="142">
        <v>2044</v>
      </c>
      <c r="BE87" s="67">
        <v>2045</v>
      </c>
      <c r="BF87" s="142">
        <v>2046</v>
      </c>
      <c r="BG87" s="142">
        <v>2047</v>
      </c>
      <c r="BH87" s="142">
        <v>2048</v>
      </c>
      <c r="BI87" s="142">
        <v>2049</v>
      </c>
      <c r="BJ87" s="67">
        <v>2050</v>
      </c>
    </row>
    <row r="88" spans="1:62">
      <c r="A88" s="91" t="s">
        <v>100</v>
      </c>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279"/>
      <c r="AJ88" s="279"/>
      <c r="AK88" s="279"/>
      <c r="AL88" s="279">
        <f>AK88+(AN88-AK88)/3</f>
        <v>0</v>
      </c>
      <c r="AM88" s="382">
        <f t="shared" ref="AM88" si="99">(AL88+AN88)/2</f>
        <v>0</v>
      </c>
      <c r="AN88" s="279">
        <v>0</v>
      </c>
      <c r="AO88" s="279">
        <f>AN88+(AP88-AN88)/2</f>
        <v>-0.47085846324519226</v>
      </c>
      <c r="AP88" s="279">
        <v>-0.94171692649038452</v>
      </c>
      <c r="AQ88" s="279">
        <f>AP88+(AS88-AP88)/3</f>
        <v>-1.2937135044551824</v>
      </c>
      <c r="AR88" s="279">
        <f>AP88+(AS88-AP88)*2/3</f>
        <v>-1.6457100824199802</v>
      </c>
      <c r="AS88" s="279">
        <v>-1.997706660384778</v>
      </c>
      <c r="AT88" s="279">
        <f>AS88+(AU88-AS88)/2</f>
        <v>-2.3497032383495755</v>
      </c>
      <c r="AU88" s="279">
        <v>-2.7016998163143735</v>
      </c>
      <c r="AV88" s="279">
        <f>AU88+(AX88-AU88)/3</f>
        <v>-2.8667158030029256</v>
      </c>
      <c r="AW88" s="279">
        <f>AU88+(AX88-AU88)*2/3</f>
        <v>-3.0317317896914773</v>
      </c>
      <c r="AX88" s="279">
        <v>-3.1967477763800294</v>
      </c>
      <c r="AY88" s="279">
        <f>AX88+(AZ88-AX88)/2</f>
        <v>-3.3617637630685815</v>
      </c>
      <c r="AZ88" s="279">
        <v>-3.5267797497571332</v>
      </c>
      <c r="BA88" s="279">
        <f t="shared" ref="BA88:BA101" si="100">AZ88+(BE88-AZ88)*1/5</f>
        <v>-3.5401379624240898</v>
      </c>
      <c r="BB88" s="279">
        <f t="shared" ref="BB88:BB101" si="101">AZ88+(BE88-AZ88)*2/5</f>
        <v>-3.553496175091047</v>
      </c>
      <c r="BC88" s="279">
        <f t="shared" ref="BC88:BC101" si="102">AZ88+(BE88-AZ88)*3/5</f>
        <v>-3.5668543877580037</v>
      </c>
      <c r="BD88" s="279">
        <f t="shared" ref="BD88:BD101" si="103">AZ88+(BE88-AZ88)*4/5</f>
        <v>-3.5802126004249608</v>
      </c>
      <c r="BE88" s="279">
        <v>-3.5935708130919175</v>
      </c>
      <c r="BF88" s="279">
        <f t="shared" ref="BF88:BF101" si="104">BE88+(BJ88-BE88)*1/5</f>
        <v>-3.4731115829680528</v>
      </c>
      <c r="BG88" s="279">
        <f t="shared" ref="BG88:BG101" si="105">BE88+(BJ88-BE88)*2/5</f>
        <v>-3.3526523528441881</v>
      </c>
      <c r="BH88" s="279">
        <f t="shared" ref="BH88:BH101" si="106">BE88+(BJ88-BE88)*3/5</f>
        <v>-3.2321931227203233</v>
      </c>
      <c r="BI88" s="279">
        <f t="shared" ref="BI88:BI101" si="107">BE88+(BJ88-BE88)*4/5</f>
        <v>-3.1117338925964586</v>
      </c>
      <c r="BJ88" s="279">
        <v>-2.9912746624725939</v>
      </c>
    </row>
    <row r="89" spans="1:62">
      <c r="A89" s="177" t="s">
        <v>230</v>
      </c>
      <c r="B89" s="179"/>
      <c r="C89" s="179"/>
      <c r="D89" s="179"/>
      <c r="E89" s="179"/>
      <c r="F89" s="179"/>
      <c r="G89" s="179"/>
      <c r="H89" s="179"/>
      <c r="I89" s="179"/>
      <c r="J89" s="179"/>
      <c r="K89" s="179"/>
      <c r="L89" s="179"/>
      <c r="M89" s="179"/>
      <c r="N89" s="179"/>
      <c r="O89" s="179"/>
      <c r="P89" s="179"/>
      <c r="Q89" s="179"/>
      <c r="R89" s="179"/>
      <c r="S89" s="179"/>
      <c r="T89" s="179"/>
      <c r="U89" s="179"/>
      <c r="V89" s="179"/>
      <c r="W89" s="179"/>
      <c r="X89" s="179"/>
      <c r="Y89" s="179"/>
      <c r="Z89" s="179"/>
      <c r="AA89" s="180"/>
      <c r="AB89" s="180"/>
      <c r="AC89" s="180"/>
      <c r="AD89" s="180"/>
      <c r="AE89" s="179"/>
      <c r="AF89" s="179"/>
      <c r="AG89" s="179"/>
      <c r="AH89" s="179"/>
      <c r="AI89" s="280"/>
      <c r="AJ89" s="280"/>
      <c r="AK89" s="280"/>
      <c r="AL89" s="279"/>
      <c r="AM89" s="279"/>
      <c r="AN89" s="280"/>
      <c r="AO89" s="279"/>
      <c r="AP89" s="280"/>
      <c r="AQ89" s="279"/>
      <c r="AR89" s="279"/>
      <c r="AS89" s="280"/>
      <c r="AT89" s="279"/>
      <c r="AU89" s="280"/>
      <c r="AV89" s="279"/>
      <c r="AW89" s="279"/>
      <c r="AX89" s="280"/>
      <c r="AY89" s="279"/>
      <c r="AZ89" s="280"/>
      <c r="BA89" s="280"/>
      <c r="BB89" s="280"/>
      <c r="BC89" s="280"/>
      <c r="BD89" s="280"/>
      <c r="BE89" s="280"/>
      <c r="BF89" s="280"/>
      <c r="BG89" s="280"/>
      <c r="BH89" s="280"/>
      <c r="BI89" s="280"/>
      <c r="BJ89" s="280"/>
    </row>
    <row r="90" spans="1:62">
      <c r="A90" s="177" t="s">
        <v>231</v>
      </c>
      <c r="B90" s="179"/>
      <c r="C90" s="179"/>
      <c r="D90" s="179"/>
      <c r="E90" s="179"/>
      <c r="F90" s="179"/>
      <c r="G90" s="179"/>
      <c r="H90" s="179"/>
      <c r="I90" s="179"/>
      <c r="J90" s="179"/>
      <c r="K90" s="179"/>
      <c r="L90" s="179"/>
      <c r="M90" s="179"/>
      <c r="N90" s="179"/>
      <c r="O90" s="179"/>
      <c r="P90" s="179"/>
      <c r="Q90" s="179"/>
      <c r="R90" s="179"/>
      <c r="S90" s="179"/>
      <c r="T90" s="179"/>
      <c r="U90" s="179"/>
      <c r="V90" s="179"/>
      <c r="W90" s="179"/>
      <c r="X90" s="179"/>
      <c r="Y90" s="179"/>
      <c r="Z90" s="179"/>
      <c r="AA90" s="179"/>
      <c r="AB90" s="179"/>
      <c r="AC90" s="179"/>
      <c r="AD90" s="179"/>
      <c r="AE90" s="179"/>
      <c r="AF90" s="179"/>
      <c r="AG90" s="179"/>
      <c r="AH90" s="179"/>
      <c r="AI90" s="280"/>
      <c r="AJ90" s="280"/>
      <c r="AK90" s="280"/>
      <c r="AL90" s="279"/>
      <c r="AM90" s="279"/>
      <c r="AN90" s="280"/>
      <c r="AO90" s="279"/>
      <c r="AP90" s="280"/>
      <c r="AQ90" s="279"/>
      <c r="AR90" s="279"/>
      <c r="AS90" s="280"/>
      <c r="AT90" s="279"/>
      <c r="AU90" s="280"/>
      <c r="AV90" s="279"/>
      <c r="AW90" s="279"/>
      <c r="AX90" s="280"/>
      <c r="AY90" s="279"/>
      <c r="AZ90" s="418"/>
      <c r="BA90" s="280"/>
      <c r="BB90" s="280"/>
      <c r="BC90" s="280"/>
      <c r="BD90" s="280"/>
      <c r="BE90" s="280"/>
      <c r="BF90" s="280"/>
      <c r="BG90" s="280"/>
      <c r="BH90" s="280"/>
      <c r="BI90" s="280"/>
      <c r="BJ90" s="280"/>
    </row>
    <row r="91" spans="1:62">
      <c r="A91" s="91" t="s">
        <v>16</v>
      </c>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279"/>
      <c r="AJ91" s="279"/>
      <c r="AK91" s="279"/>
      <c r="AL91" s="279">
        <f>AK91+(AN91-AK91)/3</f>
        <v>0</v>
      </c>
      <c r="AM91" s="382">
        <f t="shared" ref="AM91:AM93" si="108">(AL91+AN91)/2</f>
        <v>0</v>
      </c>
      <c r="AN91" s="279">
        <v>0</v>
      </c>
      <c r="AO91" s="279">
        <f>AN91+(AP91-AN91)/2</f>
        <v>0</v>
      </c>
      <c r="AP91" s="279">
        <v>0</v>
      </c>
      <c r="AQ91" s="279">
        <f>AP91+(AS91-AP91)/3</f>
        <v>0</v>
      </c>
      <c r="AR91" s="279">
        <f>AP91+(AS91-AP91)*2/3</f>
        <v>0</v>
      </c>
      <c r="AS91" s="279">
        <v>0</v>
      </c>
      <c r="AT91" s="279">
        <f>AS91+(AU91-AS91)/2</f>
        <v>0</v>
      </c>
      <c r="AU91" s="279">
        <v>0</v>
      </c>
      <c r="AV91" s="279">
        <f>AU91+(AX91-AU91)/3</f>
        <v>0</v>
      </c>
      <c r="AW91" s="279">
        <f>AU91+(AX91-AU91)*2/3</f>
        <v>0</v>
      </c>
      <c r="AX91" s="279">
        <v>0</v>
      </c>
      <c r="AY91" s="279">
        <f>AX91+(AZ91-AX91)/2</f>
        <v>0</v>
      </c>
      <c r="AZ91" s="279">
        <v>0</v>
      </c>
      <c r="BA91" s="279">
        <f t="shared" si="100"/>
        <v>0</v>
      </c>
      <c r="BB91" s="279">
        <f t="shared" si="101"/>
        <v>0</v>
      </c>
      <c r="BC91" s="279">
        <f t="shared" si="102"/>
        <v>0</v>
      </c>
      <c r="BD91" s="279">
        <f t="shared" si="103"/>
        <v>0</v>
      </c>
      <c r="BE91" s="279">
        <v>0</v>
      </c>
      <c r="BF91" s="279">
        <f t="shared" si="104"/>
        <v>0</v>
      </c>
      <c r="BG91" s="279">
        <f t="shared" si="105"/>
        <v>0</v>
      </c>
      <c r="BH91" s="279">
        <f t="shared" si="106"/>
        <v>0</v>
      </c>
      <c r="BI91" s="279">
        <f t="shared" si="107"/>
        <v>0</v>
      </c>
      <c r="BJ91" s="279">
        <v>0</v>
      </c>
    </row>
    <row r="92" spans="1:62">
      <c r="A92" s="91" t="s">
        <v>101</v>
      </c>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279"/>
      <c r="AJ92" s="279"/>
      <c r="AK92" s="279"/>
      <c r="AL92" s="279">
        <f>AK92+(AN92-AK92)/3</f>
        <v>0</v>
      </c>
      <c r="AM92" s="382">
        <f t="shared" si="108"/>
        <v>0</v>
      </c>
      <c r="AN92" s="279">
        <v>0</v>
      </c>
      <c r="AO92" s="279">
        <f>AN92+(AP92-AN92)/2</f>
        <v>0</v>
      </c>
      <c r="AP92" s="279">
        <v>0</v>
      </c>
      <c r="AQ92" s="279">
        <f>AP92+(AS92-AP92)/3</f>
        <v>0</v>
      </c>
      <c r="AR92" s="279">
        <f>AP92+(AS92-AP92)*2/3</f>
        <v>0</v>
      </c>
      <c r="AS92" s="279">
        <v>0</v>
      </c>
      <c r="AT92" s="279">
        <f>AS92+(AU92-AS92)/2</f>
        <v>0</v>
      </c>
      <c r="AU92" s="279">
        <v>0</v>
      </c>
      <c r="AV92" s="279">
        <f>AU92+(AX92-AU92)/3</f>
        <v>0</v>
      </c>
      <c r="AW92" s="279">
        <f>AU92+(AX92-AU92)*2/3</f>
        <v>0</v>
      </c>
      <c r="AX92" s="279">
        <v>0</v>
      </c>
      <c r="AY92" s="279">
        <f>AX92+(AZ92-AX92)/2</f>
        <v>0</v>
      </c>
      <c r="AZ92" s="279">
        <v>0</v>
      </c>
      <c r="BA92" s="279">
        <f t="shared" si="100"/>
        <v>0</v>
      </c>
      <c r="BB92" s="279">
        <f t="shared" si="101"/>
        <v>0</v>
      </c>
      <c r="BC92" s="279">
        <f t="shared" si="102"/>
        <v>0</v>
      </c>
      <c r="BD92" s="279">
        <f t="shared" si="103"/>
        <v>0</v>
      </c>
      <c r="BE92" s="279">
        <v>0</v>
      </c>
      <c r="BF92" s="279">
        <f t="shared" si="104"/>
        <v>0</v>
      </c>
      <c r="BG92" s="279">
        <f t="shared" si="105"/>
        <v>0</v>
      </c>
      <c r="BH92" s="279">
        <f t="shared" si="106"/>
        <v>0</v>
      </c>
      <c r="BI92" s="279">
        <f t="shared" si="107"/>
        <v>0</v>
      </c>
      <c r="BJ92" s="279">
        <v>0</v>
      </c>
    </row>
    <row r="93" spans="1:62">
      <c r="A93" s="91" t="s">
        <v>232</v>
      </c>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279"/>
      <c r="AJ93" s="279"/>
      <c r="AK93" s="279"/>
      <c r="AL93" s="279">
        <f>AK93+(AN93-AK93)/3</f>
        <v>0</v>
      </c>
      <c r="AM93" s="382">
        <f t="shared" si="108"/>
        <v>0</v>
      </c>
      <c r="AN93" s="279">
        <v>0</v>
      </c>
      <c r="AO93" s="279">
        <f>AN93+(AP93-AN93)/2</f>
        <v>0</v>
      </c>
      <c r="AP93" s="279">
        <v>0</v>
      </c>
      <c r="AQ93" s="279">
        <f>AP93+(AS93-AP93)/3</f>
        <v>0</v>
      </c>
      <c r="AR93" s="279">
        <f>AP93+(AS93-AP93)*2/3</f>
        <v>0</v>
      </c>
      <c r="AS93" s="279">
        <v>0</v>
      </c>
      <c r="AT93" s="279">
        <f>AS93+(AU93-AS93)/2</f>
        <v>0</v>
      </c>
      <c r="AU93" s="279">
        <v>0</v>
      </c>
      <c r="AV93" s="279">
        <f>AU93+(AX93-AU93)/3</f>
        <v>0</v>
      </c>
      <c r="AW93" s="279">
        <f>AU93+(AX93-AU93)*2/3</f>
        <v>0</v>
      </c>
      <c r="AX93" s="279">
        <v>0</v>
      </c>
      <c r="AY93" s="279">
        <f>AX93+(AZ93-AX93)/2</f>
        <v>-0.20113612836255471</v>
      </c>
      <c r="AZ93" s="279">
        <v>-0.40227225672510941</v>
      </c>
      <c r="BA93" s="279">
        <f t="shared" si="100"/>
        <v>-0.38052698233339921</v>
      </c>
      <c r="BB93" s="279">
        <f t="shared" si="101"/>
        <v>-0.35878170794168901</v>
      </c>
      <c r="BC93" s="279">
        <f t="shared" si="102"/>
        <v>-0.33703643354997881</v>
      </c>
      <c r="BD93" s="279">
        <f t="shared" si="103"/>
        <v>-0.31529115915826861</v>
      </c>
      <c r="BE93" s="279">
        <v>-0.29354588476655841</v>
      </c>
      <c r="BF93" s="279">
        <f t="shared" si="104"/>
        <v>-0.23626829375647918</v>
      </c>
      <c r="BG93" s="279">
        <f t="shared" si="105"/>
        <v>-0.17899070274639994</v>
      </c>
      <c r="BH93" s="279">
        <f t="shared" si="106"/>
        <v>-0.12171311173632071</v>
      </c>
      <c r="BI93" s="279">
        <f t="shared" si="107"/>
        <v>-6.443552072624148E-2</v>
      </c>
      <c r="BJ93" s="279">
        <v>-7.1579297161622479E-3</v>
      </c>
    </row>
    <row r="94" spans="1:62">
      <c r="A94" s="177" t="s">
        <v>233</v>
      </c>
      <c r="B94" s="179"/>
      <c r="C94" s="179"/>
      <c r="D94" s="179"/>
      <c r="E94" s="179"/>
      <c r="F94" s="179"/>
      <c r="G94" s="179"/>
      <c r="H94" s="179"/>
      <c r="I94" s="179"/>
      <c r="J94" s="179"/>
      <c r="K94" s="179"/>
      <c r="L94" s="179"/>
      <c r="M94" s="179"/>
      <c r="N94" s="179"/>
      <c r="O94" s="179"/>
      <c r="P94" s="179"/>
      <c r="Q94" s="179"/>
      <c r="R94" s="179"/>
      <c r="S94" s="179"/>
      <c r="T94" s="179"/>
      <c r="U94" s="179"/>
      <c r="V94" s="179"/>
      <c r="W94" s="179"/>
      <c r="X94" s="179"/>
      <c r="Y94" s="179"/>
      <c r="Z94" s="179"/>
      <c r="AA94" s="179"/>
      <c r="AB94" s="179"/>
      <c r="AC94" s="179"/>
      <c r="AD94" s="179"/>
      <c r="AE94" s="179"/>
      <c r="AF94" s="179"/>
      <c r="AG94" s="179"/>
      <c r="AH94" s="179"/>
      <c r="AI94" s="280"/>
      <c r="AJ94" s="280"/>
      <c r="AK94" s="280"/>
      <c r="AL94" s="279"/>
      <c r="AM94" s="279"/>
      <c r="AN94" s="280"/>
      <c r="AO94" s="279"/>
      <c r="AP94" s="280"/>
      <c r="AQ94" s="279"/>
      <c r="AR94" s="279"/>
      <c r="AS94" s="280"/>
      <c r="AT94" s="279"/>
      <c r="AU94" s="280"/>
      <c r="AV94" s="279"/>
      <c r="AW94" s="279"/>
      <c r="AX94" s="280"/>
      <c r="AY94" s="279"/>
      <c r="AZ94" s="280"/>
      <c r="BA94" s="280"/>
      <c r="BB94" s="280"/>
      <c r="BC94" s="280"/>
      <c r="BD94" s="280"/>
      <c r="BE94" s="280"/>
      <c r="BF94" s="280"/>
      <c r="BG94" s="280"/>
      <c r="BH94" s="280"/>
      <c r="BI94" s="280"/>
      <c r="BJ94" s="280"/>
    </row>
    <row r="95" spans="1:62">
      <c r="A95" s="91" t="s">
        <v>234</v>
      </c>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279"/>
      <c r="AJ95" s="279"/>
      <c r="AK95" s="279"/>
      <c r="AL95" s="279">
        <f>AK95+(AN95-AK95)/3</f>
        <v>0</v>
      </c>
      <c r="AM95" s="382">
        <f t="shared" ref="AM95:AM96" si="109">(AL95+AN95)/2</f>
        <v>0</v>
      </c>
      <c r="AN95" s="279">
        <v>0</v>
      </c>
      <c r="AO95" s="279">
        <f>AN95+(AP95-AN95)/2</f>
        <v>-0.18407216567486506</v>
      </c>
      <c r="AP95" s="279">
        <v>-0.36814433134973013</v>
      </c>
      <c r="AQ95" s="279">
        <f>AP95+(AS95-AP95)/3</f>
        <v>-0.37244207618066727</v>
      </c>
      <c r="AR95" s="279">
        <f>AP95+(AS95-AP95)*2/3</f>
        <v>-0.37673982101160436</v>
      </c>
      <c r="AS95" s="279">
        <v>-0.3810375658425415</v>
      </c>
      <c r="AT95" s="279">
        <f>AS95+(AU95-AS95)/2</f>
        <v>-0.38533531067347859</v>
      </c>
      <c r="AU95" s="279">
        <v>-0.38963305550441574</v>
      </c>
      <c r="AV95" s="279">
        <f>AU95+(AX95-AU95)/3</f>
        <v>-0.46559644565535141</v>
      </c>
      <c r="AW95" s="279">
        <f>AU95+(AX95-AU95)*2/3</f>
        <v>-0.54155983580628708</v>
      </c>
      <c r="AX95" s="279">
        <v>-0.61752322595722275</v>
      </c>
      <c r="AY95" s="279">
        <f>AX95+(AZ95-AX95)/2</f>
        <v>-0.69348661610815843</v>
      </c>
      <c r="AZ95" s="279">
        <v>-0.7694500062590941</v>
      </c>
      <c r="BA95" s="279">
        <f t="shared" si="100"/>
        <v>-0.79273571098976614</v>
      </c>
      <c r="BB95" s="279">
        <f t="shared" si="101"/>
        <v>-0.81602141572043818</v>
      </c>
      <c r="BC95" s="279">
        <f t="shared" si="102"/>
        <v>-0.83930712045111033</v>
      </c>
      <c r="BD95" s="279">
        <f t="shared" si="103"/>
        <v>-0.86259282518178237</v>
      </c>
      <c r="BE95" s="279">
        <v>-0.88587852991245442</v>
      </c>
      <c r="BF95" s="279">
        <f t="shared" si="104"/>
        <v>-0.81730347380509116</v>
      </c>
      <c r="BG95" s="279">
        <f t="shared" si="105"/>
        <v>-0.7487284176977278</v>
      </c>
      <c r="BH95" s="279">
        <f t="shared" si="106"/>
        <v>-0.68015336159036455</v>
      </c>
      <c r="BI95" s="279">
        <f t="shared" si="107"/>
        <v>-0.61157830548300129</v>
      </c>
      <c r="BJ95" s="279">
        <v>-0.54300324937563793</v>
      </c>
    </row>
    <row r="96" spans="1:62">
      <c r="A96" s="91" t="s">
        <v>29</v>
      </c>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279"/>
      <c r="AJ96" s="279"/>
      <c r="AK96" s="279"/>
      <c r="AL96" s="279">
        <f>AK96+(AN96-AK96)/3</f>
        <v>0</v>
      </c>
      <c r="AM96" s="382">
        <f t="shared" si="109"/>
        <v>0</v>
      </c>
      <c r="AN96" s="279">
        <v>0</v>
      </c>
      <c r="AO96" s="279">
        <f>AN96+(AP96-AN96)/2</f>
        <v>0</v>
      </c>
      <c r="AP96" s="279">
        <v>0</v>
      </c>
      <c r="AQ96" s="279">
        <f>AP96+(AS96-AP96)/3</f>
        <v>0</v>
      </c>
      <c r="AR96" s="279">
        <f>AP96+(AS96-AP96)*2/3</f>
        <v>0</v>
      </c>
      <c r="AS96" s="279">
        <v>0</v>
      </c>
      <c r="AT96" s="279">
        <f>AS96+(AU96-AS96)/2</f>
        <v>-0.11218965714693035</v>
      </c>
      <c r="AU96" s="279">
        <v>-0.22437931429386071</v>
      </c>
      <c r="AV96" s="279">
        <f>AU96+(AX96-AU96)/3</f>
        <v>-0.22046158378988098</v>
      </c>
      <c r="AW96" s="279">
        <f>AU96+(AX96-AU96)*2/3</f>
        <v>-0.21654385328590123</v>
      </c>
      <c r="AX96" s="279">
        <v>-0.2126261227819215</v>
      </c>
      <c r="AY96" s="279">
        <f>AX96+(AZ96-AX96)/2</f>
        <v>-0.20870839227794175</v>
      </c>
      <c r="AZ96" s="279">
        <v>-0.20479066177396202</v>
      </c>
      <c r="BA96" s="279">
        <f t="shared" si="100"/>
        <v>-0.20167442751806389</v>
      </c>
      <c r="BB96" s="279">
        <f t="shared" si="101"/>
        <v>-0.19855819326216573</v>
      </c>
      <c r="BC96" s="279">
        <f t="shared" si="102"/>
        <v>-0.1954419590062676</v>
      </c>
      <c r="BD96" s="279">
        <f t="shared" si="103"/>
        <v>-0.19232572475036944</v>
      </c>
      <c r="BE96" s="279">
        <v>-0.18920949049447131</v>
      </c>
      <c r="BF96" s="279">
        <f t="shared" si="104"/>
        <v>-0.18568794693241003</v>
      </c>
      <c r="BG96" s="279">
        <f t="shared" si="105"/>
        <v>-0.18216640337034873</v>
      </c>
      <c r="BH96" s="279">
        <f t="shared" si="106"/>
        <v>-0.17864485980828745</v>
      </c>
      <c r="BI96" s="279">
        <f t="shared" si="107"/>
        <v>-0.17512331624622615</v>
      </c>
      <c r="BJ96" s="279">
        <v>-0.17160177268416488</v>
      </c>
    </row>
    <row r="97" spans="1:62">
      <c r="A97" s="177" t="s">
        <v>235</v>
      </c>
      <c r="B97" s="179"/>
      <c r="C97" s="179"/>
      <c r="D97" s="179"/>
      <c r="E97" s="179"/>
      <c r="F97" s="179"/>
      <c r="G97" s="179"/>
      <c r="H97" s="179"/>
      <c r="I97" s="179"/>
      <c r="J97" s="179"/>
      <c r="K97" s="179"/>
      <c r="L97" s="179"/>
      <c r="M97" s="179"/>
      <c r="N97" s="179"/>
      <c r="O97" s="179"/>
      <c r="P97" s="179"/>
      <c r="Q97" s="179"/>
      <c r="R97" s="179"/>
      <c r="S97" s="179"/>
      <c r="T97" s="179"/>
      <c r="U97" s="179"/>
      <c r="V97" s="179"/>
      <c r="W97" s="179"/>
      <c r="X97" s="179"/>
      <c r="Y97" s="179"/>
      <c r="Z97" s="179"/>
      <c r="AA97" s="179"/>
      <c r="AB97" s="179"/>
      <c r="AC97" s="179"/>
      <c r="AD97" s="179"/>
      <c r="AE97" s="179"/>
      <c r="AF97" s="179"/>
      <c r="AG97" s="179"/>
      <c r="AH97" s="179"/>
      <c r="AI97" s="280"/>
      <c r="AJ97" s="280"/>
      <c r="AK97" s="280"/>
      <c r="AL97" s="279"/>
      <c r="AM97" s="279"/>
      <c r="AN97" s="280"/>
      <c r="AO97" s="279"/>
      <c r="AP97" s="280"/>
      <c r="AQ97" s="279"/>
      <c r="AR97" s="279"/>
      <c r="AS97" s="280"/>
      <c r="AT97" s="279"/>
      <c r="AU97" s="280"/>
      <c r="AV97" s="279"/>
      <c r="AW97" s="279"/>
      <c r="AX97" s="280"/>
      <c r="AY97" s="279"/>
      <c r="AZ97" s="280"/>
      <c r="BA97" s="280"/>
      <c r="BB97" s="280"/>
      <c r="BC97" s="280"/>
      <c r="BD97" s="280"/>
      <c r="BE97" s="280"/>
      <c r="BF97" s="280"/>
      <c r="BG97" s="280"/>
      <c r="BH97" s="280"/>
      <c r="BI97" s="280"/>
      <c r="BJ97" s="280"/>
    </row>
    <row r="98" spans="1:62">
      <c r="A98" s="91" t="s">
        <v>31</v>
      </c>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279"/>
      <c r="AJ98" s="279"/>
      <c r="AK98" s="279"/>
      <c r="AL98" s="279">
        <f>AK98+(AN98-AK98)/3</f>
        <v>0</v>
      </c>
      <c r="AM98" s="382">
        <f t="shared" ref="AM98" si="110">(AL98+AN98)/2</f>
        <v>0</v>
      </c>
      <c r="AN98" s="279">
        <v>0</v>
      </c>
      <c r="AO98" s="279">
        <f>AN98+(AP98-AN98)/2</f>
        <v>-1.1051501936214716</v>
      </c>
      <c r="AP98" s="279">
        <v>-2.2103003872429432</v>
      </c>
      <c r="AQ98" s="279">
        <f>AP98+(AS98-AP98)/3</f>
        <v>-2.5649021654964081</v>
      </c>
      <c r="AR98" s="279">
        <f>AP98+(AS98-AP98)*2/3</f>
        <v>-2.9195039437498727</v>
      </c>
      <c r="AS98" s="279">
        <v>-3.2741057220033376</v>
      </c>
      <c r="AT98" s="279">
        <f>AS98+(AU98-AS98)/2</f>
        <v>-3.6287075002568026</v>
      </c>
      <c r="AU98" s="279">
        <v>-3.9833092785102671</v>
      </c>
      <c r="AV98" s="279">
        <f>AU98+(AX98-AU98)/3</f>
        <v>-4.1033302478694109</v>
      </c>
      <c r="AW98" s="279">
        <f>AU98+(AX98-AU98)*2/3</f>
        <v>-4.2233512172285552</v>
      </c>
      <c r="AX98" s="279">
        <v>-4.3433721865876995</v>
      </c>
      <c r="AY98" s="279">
        <f>AX98+(AZ98-AX98)/2</f>
        <v>-4.4633931559468429</v>
      </c>
      <c r="AZ98" s="279">
        <v>-4.5834141253059872</v>
      </c>
      <c r="BA98" s="279">
        <f t="shared" si="100"/>
        <v>-4.6365480154531751</v>
      </c>
      <c r="BB98" s="279">
        <f t="shared" si="101"/>
        <v>-4.689681905600362</v>
      </c>
      <c r="BC98" s="279">
        <f t="shared" si="102"/>
        <v>-4.7428157957475499</v>
      </c>
      <c r="BD98" s="279">
        <f t="shared" si="103"/>
        <v>-4.7959496858947368</v>
      </c>
      <c r="BE98" s="279">
        <v>-4.8490835760419246</v>
      </c>
      <c r="BF98" s="279">
        <f t="shared" si="104"/>
        <v>-4.7603516169202758</v>
      </c>
      <c r="BG98" s="279">
        <f t="shared" si="105"/>
        <v>-4.6716196577986278</v>
      </c>
      <c r="BH98" s="279">
        <f t="shared" si="106"/>
        <v>-4.5828876986769789</v>
      </c>
      <c r="BI98" s="279">
        <f t="shared" si="107"/>
        <v>-4.4941557395553309</v>
      </c>
      <c r="BJ98" s="279">
        <v>-4.405423780433682</v>
      </c>
    </row>
    <row r="99" spans="1:62">
      <c r="A99" s="177" t="s">
        <v>236</v>
      </c>
      <c r="B99" s="179"/>
      <c r="C99" s="179"/>
      <c r="D99" s="179"/>
      <c r="E99" s="179"/>
      <c r="F99" s="179"/>
      <c r="G99" s="179"/>
      <c r="H99" s="179"/>
      <c r="I99" s="179"/>
      <c r="J99" s="179"/>
      <c r="K99" s="179"/>
      <c r="L99" s="179"/>
      <c r="M99" s="179"/>
      <c r="N99" s="179"/>
      <c r="O99" s="179"/>
      <c r="P99" s="179"/>
      <c r="Q99" s="179"/>
      <c r="R99" s="179"/>
      <c r="S99" s="179"/>
      <c r="T99" s="179"/>
      <c r="U99" s="179"/>
      <c r="V99" s="179"/>
      <c r="W99" s="179"/>
      <c r="X99" s="179"/>
      <c r="Y99" s="179"/>
      <c r="Z99" s="179"/>
      <c r="AA99" s="179"/>
      <c r="AB99" s="179"/>
      <c r="AC99" s="179"/>
      <c r="AD99" s="179"/>
      <c r="AE99" s="179"/>
      <c r="AF99" s="179"/>
      <c r="AG99" s="179"/>
      <c r="AH99" s="179"/>
      <c r="AI99" s="280"/>
      <c r="AJ99" s="280"/>
      <c r="AK99" s="280"/>
      <c r="AL99" s="279"/>
      <c r="AM99" s="279"/>
      <c r="AN99" s="280"/>
      <c r="AO99" s="279"/>
      <c r="AP99" s="280"/>
      <c r="AQ99" s="279"/>
      <c r="AR99" s="279"/>
      <c r="AS99" s="280"/>
      <c r="AT99" s="279"/>
      <c r="AU99" s="280"/>
      <c r="AV99" s="279"/>
      <c r="AW99" s="279"/>
      <c r="AX99" s="280"/>
      <c r="AY99" s="279"/>
      <c r="AZ99" s="280"/>
      <c r="BA99" s="280"/>
      <c r="BB99" s="280"/>
      <c r="BC99" s="280"/>
      <c r="BD99" s="280"/>
      <c r="BE99" s="280"/>
      <c r="BF99" s="280"/>
      <c r="BG99" s="280"/>
      <c r="BH99" s="280"/>
      <c r="BI99" s="280"/>
      <c r="BJ99" s="280"/>
    </row>
    <row r="100" spans="1:62">
      <c r="A100" s="177" t="s">
        <v>242</v>
      </c>
      <c r="B100" s="179"/>
      <c r="C100" s="179"/>
      <c r="D100" s="179"/>
      <c r="E100" s="179"/>
      <c r="F100" s="179"/>
      <c r="G100" s="179"/>
      <c r="H100" s="179"/>
      <c r="I100" s="179"/>
      <c r="J100" s="179"/>
      <c r="K100" s="179"/>
      <c r="L100" s="179"/>
      <c r="M100" s="179"/>
      <c r="N100" s="179"/>
      <c r="O100" s="179"/>
      <c r="P100" s="179"/>
      <c r="Q100" s="179"/>
      <c r="R100" s="179"/>
      <c r="S100" s="179"/>
      <c r="T100" s="179"/>
      <c r="U100" s="179"/>
      <c r="V100" s="179"/>
      <c r="W100" s="179"/>
      <c r="X100" s="179"/>
      <c r="Y100" s="179"/>
      <c r="Z100" s="179"/>
      <c r="AA100" s="179"/>
      <c r="AB100" s="179"/>
      <c r="AC100" s="179"/>
      <c r="AD100" s="179"/>
      <c r="AE100" s="179"/>
      <c r="AF100" s="179"/>
      <c r="AG100" s="179"/>
      <c r="AH100" s="179"/>
      <c r="AI100" s="280"/>
      <c r="AJ100" s="280"/>
      <c r="AK100" s="280"/>
      <c r="AL100" s="279"/>
      <c r="AM100" s="279"/>
      <c r="AN100" s="280"/>
      <c r="AO100" s="279"/>
      <c r="AP100" s="280"/>
      <c r="AQ100" s="279"/>
      <c r="AR100" s="279"/>
      <c r="AS100" s="280"/>
      <c r="AT100" s="279"/>
      <c r="AU100" s="280"/>
      <c r="AV100" s="279"/>
      <c r="AW100" s="279"/>
      <c r="AX100" s="280"/>
      <c r="AY100" s="279"/>
      <c r="AZ100" s="280"/>
      <c r="BA100" s="280"/>
      <c r="BB100" s="280"/>
      <c r="BC100" s="280"/>
      <c r="BD100" s="280"/>
      <c r="BE100" s="280"/>
      <c r="BF100" s="280"/>
      <c r="BG100" s="280"/>
      <c r="BH100" s="280"/>
      <c r="BI100" s="280"/>
      <c r="BJ100" s="280"/>
    </row>
    <row r="101" spans="1:62">
      <c r="A101" s="91" t="s">
        <v>34</v>
      </c>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279"/>
      <c r="AJ101" s="279"/>
      <c r="AK101" s="279"/>
      <c r="AL101" s="279">
        <f>AK101+(AN101-AK101)/3</f>
        <v>0</v>
      </c>
      <c r="AM101" s="382">
        <f t="shared" ref="AM101:AM102" si="111">(AL101+AN101)/2</f>
        <v>0</v>
      </c>
      <c r="AN101" s="279">
        <v>0</v>
      </c>
      <c r="AO101" s="279">
        <f>AN101+(AP101-AN101)/2</f>
        <v>0</v>
      </c>
      <c r="AP101" s="279">
        <v>0</v>
      </c>
      <c r="AQ101" s="279">
        <f>AP101+(AS101-AP101)/3</f>
        <v>0</v>
      </c>
      <c r="AR101" s="279">
        <f>AP101+(AS101-AP101)*2/3</f>
        <v>0</v>
      </c>
      <c r="AS101" s="279">
        <v>0</v>
      </c>
      <c r="AT101" s="279">
        <f>AS101+(AU101-AS101)/2</f>
        <v>-6.2531095985325857E-2</v>
      </c>
      <c r="AU101" s="279">
        <v>-0.12506219197065171</v>
      </c>
      <c r="AV101" s="279">
        <f>AU101+(AX101-AU101)/3</f>
        <v>-0.13106660381615601</v>
      </c>
      <c r="AW101" s="279">
        <f>AU101+(AX101-AU101)*2/3</f>
        <v>-0.13707101566166027</v>
      </c>
      <c r="AX101" s="279">
        <v>-0.14307542750716457</v>
      </c>
      <c r="AY101" s="279">
        <f>AX101+(AZ101-AX101)/2</f>
        <v>-0.14907983935266886</v>
      </c>
      <c r="AZ101" s="279">
        <v>-0.15508425119817315</v>
      </c>
      <c r="BA101" s="279">
        <f t="shared" si="100"/>
        <v>-0.14531085529023144</v>
      </c>
      <c r="BB101" s="279">
        <f t="shared" si="101"/>
        <v>-0.13553745938228973</v>
      </c>
      <c r="BC101" s="279">
        <f t="shared" si="102"/>
        <v>-0.12576406347434801</v>
      </c>
      <c r="BD101" s="279">
        <f t="shared" si="103"/>
        <v>-0.1159906675664063</v>
      </c>
      <c r="BE101" s="279">
        <v>-0.10621727165846459</v>
      </c>
      <c r="BF101" s="279">
        <f t="shared" si="104"/>
        <v>-8.5846991844559656E-2</v>
      </c>
      <c r="BG101" s="279">
        <f t="shared" si="105"/>
        <v>-6.5476712030654721E-2</v>
      </c>
      <c r="BH101" s="279">
        <f t="shared" si="106"/>
        <v>-4.5106432216749787E-2</v>
      </c>
      <c r="BI101" s="279">
        <f t="shared" si="107"/>
        <v>-2.4736152402844852E-2</v>
      </c>
      <c r="BJ101" s="279">
        <v>-4.3658725889399227E-3</v>
      </c>
    </row>
    <row r="102" spans="1:62">
      <c r="A102" s="91" t="s">
        <v>35</v>
      </c>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279"/>
      <c r="AJ102" s="279"/>
      <c r="AK102" s="279"/>
      <c r="AL102" s="279">
        <f>AK102+(AN102-AK102)/3</f>
        <v>0</v>
      </c>
      <c r="AM102" s="382">
        <f t="shared" si="111"/>
        <v>0</v>
      </c>
      <c r="AN102" s="279">
        <v>0</v>
      </c>
      <c r="AO102" s="279">
        <f>AN102+(AP102-AN102)/2</f>
        <v>0</v>
      </c>
      <c r="AP102" s="279">
        <v>0</v>
      </c>
      <c r="AQ102" s="279">
        <f>AP102+(AS102-AP102)/3</f>
        <v>0</v>
      </c>
      <c r="AR102" s="279">
        <f>AP102+(AS102-AP102)*2/3</f>
        <v>0</v>
      </c>
      <c r="AS102" s="279">
        <v>0</v>
      </c>
      <c r="AT102" s="279"/>
      <c r="AU102" s="279"/>
      <c r="AV102" s="279"/>
      <c r="AW102" s="279"/>
      <c r="AX102" s="279"/>
      <c r="AY102" s="279"/>
      <c r="AZ102" s="279"/>
      <c r="BA102" s="279"/>
      <c r="BB102" s="279"/>
      <c r="BC102" s="279"/>
      <c r="BD102" s="279"/>
      <c r="BE102" s="279"/>
      <c r="BF102" s="279"/>
      <c r="BG102" s="279"/>
      <c r="BH102" s="279"/>
      <c r="BI102" s="279"/>
      <c r="BJ102" s="279"/>
    </row>
    <row r="103" spans="1:62">
      <c r="A103" s="92" t="s">
        <v>356</v>
      </c>
      <c r="B103" s="93">
        <f>SUM(B88:B102)</f>
        <v>0</v>
      </c>
      <c r="C103" s="93">
        <f t="shared" ref="C103:BJ103" si="112">SUM(C88:C102)</f>
        <v>0</v>
      </c>
      <c r="D103" s="93">
        <f t="shared" si="112"/>
        <v>0</v>
      </c>
      <c r="E103" s="93">
        <f t="shared" si="112"/>
        <v>0</v>
      </c>
      <c r="F103" s="93">
        <f t="shared" si="112"/>
        <v>0</v>
      </c>
      <c r="G103" s="93">
        <f t="shared" si="112"/>
        <v>0</v>
      </c>
      <c r="H103" s="93">
        <f t="shared" si="112"/>
        <v>0</v>
      </c>
      <c r="I103" s="93">
        <f t="shared" si="112"/>
        <v>0</v>
      </c>
      <c r="J103" s="93">
        <f t="shared" si="112"/>
        <v>0</v>
      </c>
      <c r="K103" s="93">
        <f t="shared" si="112"/>
        <v>0</v>
      </c>
      <c r="L103" s="93">
        <f t="shared" si="112"/>
        <v>0</v>
      </c>
      <c r="M103" s="93">
        <f t="shared" si="112"/>
        <v>0</v>
      </c>
      <c r="N103" s="93">
        <f t="shared" si="112"/>
        <v>0</v>
      </c>
      <c r="O103" s="93">
        <f t="shared" si="112"/>
        <v>0</v>
      </c>
      <c r="P103" s="93">
        <f t="shared" si="112"/>
        <v>0</v>
      </c>
      <c r="Q103" s="93">
        <f t="shared" si="112"/>
        <v>0</v>
      </c>
      <c r="R103" s="93">
        <f t="shared" si="112"/>
        <v>0</v>
      </c>
      <c r="S103" s="93">
        <f t="shared" si="112"/>
        <v>0</v>
      </c>
      <c r="T103" s="93">
        <f t="shared" si="112"/>
        <v>0</v>
      </c>
      <c r="U103" s="93">
        <f t="shared" si="112"/>
        <v>0</v>
      </c>
      <c r="V103" s="93">
        <f t="shared" si="112"/>
        <v>0</v>
      </c>
      <c r="W103" s="93">
        <f t="shared" si="112"/>
        <v>0</v>
      </c>
      <c r="X103" s="93">
        <f t="shared" si="112"/>
        <v>0</v>
      </c>
      <c r="Y103" s="93">
        <f t="shared" si="112"/>
        <v>0</v>
      </c>
      <c r="Z103" s="93">
        <f t="shared" si="112"/>
        <v>0</v>
      </c>
      <c r="AA103" s="93">
        <f t="shared" si="112"/>
        <v>0</v>
      </c>
      <c r="AB103" s="93">
        <f t="shared" si="112"/>
        <v>0</v>
      </c>
      <c r="AC103" s="93">
        <f t="shared" si="112"/>
        <v>0</v>
      </c>
      <c r="AD103" s="93">
        <f t="shared" si="112"/>
        <v>0</v>
      </c>
      <c r="AE103" s="93">
        <f t="shared" si="112"/>
        <v>0</v>
      </c>
      <c r="AF103" s="93">
        <f t="shared" si="112"/>
        <v>0</v>
      </c>
      <c r="AG103" s="93">
        <f t="shared" si="112"/>
        <v>0</v>
      </c>
      <c r="AH103" s="93">
        <f t="shared" si="112"/>
        <v>0</v>
      </c>
      <c r="AI103" s="93">
        <f t="shared" si="112"/>
        <v>0</v>
      </c>
      <c r="AJ103" s="93">
        <f t="shared" si="112"/>
        <v>0</v>
      </c>
      <c r="AK103" s="93">
        <f t="shared" si="112"/>
        <v>0</v>
      </c>
      <c r="AL103" s="93">
        <f t="shared" si="112"/>
        <v>0</v>
      </c>
      <c r="AM103" s="93">
        <f t="shared" si="112"/>
        <v>0</v>
      </c>
      <c r="AN103" s="93">
        <f t="shared" si="112"/>
        <v>0</v>
      </c>
      <c r="AO103" s="93">
        <f t="shared" si="112"/>
        <v>-1.760080822541529</v>
      </c>
      <c r="AP103" s="93">
        <f t="shared" si="112"/>
        <v>-3.520161645083058</v>
      </c>
      <c r="AQ103" s="93">
        <f t="shared" si="112"/>
        <v>-4.231057746132258</v>
      </c>
      <c r="AR103" s="93">
        <f t="shared" si="112"/>
        <v>-4.9419538471814572</v>
      </c>
      <c r="AS103" s="93">
        <f t="shared" si="112"/>
        <v>-5.6528499482306565</v>
      </c>
      <c r="AT103" s="93">
        <f t="shared" si="112"/>
        <v>-6.5384668024121133</v>
      </c>
      <c r="AU103" s="93">
        <f t="shared" si="112"/>
        <v>-7.4240836565935684</v>
      </c>
      <c r="AV103" s="93">
        <f t="shared" si="112"/>
        <v>-7.7871706841337245</v>
      </c>
      <c r="AW103" s="93">
        <f t="shared" si="112"/>
        <v>-8.1502577116738824</v>
      </c>
      <c r="AX103" s="93">
        <f t="shared" si="112"/>
        <v>-8.5133447392140393</v>
      </c>
      <c r="AY103" s="93">
        <f t="shared" si="112"/>
        <v>-9.0775678951167489</v>
      </c>
      <c r="AZ103" s="93">
        <f t="shared" si="112"/>
        <v>-9.6417910510194584</v>
      </c>
      <c r="BA103" s="93">
        <f t="shared" si="112"/>
        <v>-9.6969339540087258</v>
      </c>
      <c r="BB103" s="93">
        <f t="shared" si="112"/>
        <v>-9.7520768569979914</v>
      </c>
      <c r="BC103" s="93">
        <f t="shared" si="112"/>
        <v>-9.8072197599872588</v>
      </c>
      <c r="BD103" s="93">
        <f t="shared" si="112"/>
        <v>-9.8623626629765244</v>
      </c>
      <c r="BE103" s="93">
        <f t="shared" si="112"/>
        <v>-9.91750556596579</v>
      </c>
      <c r="BF103" s="93">
        <f t="shared" si="112"/>
        <v>-9.5585699062268699</v>
      </c>
      <c r="BG103" s="93">
        <f t="shared" si="112"/>
        <v>-9.1996342464879479</v>
      </c>
      <c r="BH103" s="93">
        <f t="shared" si="112"/>
        <v>-8.8406985867490242</v>
      </c>
      <c r="BI103" s="93">
        <f t="shared" si="112"/>
        <v>-8.481762927010104</v>
      </c>
      <c r="BJ103" s="93">
        <f t="shared" si="112"/>
        <v>-8.1228272672711803</v>
      </c>
    </row>
    <row r="104" spans="1:62">
      <c r="A104" s="307"/>
      <c r="B104" s="308"/>
      <c r="C104" s="308"/>
      <c r="D104" s="308"/>
      <c r="E104" s="308"/>
      <c r="F104" s="308"/>
      <c r="G104" s="308"/>
      <c r="H104" s="308"/>
      <c r="I104" s="308"/>
      <c r="J104" s="308"/>
      <c r="K104" s="308"/>
      <c r="L104" s="308"/>
      <c r="M104" s="308"/>
      <c r="N104" s="308"/>
      <c r="O104" s="308"/>
      <c r="P104" s="308"/>
      <c r="Q104" s="308"/>
      <c r="R104" s="308"/>
      <c r="S104" s="308"/>
      <c r="T104" s="308"/>
      <c r="U104" s="308"/>
      <c r="V104" s="308"/>
      <c r="W104" s="308"/>
      <c r="X104" s="308"/>
      <c r="Y104" s="308"/>
      <c r="Z104" s="308"/>
      <c r="AA104" s="308"/>
      <c r="AB104" s="308"/>
      <c r="AC104" s="308"/>
      <c r="AD104" s="308"/>
      <c r="AE104" s="308"/>
      <c r="AF104" s="308"/>
      <c r="AG104" s="308"/>
      <c r="AH104" s="308"/>
      <c r="AI104" s="308"/>
      <c r="AJ104" s="308"/>
      <c r="AK104" s="309"/>
      <c r="AL104" s="309"/>
      <c r="AM104" s="309"/>
      <c r="AN104" s="309"/>
      <c r="AO104" s="309"/>
      <c r="AP104" s="309"/>
      <c r="AQ104" s="309"/>
      <c r="AR104" s="309"/>
      <c r="AS104" s="309"/>
      <c r="AT104" s="309"/>
      <c r="AU104" s="309"/>
      <c r="AV104" s="309"/>
      <c r="AW104" s="309"/>
      <c r="AX104" s="309"/>
      <c r="AY104" s="309"/>
      <c r="AZ104" s="309"/>
      <c r="BA104" s="309"/>
      <c r="BB104" s="309"/>
      <c r="BC104" s="309"/>
      <c r="BD104" s="309"/>
      <c r="BE104" s="309"/>
      <c r="BF104" s="309"/>
      <c r="BG104" s="309"/>
      <c r="BH104" s="309"/>
      <c r="BI104" s="309"/>
      <c r="BJ104" s="309"/>
    </row>
    <row r="105" spans="1:62">
      <c r="A105" s="89" t="s">
        <v>357</v>
      </c>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496" t="s">
        <v>262</v>
      </c>
      <c r="AL105" s="496"/>
      <c r="AM105" s="496"/>
      <c r="AN105" s="496"/>
      <c r="AO105" s="496"/>
      <c r="AP105" s="496"/>
      <c r="AQ105" s="496"/>
      <c r="AR105" s="496"/>
      <c r="AS105" s="496"/>
      <c r="AT105" s="496"/>
      <c r="AU105" s="496"/>
      <c r="AV105" s="496"/>
      <c r="AW105" s="496"/>
      <c r="AX105" s="496"/>
      <c r="AY105" s="496"/>
      <c r="AZ105" s="496"/>
      <c r="BA105" s="496"/>
      <c r="BB105" s="496"/>
      <c r="BC105" s="496"/>
      <c r="BD105" s="496"/>
      <c r="BE105" s="496"/>
      <c r="BF105" s="496"/>
      <c r="BG105" s="496"/>
      <c r="BH105" s="496"/>
      <c r="BI105" s="496"/>
      <c r="BJ105" s="496"/>
    </row>
    <row r="106" spans="1:62" ht="26.4">
      <c r="A106" s="66" t="s">
        <v>263</v>
      </c>
      <c r="B106" s="67">
        <v>1990</v>
      </c>
      <c r="C106" s="67">
        <v>1991</v>
      </c>
      <c r="D106" s="67">
        <v>1992</v>
      </c>
      <c r="E106" s="67">
        <v>1993</v>
      </c>
      <c r="F106" s="67">
        <v>1994</v>
      </c>
      <c r="G106" s="67">
        <v>1995</v>
      </c>
      <c r="H106" s="67">
        <v>1996</v>
      </c>
      <c r="I106" s="67">
        <v>1997</v>
      </c>
      <c r="J106" s="67">
        <v>1998</v>
      </c>
      <c r="K106" s="67">
        <v>1999</v>
      </c>
      <c r="L106" s="67">
        <v>2000</v>
      </c>
      <c r="M106" s="67">
        <v>2001</v>
      </c>
      <c r="N106" s="67">
        <v>2002</v>
      </c>
      <c r="O106" s="67">
        <v>2003</v>
      </c>
      <c r="P106" s="67">
        <v>2004</v>
      </c>
      <c r="Q106" s="67">
        <v>2005</v>
      </c>
      <c r="R106" s="67">
        <v>2006</v>
      </c>
      <c r="S106" s="67">
        <v>2007</v>
      </c>
      <c r="T106" s="67">
        <v>2008</v>
      </c>
      <c r="U106" s="67">
        <v>2009</v>
      </c>
      <c r="V106" s="67">
        <v>2010</v>
      </c>
      <c r="W106" s="67">
        <v>2011</v>
      </c>
      <c r="X106" s="67">
        <v>2012</v>
      </c>
      <c r="Y106" s="67">
        <v>2013</v>
      </c>
      <c r="Z106" s="67">
        <v>2014</v>
      </c>
      <c r="AA106" s="67">
        <v>2015</v>
      </c>
      <c r="AB106" s="67">
        <v>2016</v>
      </c>
      <c r="AC106" s="67">
        <v>2017</v>
      </c>
      <c r="AD106" s="67">
        <v>2018</v>
      </c>
      <c r="AE106" s="67">
        <v>2019</v>
      </c>
      <c r="AF106" s="68">
        <v>2020</v>
      </c>
      <c r="AG106" s="68">
        <v>2021</v>
      </c>
      <c r="AH106" s="68">
        <v>2022</v>
      </c>
      <c r="AI106" s="67">
        <v>2023</v>
      </c>
      <c r="AJ106" s="67">
        <v>2024</v>
      </c>
      <c r="AK106" s="67">
        <v>2025</v>
      </c>
      <c r="AL106" s="67">
        <v>2026</v>
      </c>
      <c r="AM106" s="142">
        <v>2027</v>
      </c>
      <c r="AN106" s="67">
        <v>2028</v>
      </c>
      <c r="AO106" s="142">
        <v>2029</v>
      </c>
      <c r="AP106" s="67">
        <v>2030</v>
      </c>
      <c r="AQ106" s="142">
        <v>2031</v>
      </c>
      <c r="AR106" s="142">
        <v>2032</v>
      </c>
      <c r="AS106" s="67">
        <v>2033</v>
      </c>
      <c r="AT106" s="142">
        <v>2034</v>
      </c>
      <c r="AU106" s="67">
        <v>2035</v>
      </c>
      <c r="AV106" s="142">
        <v>2036</v>
      </c>
      <c r="AW106" s="142">
        <v>2037</v>
      </c>
      <c r="AX106" s="67">
        <v>2038</v>
      </c>
      <c r="AY106" s="142">
        <v>2039</v>
      </c>
      <c r="AZ106" s="67">
        <v>2040</v>
      </c>
      <c r="BA106" s="142">
        <v>2041</v>
      </c>
      <c r="BB106" s="142">
        <v>2042</v>
      </c>
      <c r="BC106" s="142">
        <v>2043</v>
      </c>
      <c r="BD106" s="142">
        <v>2044</v>
      </c>
      <c r="BE106" s="67">
        <v>2045</v>
      </c>
      <c r="BF106" s="142">
        <v>2046</v>
      </c>
      <c r="BG106" s="142">
        <v>2047</v>
      </c>
      <c r="BH106" s="142">
        <v>2048</v>
      </c>
      <c r="BI106" s="142">
        <v>2049</v>
      </c>
      <c r="BJ106" s="67">
        <v>2050</v>
      </c>
    </row>
    <row r="107" spans="1:62">
      <c r="A107" s="91" t="s">
        <v>100</v>
      </c>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279"/>
      <c r="AJ107" s="279"/>
      <c r="AK107" s="279"/>
      <c r="AL107" s="279">
        <f>AK107+(AN107-AK107)/3</f>
        <v>0</v>
      </c>
      <c r="AM107" s="382">
        <f t="shared" ref="AM107" si="113">(AL107+AN107)/2</f>
        <v>0</v>
      </c>
      <c r="AN107" s="279">
        <v>0</v>
      </c>
      <c r="AO107" s="279">
        <f>AN107+(AP107-AN107)/2</f>
        <v>-2.4141536754807798E-2</v>
      </c>
      <c r="AP107" s="279">
        <v>-4.8283073509615596E-2</v>
      </c>
      <c r="AQ107" s="279">
        <f>AP107+(AS107-AP107)/3</f>
        <v>-0.11028649554481776</v>
      </c>
      <c r="AR107" s="279">
        <f>AP107+(AS107-AP107)*2/3</f>
        <v>-0.17228991758001994</v>
      </c>
      <c r="AS107" s="279">
        <v>-0.23429333961522208</v>
      </c>
      <c r="AT107" s="279">
        <f>AS107+(AU107-AS107)/2</f>
        <v>-0.29629676165042423</v>
      </c>
      <c r="AU107" s="279">
        <v>-0.35830018368562638</v>
      </c>
      <c r="AV107" s="279">
        <f>AU107+(AX107-AU107)/3</f>
        <v>-0.55128419699707454</v>
      </c>
      <c r="AW107" s="279">
        <f>AU107+(AX107-AU107)*2/3</f>
        <v>-0.74426821030852264</v>
      </c>
      <c r="AX107" s="279">
        <v>-0.93725222361997074</v>
      </c>
      <c r="AY107" s="279">
        <f>AX107+(AZ107-AX107)/2</f>
        <v>-1.1302362369314189</v>
      </c>
      <c r="AZ107" s="279">
        <v>-1.3232202502428669</v>
      </c>
      <c r="BA107" s="279">
        <f t="shared" ref="BA107:BA120" si="114">AZ107+(BE107-AZ107)*1/5</f>
        <v>-1.3598620375759101</v>
      </c>
      <c r="BB107" s="279">
        <f t="shared" ref="BB107:BB120" si="115">AZ107+(BE107-AZ107)*2/5</f>
        <v>-1.3965038249089532</v>
      </c>
      <c r="BC107" s="279">
        <f t="shared" ref="BC107:BC120" si="116">AZ107+(BE107-AZ107)*3/5</f>
        <v>-1.4331456122419961</v>
      </c>
      <c r="BD107" s="279">
        <f t="shared" ref="BD107:BD120" si="117">AZ107+(BE107-AZ107)*4/5</f>
        <v>-1.4697873995750392</v>
      </c>
      <c r="BE107" s="279">
        <v>-1.5064291869080824</v>
      </c>
      <c r="BF107" s="279">
        <f t="shared" ref="BF107:BF120" si="118">BE107+(BJ107-BE107)*1/5</f>
        <v>-1.409143349526466</v>
      </c>
      <c r="BG107" s="279">
        <f t="shared" ref="BG107:BG120" si="119">BE107+(BJ107-BE107)*2/5</f>
        <v>-1.3118575121448495</v>
      </c>
      <c r="BH107" s="279">
        <f t="shared" ref="BH107:BH120" si="120">BE107+(BJ107-BE107)*3/5</f>
        <v>-1.2145716747632331</v>
      </c>
      <c r="BI107" s="279">
        <f t="shared" ref="BI107:BI120" si="121">BE107+(BJ107-BE107)*4/5</f>
        <v>-1.1172858373816168</v>
      </c>
      <c r="BJ107" s="279">
        <v>-1.0200000000000002</v>
      </c>
    </row>
    <row r="108" spans="1:62">
      <c r="A108" s="177" t="s">
        <v>230</v>
      </c>
      <c r="B108" s="179"/>
      <c r="C108" s="179"/>
      <c r="D108" s="179"/>
      <c r="E108" s="179"/>
      <c r="F108" s="179"/>
      <c r="G108" s="179"/>
      <c r="H108" s="179"/>
      <c r="I108" s="179"/>
      <c r="J108" s="179"/>
      <c r="K108" s="179"/>
      <c r="L108" s="179"/>
      <c r="M108" s="179"/>
      <c r="N108" s="179"/>
      <c r="O108" s="179"/>
      <c r="P108" s="179"/>
      <c r="Q108" s="179"/>
      <c r="R108" s="179"/>
      <c r="S108" s="179"/>
      <c r="T108" s="179"/>
      <c r="U108" s="179"/>
      <c r="V108" s="179"/>
      <c r="W108" s="179"/>
      <c r="X108" s="179"/>
      <c r="Y108" s="179"/>
      <c r="Z108" s="179"/>
      <c r="AA108" s="180"/>
      <c r="AB108" s="180"/>
      <c r="AC108" s="180"/>
      <c r="AD108" s="180"/>
      <c r="AE108" s="179"/>
      <c r="AF108" s="179"/>
      <c r="AG108" s="179"/>
      <c r="AH108" s="179"/>
      <c r="AI108" s="280"/>
      <c r="AJ108" s="280"/>
      <c r="AK108" s="280"/>
      <c r="AL108" s="279"/>
      <c r="AM108" s="279"/>
      <c r="AN108" s="280"/>
      <c r="AO108" s="279"/>
      <c r="AP108" s="280"/>
      <c r="AQ108" s="279"/>
      <c r="AR108" s="279"/>
      <c r="AS108" s="280"/>
      <c r="AT108" s="279"/>
      <c r="AU108" s="280"/>
      <c r="AV108" s="279"/>
      <c r="AW108" s="279"/>
      <c r="AX108" s="280"/>
      <c r="AY108" s="279"/>
      <c r="AZ108" s="280"/>
      <c r="BA108" s="280"/>
      <c r="BB108" s="280"/>
      <c r="BC108" s="280"/>
      <c r="BD108" s="280"/>
      <c r="BE108" s="280"/>
      <c r="BF108" s="280"/>
      <c r="BG108" s="280"/>
      <c r="BH108" s="280"/>
      <c r="BI108" s="280"/>
      <c r="BJ108" s="280"/>
    </row>
    <row r="109" spans="1:62">
      <c r="A109" s="177" t="s">
        <v>231</v>
      </c>
      <c r="B109" s="179"/>
      <c r="C109" s="179"/>
      <c r="D109" s="179"/>
      <c r="E109" s="179"/>
      <c r="F109" s="179"/>
      <c r="G109" s="179"/>
      <c r="H109" s="179"/>
      <c r="I109" s="179"/>
      <c r="J109" s="179"/>
      <c r="K109" s="179"/>
      <c r="L109" s="179"/>
      <c r="M109" s="179"/>
      <c r="N109" s="179"/>
      <c r="O109" s="179"/>
      <c r="P109" s="179"/>
      <c r="Q109" s="179"/>
      <c r="R109" s="179"/>
      <c r="S109" s="179"/>
      <c r="T109" s="179"/>
      <c r="U109" s="179"/>
      <c r="V109" s="179"/>
      <c r="W109" s="179"/>
      <c r="X109" s="179"/>
      <c r="Y109" s="179"/>
      <c r="Z109" s="179"/>
      <c r="AA109" s="179"/>
      <c r="AB109" s="179"/>
      <c r="AC109" s="179"/>
      <c r="AD109" s="179"/>
      <c r="AE109" s="179"/>
      <c r="AF109" s="179"/>
      <c r="AG109" s="179"/>
      <c r="AH109" s="179"/>
      <c r="AI109" s="280"/>
      <c r="AJ109" s="280"/>
      <c r="AK109" s="280"/>
      <c r="AL109" s="279"/>
      <c r="AM109" s="279"/>
      <c r="AN109" s="280"/>
      <c r="AO109" s="279"/>
      <c r="AP109" s="280"/>
      <c r="AQ109" s="279"/>
      <c r="AR109" s="279"/>
      <c r="AS109" s="280"/>
      <c r="AT109" s="279"/>
      <c r="AU109" s="280"/>
      <c r="AV109" s="279"/>
      <c r="AW109" s="279"/>
      <c r="AX109" s="280"/>
      <c r="AY109" s="279"/>
      <c r="AZ109" s="280"/>
      <c r="BA109" s="280"/>
      <c r="BB109" s="280"/>
      <c r="BC109" s="280"/>
      <c r="BD109" s="280"/>
      <c r="BE109" s="280"/>
      <c r="BF109" s="280"/>
      <c r="BG109" s="280"/>
      <c r="BH109" s="280"/>
      <c r="BI109" s="280"/>
      <c r="BJ109" s="280"/>
    </row>
    <row r="110" spans="1:62">
      <c r="A110" s="91" t="s">
        <v>16</v>
      </c>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279"/>
      <c r="AJ110" s="279"/>
      <c r="AK110" s="279"/>
      <c r="AL110" s="279">
        <f>AK110+(AN110-AK110)/3</f>
        <v>0</v>
      </c>
      <c r="AM110" s="382">
        <f t="shared" ref="AM110:AM112" si="122">(AL110+AN110)/2</f>
        <v>0</v>
      </c>
      <c r="AN110" s="279">
        <v>0</v>
      </c>
      <c r="AO110" s="279">
        <f>AN110+(AP110-AN110)/2</f>
        <v>0</v>
      </c>
      <c r="AP110" s="279">
        <v>0</v>
      </c>
      <c r="AQ110" s="279">
        <f>AP110+(AS110-AP110)/3</f>
        <v>0</v>
      </c>
      <c r="AR110" s="279">
        <f>AP110+(AS110-AP110)*2/3</f>
        <v>0</v>
      </c>
      <c r="AS110" s="279">
        <v>0</v>
      </c>
      <c r="AT110" s="279">
        <f>AS110+(AU110-AS110)/2</f>
        <v>0</v>
      </c>
      <c r="AU110" s="279">
        <v>0</v>
      </c>
      <c r="AV110" s="279">
        <f t="shared" ref="AV110:AV120" si="123">AU110+(AX110-AU110)/3</f>
        <v>0</v>
      </c>
      <c r="AW110" s="279">
        <f t="shared" ref="AW110:AW120" si="124">AU110+(AX110-AU110)*2/3</f>
        <v>0</v>
      </c>
      <c r="AX110" s="279">
        <v>0</v>
      </c>
      <c r="AY110" s="279">
        <f t="shared" ref="AY110:AY120" si="125">AX110+(AZ110-AX110)/2</f>
        <v>0</v>
      </c>
      <c r="AZ110" s="279">
        <v>0</v>
      </c>
      <c r="BA110" s="279">
        <f t="shared" si="114"/>
        <v>0</v>
      </c>
      <c r="BB110" s="279">
        <f t="shared" si="115"/>
        <v>0</v>
      </c>
      <c r="BC110" s="279">
        <f t="shared" si="116"/>
        <v>0</v>
      </c>
      <c r="BD110" s="279">
        <f t="shared" si="117"/>
        <v>0</v>
      </c>
      <c r="BE110" s="279">
        <v>0</v>
      </c>
      <c r="BF110" s="279">
        <f t="shared" si="118"/>
        <v>0</v>
      </c>
      <c r="BG110" s="279">
        <f t="shared" si="119"/>
        <v>0</v>
      </c>
      <c r="BH110" s="279">
        <f t="shared" si="120"/>
        <v>0</v>
      </c>
      <c r="BI110" s="279">
        <f t="shared" si="121"/>
        <v>0</v>
      </c>
      <c r="BJ110" s="279">
        <v>0</v>
      </c>
    </row>
    <row r="111" spans="1:62">
      <c r="A111" s="91" t="s">
        <v>101</v>
      </c>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279"/>
      <c r="AJ111" s="279"/>
      <c r="AK111" s="279"/>
      <c r="AL111" s="279">
        <f>AK111+(AN111-AK111)/3</f>
        <v>0</v>
      </c>
      <c r="AM111" s="382">
        <f t="shared" si="122"/>
        <v>0</v>
      </c>
      <c r="AN111" s="279">
        <v>0</v>
      </c>
      <c r="AO111" s="279">
        <f>AN111+(AP111-AN111)/2</f>
        <v>0</v>
      </c>
      <c r="AP111" s="279">
        <v>0</v>
      </c>
      <c r="AQ111" s="279">
        <f>AP111+(AS111-AP111)/3</f>
        <v>0</v>
      </c>
      <c r="AR111" s="279">
        <f>AP111+(AS111-AP111)*2/3</f>
        <v>0</v>
      </c>
      <c r="AS111" s="279">
        <v>0</v>
      </c>
      <c r="AT111" s="279">
        <f>AS111+(AU111-AS111)/2</f>
        <v>0</v>
      </c>
      <c r="AU111" s="279">
        <v>0</v>
      </c>
      <c r="AV111" s="279">
        <f t="shared" si="123"/>
        <v>0</v>
      </c>
      <c r="AW111" s="279">
        <f t="shared" si="124"/>
        <v>0</v>
      </c>
      <c r="AX111" s="279">
        <v>0</v>
      </c>
      <c r="AY111" s="279">
        <f t="shared" si="125"/>
        <v>0</v>
      </c>
      <c r="AZ111" s="279">
        <v>0</v>
      </c>
      <c r="BA111" s="279">
        <f t="shared" si="114"/>
        <v>0</v>
      </c>
      <c r="BB111" s="279">
        <f t="shared" si="115"/>
        <v>0</v>
      </c>
      <c r="BC111" s="279">
        <f t="shared" si="116"/>
        <v>0</v>
      </c>
      <c r="BD111" s="279">
        <f t="shared" si="117"/>
        <v>0</v>
      </c>
      <c r="BE111" s="279">
        <v>0</v>
      </c>
      <c r="BF111" s="279">
        <f t="shared" si="118"/>
        <v>0</v>
      </c>
      <c r="BG111" s="279">
        <f t="shared" si="119"/>
        <v>0</v>
      </c>
      <c r="BH111" s="279">
        <f t="shared" si="120"/>
        <v>0</v>
      </c>
      <c r="BI111" s="279">
        <f t="shared" si="121"/>
        <v>0</v>
      </c>
      <c r="BJ111" s="279">
        <v>0</v>
      </c>
    </row>
    <row r="112" spans="1:62">
      <c r="A112" s="91" t="s">
        <v>232</v>
      </c>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279"/>
      <c r="AJ112" s="279"/>
      <c r="AK112" s="279"/>
      <c r="AL112" s="279">
        <f>AK112+(AN112-AK112)/3</f>
        <v>0</v>
      </c>
      <c r="AM112" s="382">
        <f t="shared" si="122"/>
        <v>0</v>
      </c>
      <c r="AN112" s="279">
        <v>0</v>
      </c>
      <c r="AO112" s="279">
        <f>AN112+(AP112-AN112)/2</f>
        <v>0</v>
      </c>
      <c r="AP112" s="279">
        <v>0</v>
      </c>
      <c r="AQ112" s="279">
        <f>AP112+(AS112-AP112)/3</f>
        <v>0</v>
      </c>
      <c r="AR112" s="279">
        <f>AP112+(AS112-AP112)*2/3</f>
        <v>0</v>
      </c>
      <c r="AS112" s="279">
        <v>0</v>
      </c>
      <c r="AT112" s="279">
        <f>AS112+(AU112-AS112)/2</f>
        <v>0</v>
      </c>
      <c r="AU112" s="279">
        <v>0</v>
      </c>
      <c r="AV112" s="279">
        <f t="shared" si="123"/>
        <v>0</v>
      </c>
      <c r="AW112" s="279">
        <f t="shared" si="124"/>
        <v>0</v>
      </c>
      <c r="AX112" s="279">
        <v>0</v>
      </c>
      <c r="AY112" s="279">
        <f t="shared" si="125"/>
        <v>-0.54886387163744532</v>
      </c>
      <c r="AZ112" s="279">
        <v>-1.0977277432748906</v>
      </c>
      <c r="BA112" s="279">
        <f t="shared" si="114"/>
        <v>-1.2894730176666007</v>
      </c>
      <c r="BB112" s="279">
        <f t="shared" si="115"/>
        <v>-1.481218292058311</v>
      </c>
      <c r="BC112" s="279">
        <f t="shared" si="116"/>
        <v>-1.6729635664500213</v>
      </c>
      <c r="BD112" s="279">
        <f t="shared" si="117"/>
        <v>-1.8647088408417312</v>
      </c>
      <c r="BE112" s="279">
        <v>-2.0564541152334415</v>
      </c>
      <c r="BF112" s="279">
        <f t="shared" si="118"/>
        <v>-2.0487317062435206</v>
      </c>
      <c r="BG112" s="279">
        <f t="shared" si="119"/>
        <v>-2.0410092972535998</v>
      </c>
      <c r="BH112" s="279">
        <f t="shared" si="120"/>
        <v>-2.0332868882636794</v>
      </c>
      <c r="BI112" s="279">
        <f t="shared" si="121"/>
        <v>-2.0255644792737586</v>
      </c>
      <c r="BJ112" s="279">
        <v>-2.0178420702838378</v>
      </c>
    </row>
    <row r="113" spans="1:62">
      <c r="A113" s="177" t="s">
        <v>233</v>
      </c>
      <c r="B113" s="179"/>
      <c r="C113" s="179"/>
      <c r="D113" s="179"/>
      <c r="E113" s="179"/>
      <c r="F113" s="179"/>
      <c r="G113" s="179"/>
      <c r="H113" s="179"/>
      <c r="I113" s="179"/>
      <c r="J113" s="179"/>
      <c r="K113" s="179"/>
      <c r="L113" s="179"/>
      <c r="M113" s="179"/>
      <c r="N113" s="179"/>
      <c r="O113" s="179"/>
      <c r="P113" s="179"/>
      <c r="Q113" s="179"/>
      <c r="R113" s="179"/>
      <c r="S113" s="179"/>
      <c r="T113" s="179"/>
      <c r="U113" s="179"/>
      <c r="V113" s="179"/>
      <c r="W113" s="179"/>
      <c r="X113" s="179"/>
      <c r="Y113" s="179"/>
      <c r="Z113" s="179"/>
      <c r="AA113" s="179"/>
      <c r="AB113" s="179"/>
      <c r="AC113" s="179"/>
      <c r="AD113" s="179"/>
      <c r="AE113" s="179"/>
      <c r="AF113" s="179"/>
      <c r="AG113" s="179"/>
      <c r="AH113" s="179"/>
      <c r="AI113" s="280"/>
      <c r="AJ113" s="280"/>
      <c r="AK113" s="280"/>
      <c r="AL113" s="279"/>
      <c r="AM113" s="279"/>
      <c r="AN113" s="280"/>
      <c r="AO113" s="279"/>
      <c r="AP113" s="280"/>
      <c r="AQ113" s="279"/>
      <c r="AR113" s="279"/>
      <c r="AS113" s="280"/>
      <c r="AT113" s="279"/>
      <c r="AU113" s="280"/>
      <c r="AV113" s="279"/>
      <c r="AW113" s="279"/>
      <c r="AX113" s="280"/>
      <c r="AY113" s="279"/>
      <c r="AZ113" s="280"/>
      <c r="BA113" s="280"/>
      <c r="BB113" s="280"/>
      <c r="BC113" s="280"/>
      <c r="BD113" s="280"/>
      <c r="BE113" s="280"/>
      <c r="BF113" s="280"/>
      <c r="BG113" s="280"/>
      <c r="BH113" s="280"/>
      <c r="BI113" s="280"/>
      <c r="BJ113" s="280"/>
    </row>
    <row r="114" spans="1:62">
      <c r="A114" s="91" t="s">
        <v>234</v>
      </c>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279"/>
      <c r="AJ114" s="279"/>
      <c r="AK114" s="279"/>
      <c r="AL114" s="279">
        <f>AK114+(AN114-AK114)/3</f>
        <v>0</v>
      </c>
      <c r="AM114" s="382">
        <f t="shared" ref="AM114:AM115" si="126">(AL114+AN114)/2</f>
        <v>0</v>
      </c>
      <c r="AN114" s="279">
        <v>0</v>
      </c>
      <c r="AO114" s="279">
        <f>AN114+(AP114-AN114)/2</f>
        <v>-1.5927834325134942E-2</v>
      </c>
      <c r="AP114" s="279">
        <v>-3.1855668650269883E-2</v>
      </c>
      <c r="AQ114" s="279">
        <f>AP114+(AS114-AP114)/3</f>
        <v>-3.1706627780193376E-2</v>
      </c>
      <c r="AR114" s="279">
        <f>AP114+(AS114-AP114)*2/3</f>
        <v>-3.1557586910116869E-2</v>
      </c>
      <c r="AS114" s="279">
        <v>-3.1408546040040362E-2</v>
      </c>
      <c r="AT114" s="279">
        <f>AS114+(AU114-AS114)/2</f>
        <v>-3.1259505169963855E-2</v>
      </c>
      <c r="AU114" s="279">
        <v>-3.1110464299887348E-2</v>
      </c>
      <c r="AV114" s="279">
        <f t="shared" si="123"/>
        <v>-4.4588371439909881E-2</v>
      </c>
      <c r="AW114" s="279">
        <f t="shared" si="124"/>
        <v>-5.8066278579932407E-2</v>
      </c>
      <c r="AX114" s="279">
        <v>-7.1544185719954939E-2</v>
      </c>
      <c r="AY114" s="279">
        <f t="shared" si="125"/>
        <v>-8.5022092859977472E-2</v>
      </c>
      <c r="AZ114" s="279">
        <v>-9.849999999999999E-2</v>
      </c>
      <c r="BA114" s="279">
        <f t="shared" si="114"/>
        <v>-0.1404</v>
      </c>
      <c r="BB114" s="279">
        <f t="shared" si="115"/>
        <v>-0.18230000000000002</v>
      </c>
      <c r="BC114" s="279">
        <f t="shared" si="116"/>
        <v>-0.22420000000000007</v>
      </c>
      <c r="BD114" s="279">
        <f t="shared" si="117"/>
        <v>-0.26610000000000006</v>
      </c>
      <c r="BE114" s="279">
        <v>-0.30800000000000005</v>
      </c>
      <c r="BF114" s="279">
        <f t="shared" si="118"/>
        <v>-0.33880000000000005</v>
      </c>
      <c r="BG114" s="279">
        <f t="shared" si="119"/>
        <v>-0.36960000000000004</v>
      </c>
      <c r="BH114" s="279">
        <f t="shared" si="120"/>
        <v>-0.40039999999999998</v>
      </c>
      <c r="BI114" s="279">
        <f t="shared" si="121"/>
        <v>-0.43119999999999997</v>
      </c>
      <c r="BJ114" s="279">
        <v>-0.46199999999999997</v>
      </c>
    </row>
    <row r="115" spans="1:62">
      <c r="A115" s="91" t="s">
        <v>29</v>
      </c>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279"/>
      <c r="AJ115" s="279"/>
      <c r="AK115" s="279"/>
      <c r="AL115" s="279">
        <f>AK115+(AN115-AK115)/3</f>
        <v>0</v>
      </c>
      <c r="AM115" s="382">
        <f t="shared" si="126"/>
        <v>0</v>
      </c>
      <c r="AN115" s="279">
        <v>0</v>
      </c>
      <c r="AO115" s="279">
        <f>AN115+(AP115-AN115)/2</f>
        <v>0</v>
      </c>
      <c r="AP115" s="279">
        <v>0</v>
      </c>
      <c r="AQ115" s="279">
        <f>AP115+(AS115-AP115)/3</f>
        <v>0</v>
      </c>
      <c r="AR115" s="279">
        <f>AP115+(AS115-AP115)*2/3</f>
        <v>0</v>
      </c>
      <c r="AS115" s="279">
        <v>0</v>
      </c>
      <c r="AT115" s="279">
        <f>AS115+(AU115-AS115)/2</f>
        <v>0</v>
      </c>
      <c r="AU115" s="279">
        <v>0</v>
      </c>
      <c r="AV115" s="279">
        <f t="shared" si="123"/>
        <v>0</v>
      </c>
      <c r="AW115" s="279">
        <f t="shared" si="124"/>
        <v>0</v>
      </c>
      <c r="AX115" s="279">
        <v>0</v>
      </c>
      <c r="AY115" s="279">
        <f t="shared" si="125"/>
        <v>0</v>
      </c>
      <c r="AZ115" s="279">
        <v>0</v>
      </c>
      <c r="BA115" s="279">
        <f t="shared" si="114"/>
        <v>0</v>
      </c>
      <c r="BB115" s="279">
        <f t="shared" si="115"/>
        <v>0</v>
      </c>
      <c r="BC115" s="279">
        <f t="shared" si="116"/>
        <v>0</v>
      </c>
      <c r="BD115" s="279">
        <f t="shared" si="117"/>
        <v>0</v>
      </c>
      <c r="BE115" s="279">
        <v>0</v>
      </c>
      <c r="BF115" s="279">
        <f t="shared" si="118"/>
        <v>0</v>
      </c>
      <c r="BG115" s="279">
        <f t="shared" si="119"/>
        <v>0</v>
      </c>
      <c r="BH115" s="279">
        <f t="shared" si="120"/>
        <v>0</v>
      </c>
      <c r="BI115" s="279">
        <f t="shared" si="121"/>
        <v>0</v>
      </c>
      <c r="BJ115" s="279">
        <v>0</v>
      </c>
    </row>
    <row r="116" spans="1:62">
      <c r="A116" s="177" t="s">
        <v>235</v>
      </c>
      <c r="B116" s="179"/>
      <c r="C116" s="17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280"/>
      <c r="AJ116" s="280"/>
      <c r="AK116" s="280"/>
      <c r="AL116" s="279"/>
      <c r="AM116" s="279"/>
      <c r="AN116" s="280"/>
      <c r="AO116" s="279"/>
      <c r="AP116" s="280"/>
      <c r="AQ116" s="279"/>
      <c r="AR116" s="279"/>
      <c r="AS116" s="280"/>
      <c r="AT116" s="279"/>
      <c r="AU116" s="280"/>
      <c r="AV116" s="279"/>
      <c r="AW116" s="279"/>
      <c r="AX116" s="280"/>
      <c r="AY116" s="279"/>
      <c r="AZ116" s="280"/>
      <c r="BA116" s="280"/>
      <c r="BB116" s="280"/>
      <c r="BC116" s="280"/>
      <c r="BD116" s="280"/>
      <c r="BE116" s="280"/>
      <c r="BF116" s="280"/>
      <c r="BG116" s="280"/>
      <c r="BH116" s="280"/>
      <c r="BI116" s="280"/>
      <c r="BJ116" s="280"/>
    </row>
    <row r="117" spans="1:62">
      <c r="A117" s="91" t="s">
        <v>31</v>
      </c>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279"/>
      <c r="AJ117" s="279"/>
      <c r="AK117" s="279"/>
      <c r="AL117" s="279">
        <f>AK117+(AN117-AK117)/3</f>
        <v>0</v>
      </c>
      <c r="AM117" s="382">
        <f t="shared" ref="AM117:AM121" si="127">(AL117+AN117)/2</f>
        <v>0</v>
      </c>
      <c r="AN117" s="279">
        <v>0</v>
      </c>
      <c r="AO117" s="279">
        <f>AN117+(AP117-AN117)/2</f>
        <v>-0.12734980637852844</v>
      </c>
      <c r="AP117" s="279">
        <v>-0.25469961275705688</v>
      </c>
      <c r="AQ117" s="279">
        <f>AP117+(AS117-AP117)/3</f>
        <v>-0.28189783450359218</v>
      </c>
      <c r="AR117" s="279">
        <f>AP117+(AS117-AP117)*2/3</f>
        <v>-0.30909605625012748</v>
      </c>
      <c r="AS117" s="279">
        <v>-0.33629427799666278</v>
      </c>
      <c r="AT117" s="279">
        <f>AS117+(AU117-AS117)/2</f>
        <v>-0.36349249974319808</v>
      </c>
      <c r="AU117" s="279">
        <v>-0.39069072148973344</v>
      </c>
      <c r="AV117" s="279">
        <f t="shared" si="123"/>
        <v>-0.63086975213058927</v>
      </c>
      <c r="AW117" s="279">
        <f t="shared" si="124"/>
        <v>-0.87104878277144515</v>
      </c>
      <c r="AX117" s="279">
        <v>-1.111227813412301</v>
      </c>
      <c r="AY117" s="279">
        <f t="shared" si="125"/>
        <v>-1.351406844053157</v>
      </c>
      <c r="AZ117" s="279">
        <v>-1.5915858746940128</v>
      </c>
      <c r="BA117" s="279">
        <f t="shared" si="114"/>
        <v>-1.646651984546825</v>
      </c>
      <c r="BB117" s="279">
        <f t="shared" si="115"/>
        <v>-1.7017180943996375</v>
      </c>
      <c r="BC117" s="279">
        <f t="shared" si="116"/>
        <v>-1.7567842042524497</v>
      </c>
      <c r="BD117" s="279">
        <f t="shared" si="117"/>
        <v>-1.8118503141052622</v>
      </c>
      <c r="BE117" s="279">
        <v>-1.8669164239580744</v>
      </c>
      <c r="BF117" s="279">
        <f t="shared" si="118"/>
        <v>-1.8534483830797233</v>
      </c>
      <c r="BG117" s="279">
        <f t="shared" si="119"/>
        <v>-1.8399803422013719</v>
      </c>
      <c r="BH117" s="279">
        <f t="shared" si="120"/>
        <v>-1.8265123013230207</v>
      </c>
      <c r="BI117" s="279">
        <f t="shared" si="121"/>
        <v>-1.8130442604446693</v>
      </c>
      <c r="BJ117" s="279">
        <v>-1.7995762195663181</v>
      </c>
    </row>
    <row r="118" spans="1:62">
      <c r="A118" s="177" t="s">
        <v>236</v>
      </c>
      <c r="B118" s="179"/>
      <c r="C118" s="179"/>
      <c r="D118" s="179"/>
      <c r="E118" s="179"/>
      <c r="F118" s="179"/>
      <c r="G118" s="179"/>
      <c r="H118" s="179"/>
      <c r="I118" s="179"/>
      <c r="J118" s="179"/>
      <c r="K118" s="179"/>
      <c r="L118" s="179"/>
      <c r="M118" s="179"/>
      <c r="N118" s="179"/>
      <c r="O118" s="179"/>
      <c r="P118" s="179"/>
      <c r="Q118" s="179"/>
      <c r="R118" s="179"/>
      <c r="S118" s="179"/>
      <c r="T118" s="179"/>
      <c r="U118" s="179"/>
      <c r="V118" s="179"/>
      <c r="W118" s="179"/>
      <c r="X118" s="179"/>
      <c r="Y118" s="179"/>
      <c r="Z118" s="179"/>
      <c r="AA118" s="179"/>
      <c r="AB118" s="179"/>
      <c r="AC118" s="179"/>
      <c r="AD118" s="179"/>
      <c r="AE118" s="179"/>
      <c r="AF118" s="179"/>
      <c r="AG118" s="179"/>
      <c r="AH118" s="179"/>
      <c r="AI118" s="280"/>
      <c r="AJ118" s="280"/>
      <c r="AK118" s="280"/>
      <c r="AL118" s="279">
        <f>AK118+(AN118-AK118)/3</f>
        <v>0</v>
      </c>
      <c r="AM118" s="382">
        <f t="shared" si="127"/>
        <v>0</v>
      </c>
      <c r="AN118" s="280"/>
      <c r="AO118" s="279"/>
      <c r="AP118" s="280"/>
      <c r="AQ118" s="279"/>
      <c r="AR118" s="279"/>
      <c r="AS118" s="280"/>
      <c r="AT118" s="279"/>
      <c r="AU118" s="280"/>
      <c r="AV118" s="279"/>
      <c r="AW118" s="279"/>
      <c r="AX118" s="280"/>
      <c r="AY118" s="279"/>
      <c r="AZ118" s="280"/>
      <c r="BA118" s="280"/>
      <c r="BB118" s="280"/>
      <c r="BC118" s="280"/>
      <c r="BD118" s="280"/>
      <c r="BE118" s="280"/>
      <c r="BF118" s="280"/>
      <c r="BG118" s="280"/>
      <c r="BH118" s="280"/>
      <c r="BI118" s="280"/>
      <c r="BJ118" s="280"/>
    </row>
    <row r="119" spans="1:62">
      <c r="A119" s="177" t="s">
        <v>242</v>
      </c>
      <c r="B119" s="179"/>
      <c r="C119" s="179"/>
      <c r="D119" s="179"/>
      <c r="E119" s="179"/>
      <c r="F119" s="179"/>
      <c r="G119" s="179"/>
      <c r="H119" s="179"/>
      <c r="I119" s="179"/>
      <c r="J119" s="179"/>
      <c r="K119" s="179"/>
      <c r="L119" s="179"/>
      <c r="M119" s="179"/>
      <c r="N119" s="179"/>
      <c r="O119" s="179"/>
      <c r="P119" s="179"/>
      <c r="Q119" s="179"/>
      <c r="R119" s="179"/>
      <c r="S119" s="179"/>
      <c r="T119" s="179"/>
      <c r="U119" s="179"/>
      <c r="V119" s="179"/>
      <c r="W119" s="179"/>
      <c r="X119" s="179"/>
      <c r="Y119" s="179"/>
      <c r="Z119" s="179"/>
      <c r="AA119" s="179"/>
      <c r="AB119" s="179"/>
      <c r="AC119" s="179"/>
      <c r="AD119" s="179"/>
      <c r="AE119" s="179"/>
      <c r="AF119" s="179"/>
      <c r="AG119" s="179"/>
      <c r="AH119" s="179"/>
      <c r="AI119" s="280"/>
      <c r="AJ119" s="280"/>
      <c r="AK119" s="280"/>
      <c r="AL119" s="279">
        <f>AK119+(AN119-AK119)/3</f>
        <v>0</v>
      </c>
      <c r="AM119" s="382">
        <f t="shared" si="127"/>
        <v>0</v>
      </c>
      <c r="AN119" s="280"/>
      <c r="AO119" s="279"/>
      <c r="AP119" s="280"/>
      <c r="AQ119" s="279"/>
      <c r="AR119" s="279"/>
      <c r="AS119" s="280"/>
      <c r="AT119" s="279"/>
      <c r="AU119" s="280"/>
      <c r="AV119" s="279"/>
      <c r="AW119" s="279"/>
      <c r="AX119" s="280"/>
      <c r="AY119" s="279"/>
      <c r="AZ119" s="280"/>
      <c r="BA119" s="280"/>
      <c r="BB119" s="280"/>
      <c r="BC119" s="280"/>
      <c r="BD119" s="280"/>
      <c r="BE119" s="280"/>
      <c r="BF119" s="280"/>
      <c r="BG119" s="280"/>
      <c r="BH119" s="280"/>
      <c r="BI119" s="280"/>
      <c r="BJ119" s="280"/>
    </row>
    <row r="120" spans="1:62">
      <c r="A120" s="91" t="s">
        <v>34</v>
      </c>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279"/>
      <c r="AJ120" s="279"/>
      <c r="AK120" s="279"/>
      <c r="AL120" s="279">
        <f>AK120+(AN120-AK120)/3</f>
        <v>0</v>
      </c>
      <c r="AM120" s="382">
        <f t="shared" si="127"/>
        <v>0</v>
      </c>
      <c r="AN120" s="279">
        <v>0</v>
      </c>
      <c r="AO120" s="279">
        <f>AN120+(AP120-AN120)/2</f>
        <v>0</v>
      </c>
      <c r="AP120" s="279">
        <v>0</v>
      </c>
      <c r="AQ120" s="279">
        <f>AP120+(AS120-AP120)/3</f>
        <v>0</v>
      </c>
      <c r="AR120" s="279">
        <f>AP120+(AS120-AP120)*2/3</f>
        <v>0</v>
      </c>
      <c r="AS120" s="279">
        <v>0</v>
      </c>
      <c r="AT120" s="279">
        <f>AS120+(AU120-AS120)/2</f>
        <v>-0.23746890401467413</v>
      </c>
      <c r="AU120" s="279">
        <v>-0.47493780802934826</v>
      </c>
      <c r="AV120" s="279">
        <f t="shared" si="123"/>
        <v>-0.64093339618384404</v>
      </c>
      <c r="AW120" s="279">
        <f t="shared" si="124"/>
        <v>-0.80692898433833982</v>
      </c>
      <c r="AX120" s="279">
        <v>-0.97292457249283548</v>
      </c>
      <c r="AY120" s="279">
        <f t="shared" si="125"/>
        <v>-1.1389201606473311</v>
      </c>
      <c r="AZ120" s="279">
        <v>-1.3049157488018268</v>
      </c>
      <c r="BA120" s="279">
        <f t="shared" si="114"/>
        <v>-1.4846891447097685</v>
      </c>
      <c r="BB120" s="279">
        <f t="shared" si="115"/>
        <v>-1.66446254061771</v>
      </c>
      <c r="BC120" s="279">
        <f t="shared" si="116"/>
        <v>-1.8442359365256518</v>
      </c>
      <c r="BD120" s="279">
        <f t="shared" si="117"/>
        <v>-2.0240093324335935</v>
      </c>
      <c r="BE120" s="279">
        <v>-2.203782728341535</v>
      </c>
      <c r="BF120" s="279">
        <f t="shared" si="118"/>
        <v>-2.2241530081554401</v>
      </c>
      <c r="BG120" s="279">
        <f t="shared" si="119"/>
        <v>-2.2445232879693449</v>
      </c>
      <c r="BH120" s="279">
        <f t="shared" si="120"/>
        <v>-2.26489356778325</v>
      </c>
      <c r="BI120" s="279">
        <f t="shared" si="121"/>
        <v>-2.2852638475971547</v>
      </c>
      <c r="BJ120" s="279">
        <v>-2.3056341274110599</v>
      </c>
    </row>
    <row r="121" spans="1:62">
      <c r="A121" s="91" t="s">
        <v>35</v>
      </c>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279"/>
      <c r="AJ121" s="279"/>
      <c r="AK121" s="279"/>
      <c r="AL121" s="279">
        <f>AK121+(AN121-AK121)/3</f>
        <v>0</v>
      </c>
      <c r="AM121" s="382">
        <f t="shared" si="127"/>
        <v>0</v>
      </c>
      <c r="AN121" s="279">
        <v>0</v>
      </c>
      <c r="AO121" s="279">
        <f>AN121+(AP121-AN121)/2</f>
        <v>0</v>
      </c>
      <c r="AP121" s="279">
        <v>0</v>
      </c>
      <c r="AQ121" s="279">
        <f>AP121+(AS121-AP121)/3</f>
        <v>0</v>
      </c>
      <c r="AR121" s="279">
        <f>AP121+(AS121-AP121)*2/3</f>
        <v>0</v>
      </c>
      <c r="AS121" s="279">
        <v>0</v>
      </c>
      <c r="AT121" s="279"/>
      <c r="AU121" s="279"/>
      <c r="AV121" s="279"/>
      <c r="AW121" s="279"/>
      <c r="AX121" s="279"/>
      <c r="AY121" s="279"/>
      <c r="AZ121" s="279"/>
      <c r="BA121" s="279"/>
      <c r="BB121" s="279"/>
      <c r="BC121" s="279"/>
      <c r="BD121" s="279"/>
      <c r="BE121" s="279"/>
      <c r="BF121" s="279"/>
      <c r="BG121" s="279"/>
      <c r="BH121" s="279"/>
      <c r="BI121" s="279"/>
      <c r="BJ121" s="279"/>
    </row>
    <row r="122" spans="1:62">
      <c r="A122" s="92" t="s">
        <v>356</v>
      </c>
      <c r="B122" s="93">
        <f t="shared" ref="B122:AG122" si="128">SUM(B107:B121)</f>
        <v>0</v>
      </c>
      <c r="C122" s="93">
        <f t="shared" si="128"/>
        <v>0</v>
      </c>
      <c r="D122" s="93">
        <f t="shared" si="128"/>
        <v>0</v>
      </c>
      <c r="E122" s="93">
        <f t="shared" si="128"/>
        <v>0</v>
      </c>
      <c r="F122" s="93">
        <f t="shared" si="128"/>
        <v>0</v>
      </c>
      <c r="G122" s="93">
        <f t="shared" si="128"/>
        <v>0</v>
      </c>
      <c r="H122" s="93">
        <f t="shared" si="128"/>
        <v>0</v>
      </c>
      <c r="I122" s="93">
        <f t="shared" si="128"/>
        <v>0</v>
      </c>
      <c r="J122" s="93">
        <f t="shared" si="128"/>
        <v>0</v>
      </c>
      <c r="K122" s="93">
        <f t="shared" si="128"/>
        <v>0</v>
      </c>
      <c r="L122" s="93">
        <f t="shared" si="128"/>
        <v>0</v>
      </c>
      <c r="M122" s="93">
        <f t="shared" si="128"/>
        <v>0</v>
      </c>
      <c r="N122" s="93">
        <f t="shared" si="128"/>
        <v>0</v>
      </c>
      <c r="O122" s="93">
        <f t="shared" si="128"/>
        <v>0</v>
      </c>
      <c r="P122" s="93">
        <f t="shared" si="128"/>
        <v>0</v>
      </c>
      <c r="Q122" s="93">
        <f t="shared" si="128"/>
        <v>0</v>
      </c>
      <c r="R122" s="93">
        <f t="shared" si="128"/>
        <v>0</v>
      </c>
      <c r="S122" s="93">
        <f t="shared" si="128"/>
        <v>0</v>
      </c>
      <c r="T122" s="93">
        <f t="shared" si="128"/>
        <v>0</v>
      </c>
      <c r="U122" s="93">
        <f t="shared" si="128"/>
        <v>0</v>
      </c>
      <c r="V122" s="93">
        <f t="shared" si="128"/>
        <v>0</v>
      </c>
      <c r="W122" s="93">
        <f t="shared" si="128"/>
        <v>0</v>
      </c>
      <c r="X122" s="93">
        <f t="shared" si="128"/>
        <v>0</v>
      </c>
      <c r="Y122" s="93">
        <f t="shared" si="128"/>
        <v>0</v>
      </c>
      <c r="Z122" s="93">
        <f t="shared" si="128"/>
        <v>0</v>
      </c>
      <c r="AA122" s="93">
        <f t="shared" si="128"/>
        <v>0</v>
      </c>
      <c r="AB122" s="93">
        <f t="shared" si="128"/>
        <v>0</v>
      </c>
      <c r="AC122" s="93">
        <f t="shared" si="128"/>
        <v>0</v>
      </c>
      <c r="AD122" s="93">
        <f t="shared" si="128"/>
        <v>0</v>
      </c>
      <c r="AE122" s="93">
        <f t="shared" si="128"/>
        <v>0</v>
      </c>
      <c r="AF122" s="93">
        <f t="shared" si="128"/>
        <v>0</v>
      </c>
      <c r="AG122" s="93">
        <f t="shared" si="128"/>
        <v>0</v>
      </c>
      <c r="AH122" s="93">
        <f t="shared" ref="AH122:BJ122" si="129">SUM(AH107:AH121)</f>
        <v>0</v>
      </c>
      <c r="AI122" s="93">
        <f t="shared" si="129"/>
        <v>0</v>
      </c>
      <c r="AJ122" s="93">
        <f t="shared" si="129"/>
        <v>0</v>
      </c>
      <c r="AK122" s="93">
        <f t="shared" si="129"/>
        <v>0</v>
      </c>
      <c r="AL122" s="93">
        <f t="shared" si="129"/>
        <v>0</v>
      </c>
      <c r="AM122" s="93">
        <f t="shared" si="129"/>
        <v>0</v>
      </c>
      <c r="AN122" s="93">
        <f t="shared" si="129"/>
        <v>0</v>
      </c>
      <c r="AO122" s="93">
        <f t="shared" si="129"/>
        <v>-0.16741917745847118</v>
      </c>
      <c r="AP122" s="93">
        <f t="shared" si="129"/>
        <v>-0.33483835491694236</v>
      </c>
      <c r="AQ122" s="93">
        <f t="shared" si="129"/>
        <v>-0.42389095782860331</v>
      </c>
      <c r="AR122" s="93">
        <f t="shared" si="129"/>
        <v>-0.51294356074026426</v>
      </c>
      <c r="AS122" s="93">
        <f t="shared" si="129"/>
        <v>-0.60199616365192521</v>
      </c>
      <c r="AT122" s="93">
        <f t="shared" si="129"/>
        <v>-0.92851767057826029</v>
      </c>
      <c r="AU122" s="93">
        <f t="shared" si="129"/>
        <v>-1.2550391775045955</v>
      </c>
      <c r="AV122" s="93">
        <f t="shared" si="129"/>
        <v>-1.8676757167514175</v>
      </c>
      <c r="AW122" s="93">
        <f t="shared" si="129"/>
        <v>-2.48031225599824</v>
      </c>
      <c r="AX122" s="93">
        <f t="shared" si="129"/>
        <v>-3.0929487952450625</v>
      </c>
      <c r="AY122" s="93">
        <f t="shared" si="129"/>
        <v>-4.2544492061293298</v>
      </c>
      <c r="AZ122" s="93">
        <f t="shared" si="129"/>
        <v>-5.4159496170135979</v>
      </c>
      <c r="BA122" s="93">
        <f t="shared" si="129"/>
        <v>-5.9210761844991051</v>
      </c>
      <c r="BB122" s="93">
        <f t="shared" si="129"/>
        <v>-6.4262027519846123</v>
      </c>
      <c r="BC122" s="93">
        <f t="shared" si="129"/>
        <v>-6.9313293194701195</v>
      </c>
      <c r="BD122" s="93">
        <f t="shared" si="129"/>
        <v>-7.4364558869556259</v>
      </c>
      <c r="BE122" s="93">
        <f t="shared" si="129"/>
        <v>-7.9415824544411331</v>
      </c>
      <c r="BF122" s="93">
        <f t="shared" si="129"/>
        <v>-7.8742764470051494</v>
      </c>
      <c r="BG122" s="93">
        <f t="shared" si="129"/>
        <v>-7.8069704395691666</v>
      </c>
      <c r="BH122" s="93">
        <f t="shared" si="129"/>
        <v>-7.7396644321331838</v>
      </c>
      <c r="BI122" s="93">
        <f t="shared" si="129"/>
        <v>-7.6723584246971992</v>
      </c>
      <c r="BJ122" s="93">
        <f t="shared" si="129"/>
        <v>-7.6050524172612155</v>
      </c>
    </row>
    <row r="123" spans="1:62">
      <c r="A123" s="307"/>
      <c r="B123" s="308"/>
      <c r="C123" s="308"/>
      <c r="D123" s="308"/>
      <c r="E123" s="308"/>
      <c r="F123" s="308"/>
      <c r="G123" s="308"/>
      <c r="H123" s="308"/>
      <c r="I123" s="308"/>
      <c r="J123" s="308"/>
      <c r="K123" s="308"/>
      <c r="L123" s="308"/>
      <c r="M123" s="308"/>
      <c r="N123" s="308"/>
      <c r="O123" s="308"/>
      <c r="P123" s="308"/>
      <c r="Q123" s="308"/>
      <c r="R123" s="308"/>
      <c r="S123" s="308"/>
      <c r="T123" s="308"/>
      <c r="U123" s="308"/>
      <c r="V123" s="308"/>
      <c r="W123" s="308"/>
      <c r="X123" s="308"/>
      <c r="Y123" s="308"/>
      <c r="Z123" s="308"/>
      <c r="AA123" s="308"/>
      <c r="AB123" s="308"/>
      <c r="AC123" s="308"/>
      <c r="AD123" s="308"/>
      <c r="AE123" s="308"/>
      <c r="AF123" s="308"/>
      <c r="AG123" s="308"/>
      <c r="AH123" s="308"/>
      <c r="AI123" s="308"/>
      <c r="AJ123" s="308"/>
      <c r="AK123" s="309"/>
      <c r="AL123" s="309"/>
      <c r="AM123" s="309"/>
      <c r="AN123" s="309"/>
      <c r="AO123" s="309"/>
      <c r="AP123" s="309"/>
      <c r="AQ123" s="309"/>
      <c r="AR123" s="309"/>
      <c r="AS123" s="309"/>
      <c r="AT123" s="309"/>
      <c r="AU123" s="309"/>
      <c r="AV123" s="309"/>
      <c r="AW123" s="309"/>
      <c r="AX123" s="309"/>
      <c r="AY123" s="309"/>
      <c r="AZ123" s="309"/>
      <c r="BA123" s="309"/>
      <c r="BB123" s="309"/>
      <c r="BC123" s="309"/>
      <c r="BD123" s="309"/>
      <c r="BE123" s="309"/>
      <c r="BF123" s="309"/>
      <c r="BG123" s="309"/>
      <c r="BH123" s="309"/>
      <c r="BI123" s="309"/>
      <c r="BJ123" s="309"/>
    </row>
    <row r="124" spans="1:62" ht="15">
      <c r="A124" s="94"/>
      <c r="B124" s="87"/>
      <c r="C124" s="87"/>
      <c r="D124" s="87"/>
      <c r="E124" s="87"/>
      <c r="F124" s="87"/>
      <c r="G124" s="87"/>
      <c r="H124" s="87"/>
      <c r="I124" s="87"/>
      <c r="J124" s="87"/>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row>
    <row r="125" spans="1:62">
      <c r="A125" s="95" t="s">
        <v>266</v>
      </c>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6"/>
      <c r="AF125" s="96"/>
      <c r="AG125" s="96"/>
      <c r="AH125" s="96"/>
      <c r="AI125" s="96"/>
      <c r="AJ125" s="96"/>
      <c r="AK125" s="494" t="s">
        <v>262</v>
      </c>
      <c r="AL125" s="494"/>
      <c r="AM125" s="494"/>
      <c r="AN125" s="494"/>
      <c r="AO125" s="494"/>
      <c r="AP125" s="494"/>
      <c r="AQ125" s="494"/>
      <c r="AR125" s="494"/>
      <c r="AS125" s="494"/>
      <c r="AT125" s="494"/>
      <c r="AU125" s="494"/>
      <c r="AV125" s="494"/>
      <c r="AW125" s="494"/>
      <c r="AX125" s="494"/>
      <c r="AY125" s="494"/>
      <c r="AZ125" s="494"/>
      <c r="BA125" s="494"/>
      <c r="BB125" s="494"/>
      <c r="BC125" s="494"/>
      <c r="BD125" s="494"/>
      <c r="BE125" s="494"/>
      <c r="BF125" s="494"/>
      <c r="BG125" s="494"/>
      <c r="BH125" s="494"/>
      <c r="BI125" s="494"/>
      <c r="BJ125" s="494"/>
    </row>
    <row r="126" spans="1:62" ht="26.4">
      <c r="A126" s="380" t="s">
        <v>263</v>
      </c>
      <c r="B126" s="67">
        <v>1990</v>
      </c>
      <c r="C126" s="67">
        <v>1991</v>
      </c>
      <c r="D126" s="67">
        <v>1992</v>
      </c>
      <c r="E126" s="67">
        <v>1993</v>
      </c>
      <c r="F126" s="67">
        <v>1994</v>
      </c>
      <c r="G126" s="67">
        <v>1995</v>
      </c>
      <c r="H126" s="67">
        <v>1996</v>
      </c>
      <c r="I126" s="67">
        <v>1997</v>
      </c>
      <c r="J126" s="67">
        <v>1998</v>
      </c>
      <c r="K126" s="67">
        <v>1999</v>
      </c>
      <c r="L126" s="67">
        <v>2000</v>
      </c>
      <c r="M126" s="67">
        <v>2001</v>
      </c>
      <c r="N126" s="67">
        <v>2002</v>
      </c>
      <c r="O126" s="67">
        <v>2003</v>
      </c>
      <c r="P126" s="67">
        <v>2004</v>
      </c>
      <c r="Q126" s="67">
        <v>2005</v>
      </c>
      <c r="R126" s="67">
        <v>2006</v>
      </c>
      <c r="S126" s="67">
        <v>2007</v>
      </c>
      <c r="T126" s="67">
        <v>2008</v>
      </c>
      <c r="U126" s="67">
        <v>2009</v>
      </c>
      <c r="V126" s="67">
        <v>2010</v>
      </c>
      <c r="W126" s="67">
        <v>2011</v>
      </c>
      <c r="X126" s="67">
        <v>2012</v>
      </c>
      <c r="Y126" s="67">
        <v>2013</v>
      </c>
      <c r="Z126" s="67">
        <v>2014</v>
      </c>
      <c r="AA126" s="67">
        <v>2015</v>
      </c>
      <c r="AB126" s="67">
        <v>2016</v>
      </c>
      <c r="AC126" s="67">
        <v>2017</v>
      </c>
      <c r="AD126" s="67">
        <v>2018</v>
      </c>
      <c r="AE126" s="67">
        <v>2019</v>
      </c>
      <c r="AF126" s="68">
        <v>2020</v>
      </c>
      <c r="AG126" s="68">
        <v>2021</v>
      </c>
      <c r="AH126" s="68">
        <v>2022</v>
      </c>
      <c r="AI126" s="67">
        <v>2023</v>
      </c>
      <c r="AJ126" s="67">
        <v>2024</v>
      </c>
      <c r="AK126" s="67">
        <v>2025</v>
      </c>
      <c r="AL126" s="67">
        <v>2026</v>
      </c>
      <c r="AM126" s="142">
        <v>2027</v>
      </c>
      <c r="AN126" s="67">
        <v>2028</v>
      </c>
      <c r="AO126" s="142">
        <v>2029</v>
      </c>
      <c r="AP126" s="67">
        <v>2030</v>
      </c>
      <c r="AQ126" s="142">
        <v>2031</v>
      </c>
      <c r="AR126" s="142">
        <v>2032</v>
      </c>
      <c r="AS126" s="67">
        <v>2033</v>
      </c>
      <c r="AT126" s="142">
        <v>2034</v>
      </c>
      <c r="AU126" s="67">
        <v>2035</v>
      </c>
      <c r="AV126" s="142">
        <v>2036</v>
      </c>
      <c r="AW126" s="142">
        <v>2037</v>
      </c>
      <c r="AX126" s="67">
        <v>2038</v>
      </c>
      <c r="AY126" s="142">
        <v>2039</v>
      </c>
      <c r="AZ126" s="67">
        <v>2040</v>
      </c>
      <c r="BA126" s="142">
        <v>2041</v>
      </c>
      <c r="BB126" s="142">
        <v>2042</v>
      </c>
      <c r="BC126" s="142">
        <v>2043</v>
      </c>
      <c r="BD126" s="142">
        <v>2044</v>
      </c>
      <c r="BE126" s="67">
        <v>2045</v>
      </c>
      <c r="BF126" s="142">
        <v>2046</v>
      </c>
      <c r="BG126" s="142">
        <v>2047</v>
      </c>
      <c r="BH126" s="142">
        <v>2048</v>
      </c>
      <c r="BI126" s="142">
        <v>2049</v>
      </c>
      <c r="BJ126" s="67">
        <v>2050</v>
      </c>
    </row>
    <row r="127" spans="1:62">
      <c r="A127" s="91" t="s">
        <v>67</v>
      </c>
      <c r="B127" s="83">
        <v>12.45692471905282</v>
      </c>
      <c r="C127" s="83">
        <v>13.111975772654409</v>
      </c>
      <c r="D127" s="83">
        <v>13.836384415610794</v>
      </c>
      <c r="E127" s="83">
        <v>14.582164258374981</v>
      </c>
      <c r="F127" s="83">
        <v>14.856421059577555</v>
      </c>
      <c r="G127" s="83">
        <v>15.065690276430178</v>
      </c>
      <c r="H127" s="83">
        <v>15.18295093048242</v>
      </c>
      <c r="I127" s="83">
        <v>15.350935674145498</v>
      </c>
      <c r="J127" s="83">
        <v>15.863062580199847</v>
      </c>
      <c r="K127" s="83">
        <v>16.108175084280173</v>
      </c>
      <c r="L127" s="83">
        <v>16.384400612744933</v>
      </c>
      <c r="M127" s="83">
        <v>16.672273572260128</v>
      </c>
      <c r="N127" s="83">
        <v>16.943474506584053</v>
      </c>
      <c r="O127" s="83">
        <v>17.081304952752944</v>
      </c>
      <c r="P127" s="83">
        <v>17.027097636861658</v>
      </c>
      <c r="Q127" s="83">
        <v>16.811700855832633</v>
      </c>
      <c r="R127" s="83">
        <v>16.702647339199991</v>
      </c>
      <c r="S127" s="83">
        <v>16.72848510515486</v>
      </c>
      <c r="T127" s="83">
        <v>16.706432415274328</v>
      </c>
      <c r="U127" s="83">
        <v>16.085146804066785</v>
      </c>
      <c r="V127" s="83">
        <v>16.004810212111781</v>
      </c>
      <c r="W127" s="83">
        <v>14.879058185958618</v>
      </c>
      <c r="X127" s="83">
        <v>14.521757113166837</v>
      </c>
      <c r="Y127" s="83">
        <v>12.75651132383034</v>
      </c>
      <c r="Z127" s="83">
        <v>11.737648815405933</v>
      </c>
      <c r="AA127" s="83">
        <v>10.88946893232785</v>
      </c>
      <c r="AB127" s="83">
        <v>10.959810503948592</v>
      </c>
      <c r="AC127" s="83">
        <v>11.025877990806496</v>
      </c>
      <c r="AD127" s="83">
        <v>10.743878886998825</v>
      </c>
      <c r="AE127" s="83">
        <v>11.66704997608382</v>
      </c>
      <c r="AF127" s="83">
        <v>11.668894342649772</v>
      </c>
      <c r="AG127" s="83">
        <v>11.142713503165895</v>
      </c>
      <c r="AH127" s="83">
        <v>11.462124973225238</v>
      </c>
      <c r="AI127" s="244">
        <v>11.667753571855956</v>
      </c>
      <c r="AJ127" s="244">
        <v>11.425206643883117</v>
      </c>
      <c r="AK127" s="244">
        <v>11.425206643883117</v>
      </c>
      <c r="AL127" s="244">
        <v>10.937633226374937</v>
      </c>
      <c r="AM127" s="382">
        <f t="shared" ref="AM127:AM130" si="130">(AL127+AN127)/2</f>
        <v>9.7856093757285105</v>
      </c>
      <c r="AN127" s="244">
        <v>8.6335855250820845</v>
      </c>
      <c r="AO127" s="244">
        <f>AN127+(AP127-AN127)/2</f>
        <v>8.1127247911971239</v>
      </c>
      <c r="AP127" s="244">
        <v>7.5918640573121614</v>
      </c>
      <c r="AQ127" s="297">
        <f>AP127+(AS127-AP127)/3</f>
        <v>7.2335365713013502</v>
      </c>
      <c r="AR127" s="297">
        <f>AP127+(AS127-AP127)*2/3</f>
        <v>6.8752090852905381</v>
      </c>
      <c r="AS127" s="297">
        <v>6.5168815992797269</v>
      </c>
      <c r="AT127" s="297">
        <f>AS127+(AU127-AS127)/2</f>
        <v>6.2070363718152937</v>
      </c>
      <c r="AU127" s="297">
        <v>5.8971911443508596</v>
      </c>
      <c r="AV127" s="297">
        <f>AU127+(AX127-AU127)/3</f>
        <v>5.6253224418166887</v>
      </c>
      <c r="AW127" s="297">
        <f>AU127+(AX127-AU127)*2/3</f>
        <v>5.3534537392825179</v>
      </c>
      <c r="AX127" s="297">
        <v>5.0815850367483471</v>
      </c>
      <c r="AY127" s="297">
        <f>AX127+(AZ127-AX127)/2</f>
        <v>4.8415073942354692</v>
      </c>
      <c r="AZ127" s="297">
        <v>4.6014297517225904</v>
      </c>
      <c r="BA127" s="297">
        <f>AZ127+(BE127-AZ127)*1/5</f>
        <v>4.4062257194685008</v>
      </c>
      <c r="BB127" s="297">
        <f>AZ127+(BE127-AZ127)*2/5</f>
        <v>4.2110216872144122</v>
      </c>
      <c r="BC127" s="297">
        <f>AZ127+(BE127-AZ127)*3/5</f>
        <v>4.0158176549603226</v>
      </c>
      <c r="BD127" s="297">
        <f>AZ127+(BE127-AZ127)*4/5</f>
        <v>3.8206136227062335</v>
      </c>
      <c r="BE127" s="297">
        <v>3.6254095904521444</v>
      </c>
      <c r="BF127" s="297">
        <f>BE127+(BJ127-BE127)*1/5</f>
        <v>3.4836397939971215</v>
      </c>
      <c r="BG127" s="297">
        <f>BE127+(BJ127-BE127)*2/5</f>
        <v>3.3418699975420987</v>
      </c>
      <c r="BH127" s="297">
        <f>BE127+(BJ127-BE127)*3/5</f>
        <v>3.2001002010870758</v>
      </c>
      <c r="BI127" s="297">
        <f>BE127+(BJ127-BE127)*4/5</f>
        <v>3.058330404632053</v>
      </c>
      <c r="BJ127" s="297">
        <v>2.9165606081770301</v>
      </c>
    </row>
    <row r="128" spans="1:62">
      <c r="A128" s="91" t="s">
        <v>68</v>
      </c>
      <c r="B128" s="83">
        <v>1.9775403819339299</v>
      </c>
      <c r="C128" s="83">
        <v>1.9802016068182728</v>
      </c>
      <c r="D128" s="83">
        <v>2.0220467494332839</v>
      </c>
      <c r="E128" s="83">
        <v>2.0163917562178044</v>
      </c>
      <c r="F128" s="83">
        <v>2.0587628483760785</v>
      </c>
      <c r="G128" s="83">
        <v>2.0062140729663951</v>
      </c>
      <c r="H128" s="83">
        <v>1.8719003180249902</v>
      </c>
      <c r="I128" s="83">
        <v>1.6486707140217942</v>
      </c>
      <c r="J128" s="83">
        <v>1.5055015543530177</v>
      </c>
      <c r="K128" s="83">
        <v>1.3954788868910533</v>
      </c>
      <c r="L128" s="83">
        <v>1.4642131006389443</v>
      </c>
      <c r="M128" s="83">
        <v>1.3895077863153564</v>
      </c>
      <c r="N128" s="83">
        <v>1.3767904352326397</v>
      </c>
      <c r="O128" s="83">
        <v>1.3925074962993698</v>
      </c>
      <c r="P128" s="83">
        <v>1.3080959774217042</v>
      </c>
      <c r="Q128" s="83">
        <v>1.3725501618295382</v>
      </c>
      <c r="R128" s="83">
        <v>1.4370630714416341</v>
      </c>
      <c r="S128" s="83">
        <v>1.339482121051913</v>
      </c>
      <c r="T128" s="83">
        <v>1.3601799796729293</v>
      </c>
      <c r="U128" s="83">
        <v>1.3502046860005665</v>
      </c>
      <c r="V128" s="83">
        <v>1.4160954027856714</v>
      </c>
      <c r="W128" s="83">
        <v>1.4632984770816782</v>
      </c>
      <c r="X128" s="83">
        <v>1.3865087412661452</v>
      </c>
      <c r="Y128" s="83">
        <v>1.3528046240544898</v>
      </c>
      <c r="Z128" s="83">
        <v>1.5856239103780418</v>
      </c>
      <c r="AA128" s="83">
        <v>1.3661554669198428</v>
      </c>
      <c r="AB128" s="83">
        <v>1.3445809672596689</v>
      </c>
      <c r="AC128" s="83">
        <v>1.2808148022221253</v>
      </c>
      <c r="AD128" s="83">
        <v>1.2239310352000519</v>
      </c>
      <c r="AE128" s="83">
        <v>1.5807977847910375</v>
      </c>
      <c r="AF128" s="83">
        <v>1.5582410270835381</v>
      </c>
      <c r="AG128" s="83">
        <v>1.6283872977744802</v>
      </c>
      <c r="AH128" s="83">
        <v>1.4307438724195438</v>
      </c>
      <c r="AI128" s="244">
        <v>1.1725371645795153</v>
      </c>
      <c r="AJ128" s="244">
        <v>1.0819782636555448</v>
      </c>
      <c r="AK128" s="244">
        <v>1.0819782636555448</v>
      </c>
      <c r="AL128" s="244">
        <v>1.117038311984929</v>
      </c>
      <c r="AM128" s="382">
        <f t="shared" si="130"/>
        <v>1.3213388889259394</v>
      </c>
      <c r="AN128" s="244">
        <v>1.5256394658669497</v>
      </c>
      <c r="AO128" s="244">
        <f>AN128+(AP128-AN128)/2</f>
        <v>1.5258852742481965</v>
      </c>
      <c r="AP128" s="244">
        <v>1.5261310826294434</v>
      </c>
      <c r="AQ128" s="297">
        <f>AP128+(AS128-AP128)/3</f>
        <v>1.5356753163682912</v>
      </c>
      <c r="AR128" s="297">
        <f>AP128+(AS128-AP128)*2/3</f>
        <v>1.5452195501071391</v>
      </c>
      <c r="AS128" s="297">
        <v>1.5547637838459869</v>
      </c>
      <c r="AT128" s="297">
        <f>AS128+(AU128-AS128)/2</f>
        <v>1.5643025882506869</v>
      </c>
      <c r="AU128" s="297">
        <v>1.5738413926553871</v>
      </c>
      <c r="AV128" s="297">
        <f>AU128+(AX128-AU128)/3</f>
        <v>1.5833243801360899</v>
      </c>
      <c r="AW128" s="297">
        <f>AU128+(AX128-AU128)*2/3</f>
        <v>1.5928073676167929</v>
      </c>
      <c r="AX128" s="297">
        <v>1.6022903550974956</v>
      </c>
      <c r="AY128" s="297">
        <f>AX128+(AZ128-AX128)/2</f>
        <v>1.6117489105745344</v>
      </c>
      <c r="AZ128" s="297">
        <v>1.6212074660515734</v>
      </c>
      <c r="BA128" s="297">
        <f>AZ128+(BE128-AZ128)*1/5</f>
        <v>1.6335591199582147</v>
      </c>
      <c r="BB128" s="297">
        <f>AZ128+(BE128-AZ128)*2/5</f>
        <v>1.645910773864856</v>
      </c>
      <c r="BC128" s="297">
        <f>AZ128+(BE128-AZ128)*3/5</f>
        <v>1.6582624277714975</v>
      </c>
      <c r="BD128" s="297">
        <f>AZ128+(BE128-AZ128)*4/5</f>
        <v>1.6706140816781387</v>
      </c>
      <c r="BE128" s="297">
        <v>1.68296573558478</v>
      </c>
      <c r="BF128" s="297">
        <f>BE128+(BJ128-BE128)*1/5</f>
        <v>1.692843060238304</v>
      </c>
      <c r="BG128" s="297">
        <f>BE128+(BJ128-BE128)*2/5</f>
        <v>1.702720384891828</v>
      </c>
      <c r="BH128" s="297">
        <f>BE128+(BJ128-BE128)*3/5</f>
        <v>1.7125977095453517</v>
      </c>
      <c r="BI128" s="297">
        <f>BE128+(BJ128-BE128)*4/5</f>
        <v>1.7224750341988757</v>
      </c>
      <c r="BJ128" s="297">
        <v>1.7323523588523997</v>
      </c>
    </row>
    <row r="129" spans="1:62">
      <c r="A129" s="91" t="s">
        <v>69</v>
      </c>
      <c r="B129" s="83">
        <v>0.13923341431745068</v>
      </c>
      <c r="C129" s="83">
        <v>0.14302834560279973</v>
      </c>
      <c r="D129" s="83">
        <v>0.14691188895345308</v>
      </c>
      <c r="E129" s="83">
        <v>0.15088628707034871</v>
      </c>
      <c r="F129" s="83">
        <v>0.17100388517915702</v>
      </c>
      <c r="G129" s="83">
        <v>0.19131277484210629</v>
      </c>
      <c r="H129" s="83">
        <v>0.21468383782551101</v>
      </c>
      <c r="I129" s="83">
        <v>0.22089413637360616</v>
      </c>
      <c r="J129" s="83">
        <v>0.25019112928989162</v>
      </c>
      <c r="K129" s="83">
        <v>0.33855722846015895</v>
      </c>
      <c r="L129" s="83">
        <v>0.37676268714755462</v>
      </c>
      <c r="M129" s="83">
        <v>0.39543516658595179</v>
      </c>
      <c r="N129" s="83">
        <v>0.41430729126703769</v>
      </c>
      <c r="O129" s="83">
        <v>0.44607507385459694</v>
      </c>
      <c r="P129" s="83">
        <v>0.47842480490530465</v>
      </c>
      <c r="Q129" s="83">
        <v>0.50534979388942081</v>
      </c>
      <c r="R129" s="83">
        <v>0.53089791096514571</v>
      </c>
      <c r="S129" s="83">
        <v>0.54395607046898864</v>
      </c>
      <c r="T129" s="83">
        <v>0.55648405354580122</v>
      </c>
      <c r="U129" s="83">
        <v>0.57805075809949169</v>
      </c>
      <c r="V129" s="83">
        <v>0.59679476496134209</v>
      </c>
      <c r="W129" s="83">
        <v>0.7182714194372557</v>
      </c>
      <c r="X129" s="83">
        <v>0.83988969828845539</v>
      </c>
      <c r="Y129" s="83">
        <v>0.87734631036099564</v>
      </c>
      <c r="Z129" s="83">
        <v>0.91494020800457543</v>
      </c>
      <c r="AA129" s="83">
        <v>0.93193025711377042</v>
      </c>
      <c r="AB129" s="83">
        <v>0.9488387467318431</v>
      </c>
      <c r="AC129" s="83">
        <v>0.98387316017384752</v>
      </c>
      <c r="AD129" s="83">
        <v>1.0164197069954353</v>
      </c>
      <c r="AE129" s="83">
        <v>0.9786578402816638</v>
      </c>
      <c r="AF129" s="83">
        <v>0.93301887690122698</v>
      </c>
      <c r="AG129" s="83">
        <v>0.85773702138813701</v>
      </c>
      <c r="AH129" s="83">
        <v>0.76526631257305422</v>
      </c>
      <c r="AI129" s="244">
        <v>0.76526592991872544</v>
      </c>
      <c r="AJ129" s="244">
        <v>0.76527285360334285</v>
      </c>
      <c r="AK129" s="244">
        <v>0.76527285360334285</v>
      </c>
      <c r="AL129" s="244">
        <v>0.78414887069463035</v>
      </c>
      <c r="AM129" s="382">
        <f t="shared" si="130"/>
        <v>0.83558641229061981</v>
      </c>
      <c r="AN129" s="244">
        <v>0.88702395388660926</v>
      </c>
      <c r="AO129" s="244">
        <f>AN129+(AP129-AN129)/2</f>
        <v>0.90726844650745142</v>
      </c>
      <c r="AP129" s="244">
        <v>0.92751293912829347</v>
      </c>
      <c r="AQ129" s="297">
        <f>AP129+(AS129-AP129)/3</f>
        <v>0.93166068317898287</v>
      </c>
      <c r="AR129" s="297">
        <f>AP129+(AS129-AP129)*2/3</f>
        <v>0.93580842722967239</v>
      </c>
      <c r="AS129" s="297">
        <v>0.9399561712803618</v>
      </c>
      <c r="AT129" s="297">
        <f>AS129+(AU129-AS129)/2</f>
        <v>0.94411056446350705</v>
      </c>
      <c r="AU129" s="297">
        <v>0.9482649576466522</v>
      </c>
      <c r="AV129" s="297">
        <f>AU129+(AX129-AU129)/3</f>
        <v>0.95241615603237451</v>
      </c>
      <c r="AW129" s="297">
        <f>AU129+(AX129-AU129)*2/3</f>
        <v>0.95656735441809682</v>
      </c>
      <c r="AX129" s="297">
        <v>0.96071855280381913</v>
      </c>
      <c r="AY129" s="297">
        <f>AX129+(AZ129-AX129)/2</f>
        <v>0.96486916519554033</v>
      </c>
      <c r="AZ129" s="297">
        <v>0.96901977758726154</v>
      </c>
      <c r="BA129" s="297">
        <f>AZ129+(BE129-AZ129)*1/5</f>
        <v>0.97208866869745214</v>
      </c>
      <c r="BB129" s="297">
        <f>AZ129+(BE129-AZ129)*2/5</f>
        <v>0.97515755980764285</v>
      </c>
      <c r="BC129" s="297">
        <f>AZ129+(BE129-AZ129)*3/5</f>
        <v>0.97822645091783345</v>
      </c>
      <c r="BD129" s="297">
        <f>AZ129+(BE129-AZ129)*4/5</f>
        <v>0.98129534202802415</v>
      </c>
      <c r="BE129" s="297">
        <v>0.98436423313821475</v>
      </c>
      <c r="BF129" s="297">
        <f>BE129+(BJ129-BE129)*1/5</f>
        <v>0.98742858729869676</v>
      </c>
      <c r="BG129" s="297">
        <f>BE129+(BJ129-BE129)*2/5</f>
        <v>0.99049294145917888</v>
      </c>
      <c r="BH129" s="297">
        <f>BE129+(BJ129-BE129)*3/5</f>
        <v>0.99355729561966089</v>
      </c>
      <c r="BI129" s="297">
        <f>BE129+(BJ129-BE129)*4/5</f>
        <v>0.996621649780143</v>
      </c>
      <c r="BJ129" s="297">
        <v>0.99968600394062501</v>
      </c>
    </row>
    <row r="130" spans="1:62">
      <c r="A130" s="91" t="s">
        <v>70</v>
      </c>
      <c r="B130" s="83">
        <v>2.0972866264277057</v>
      </c>
      <c r="C130" s="83">
        <v>2.1523431195527758</v>
      </c>
      <c r="D130" s="83">
        <v>2.1059293466306421</v>
      </c>
      <c r="E130" s="83">
        <v>2.0893960973079349</v>
      </c>
      <c r="F130" s="83">
        <v>2.069686547561715</v>
      </c>
      <c r="G130" s="83">
        <v>2.1087767898252809</v>
      </c>
      <c r="H130" s="83">
        <v>2.0992356643647874</v>
      </c>
      <c r="I130" s="83">
        <v>2.1010452440194007</v>
      </c>
      <c r="J130" s="83">
        <v>2.1133253334931252</v>
      </c>
      <c r="K130" s="83">
        <v>2.1290455470816214</v>
      </c>
      <c r="L130" s="83">
        <v>2.1514832085028517</v>
      </c>
      <c r="M130" s="83">
        <v>2.1608302872197225</v>
      </c>
      <c r="N130" s="83">
        <v>2.1584179777234018</v>
      </c>
      <c r="O130" s="83">
        <v>2.1540423278652741</v>
      </c>
      <c r="P130" s="83">
        <v>2.144532009826849</v>
      </c>
      <c r="Q130" s="83">
        <v>2.1051144687582388</v>
      </c>
      <c r="R130" s="83">
        <v>2.0762774888727207</v>
      </c>
      <c r="S130" s="83">
        <v>2.0187953203232318</v>
      </c>
      <c r="T130" s="83">
        <v>2.0883835813156382</v>
      </c>
      <c r="U130" s="83">
        <v>2.1587821996132579</v>
      </c>
      <c r="V130" s="83">
        <v>2.238667690851321</v>
      </c>
      <c r="W130" s="83">
        <v>2.1828204275519765</v>
      </c>
      <c r="X130" s="83">
        <v>2.1245382322771587</v>
      </c>
      <c r="Y130" s="83">
        <v>2.0570752561705392</v>
      </c>
      <c r="Z130" s="83">
        <v>2.0451573246353481</v>
      </c>
      <c r="AA130" s="83">
        <v>2.0343505734875396</v>
      </c>
      <c r="AB130" s="83">
        <v>2.0096101064578327</v>
      </c>
      <c r="AC130" s="83">
        <v>2.0183811116180381</v>
      </c>
      <c r="AD130" s="83">
        <v>2.0420686300161641</v>
      </c>
      <c r="AE130" s="83">
        <v>2.0467262881252291</v>
      </c>
      <c r="AF130" s="83">
        <v>2.0489966174849092</v>
      </c>
      <c r="AG130" s="83">
        <v>2.0770625042232806</v>
      </c>
      <c r="AH130" s="83">
        <v>2.0380213476722933</v>
      </c>
      <c r="AI130" s="244">
        <v>2.0323932654878689</v>
      </c>
      <c r="AJ130" s="244">
        <v>2.0227138593151719</v>
      </c>
      <c r="AK130" s="244">
        <v>2.0227138593151719</v>
      </c>
      <c r="AL130" s="244">
        <v>2.0185321738420789</v>
      </c>
      <c r="AM130" s="382">
        <f t="shared" si="130"/>
        <v>2.0136911655023049</v>
      </c>
      <c r="AN130" s="244">
        <v>2.0088501571625308</v>
      </c>
      <c r="AO130" s="244">
        <f>AN130+(AP130-AN130)/2</f>
        <v>2.0032435039445389</v>
      </c>
      <c r="AP130" s="244">
        <v>1.9976368507265467</v>
      </c>
      <c r="AQ130" s="297">
        <f>AP130+(AS130-AP130)/3</f>
        <v>1.9930243635483715</v>
      </c>
      <c r="AR130" s="297">
        <f>AP130+(AS130-AP130)*2/3</f>
        <v>1.9884118763701963</v>
      </c>
      <c r="AS130" s="297">
        <v>1.9837993891920211</v>
      </c>
      <c r="AT130" s="297">
        <f>AS130+(AU130-AS130)/2</f>
        <v>1.9819472603674817</v>
      </c>
      <c r="AU130" s="297">
        <v>1.980095131542942</v>
      </c>
      <c r="AV130" s="297">
        <f>AU130+(AX130-AU130)/3</f>
        <v>1.9812975233740189</v>
      </c>
      <c r="AW130" s="297">
        <f>AU130+(AX130-AU130)*2/3</f>
        <v>1.9824999152050959</v>
      </c>
      <c r="AX130" s="297">
        <v>1.9837023070361728</v>
      </c>
      <c r="AY130" s="297">
        <f>AX130+(AZ130-AX130)/2</f>
        <v>1.9833989628341531</v>
      </c>
      <c r="AZ130" s="297">
        <v>1.9830956186321334</v>
      </c>
      <c r="BA130" s="297">
        <f>AZ130+(BE130-AZ130)*1/5</f>
        <v>1.9764649211075207</v>
      </c>
      <c r="BB130" s="297">
        <f>AZ130+(BE130-AZ130)*2/5</f>
        <v>1.9698342235829081</v>
      </c>
      <c r="BC130" s="297">
        <f>AZ130+(BE130-AZ130)*3/5</f>
        <v>1.9632035260582956</v>
      </c>
      <c r="BD130" s="297">
        <f>AZ130+(BE130-AZ130)*4/5</f>
        <v>1.956572828533683</v>
      </c>
      <c r="BE130" s="297">
        <v>1.9499421310090703</v>
      </c>
      <c r="BF130" s="297">
        <f>BE130+(BJ130-BE130)*1/5</f>
        <v>1.9341894713309429</v>
      </c>
      <c r="BG130" s="297">
        <f>BE130+(BJ130-BE130)*2/5</f>
        <v>1.9184368116528154</v>
      </c>
      <c r="BH130" s="297">
        <f>BE130+(BJ130-BE130)*3/5</f>
        <v>1.9026841519746882</v>
      </c>
      <c r="BI130" s="297">
        <f>BE130+(BJ130-BE130)*4/5</f>
        <v>1.8869314922965608</v>
      </c>
      <c r="BJ130" s="297">
        <v>1.8711788326184333</v>
      </c>
    </row>
    <row r="131" spans="1:62">
      <c r="A131" s="97" t="s">
        <v>279</v>
      </c>
      <c r="B131" s="98">
        <v>16.670985141731904</v>
      </c>
      <c r="C131" s="98">
        <v>17.387548844628256</v>
      </c>
      <c r="D131" s="98">
        <v>18.111272400628174</v>
      </c>
      <c r="E131" s="98">
        <v>18.83883839897107</v>
      </c>
      <c r="F131" s="98">
        <v>19.155874340694506</v>
      </c>
      <c r="G131" s="98">
        <v>19.37199391406396</v>
      </c>
      <c r="H131" s="98">
        <v>19.36877075069771</v>
      </c>
      <c r="I131" s="98">
        <v>19.321545768560298</v>
      </c>
      <c r="J131" s="98">
        <v>19.732080597335884</v>
      </c>
      <c r="K131" s="98">
        <v>19.971256746713003</v>
      </c>
      <c r="L131" s="98">
        <v>20.376859609034284</v>
      </c>
      <c r="M131" s="98">
        <v>20.618046812381159</v>
      </c>
      <c r="N131" s="98">
        <v>20.892990210807131</v>
      </c>
      <c r="O131" s="98">
        <v>21.073929850772185</v>
      </c>
      <c r="P131" s="98">
        <v>20.958150429015518</v>
      </c>
      <c r="Q131" s="98">
        <v>20.794715280309831</v>
      </c>
      <c r="R131" s="98">
        <v>20.74688581047949</v>
      </c>
      <c r="S131" s="98">
        <v>20.630718616998994</v>
      </c>
      <c r="T131" s="98">
        <v>20.711480029808698</v>
      </c>
      <c r="U131" s="98">
        <v>20.172184447780097</v>
      </c>
      <c r="V131" s="98">
        <v>20.256368070710117</v>
      </c>
      <c r="W131" s="98">
        <v>19.243448510029527</v>
      </c>
      <c r="X131" s="98">
        <v>18.872693784998596</v>
      </c>
      <c r="Y131" s="98">
        <v>17.043737514416364</v>
      </c>
      <c r="Z131" s="98">
        <v>16.283370258423897</v>
      </c>
      <c r="AA131" s="98">
        <v>15.221905229849002</v>
      </c>
      <c r="AB131" s="98">
        <v>15.262840324397937</v>
      </c>
      <c r="AC131" s="98">
        <v>15.308947064820504</v>
      </c>
      <c r="AD131" s="98">
        <v>15.026298259210476</v>
      </c>
      <c r="AE131" s="98">
        <v>16.27323188928175</v>
      </c>
      <c r="AF131" s="98">
        <v>16.209150864119447</v>
      </c>
      <c r="AG131" s="98">
        <v>15.705900326551795</v>
      </c>
      <c r="AH131" s="98">
        <v>15.69615650589013</v>
      </c>
      <c r="AI131" s="98">
        <v>15.637949931842066</v>
      </c>
      <c r="AJ131" s="98">
        <v>15.295171620457175</v>
      </c>
      <c r="AK131" s="139">
        <v>15.295171620457175</v>
      </c>
      <c r="AL131" s="139">
        <v>14.857352582896576</v>
      </c>
      <c r="AM131" s="139">
        <f>SUM(AM127:AM130)</f>
        <v>13.956225842447376</v>
      </c>
      <c r="AN131" s="139">
        <v>13.055099101998175</v>
      </c>
      <c r="AO131" s="139">
        <f>SUM(AO127:AO130)</f>
        <v>12.549122015897311</v>
      </c>
      <c r="AP131" s="139">
        <v>12.043144929796446</v>
      </c>
      <c r="AQ131" s="139">
        <f>SUM(AQ127:AQ130)</f>
        <v>11.693896934396996</v>
      </c>
      <c r="AR131" s="139">
        <f>SUM(AR127:AR130)</f>
        <v>11.344648938997546</v>
      </c>
      <c r="AS131" s="139">
        <v>10.995400943598096</v>
      </c>
      <c r="AT131" s="139">
        <f>SUM(AT127:AT130)</f>
        <v>10.69739678489697</v>
      </c>
      <c r="AU131" s="139">
        <v>10.399392626195841</v>
      </c>
      <c r="AV131" s="139">
        <f>SUM(AV127:AV130)</f>
        <v>10.142360501359173</v>
      </c>
      <c r="AW131" s="139">
        <f>SUM(AW127:AW130)</f>
        <v>9.8853283765225033</v>
      </c>
      <c r="AX131" s="139">
        <v>9.6282962516858355</v>
      </c>
      <c r="AY131" s="139">
        <f>SUM(AY127:AY130)</f>
        <v>9.4015244328396967</v>
      </c>
      <c r="AZ131" s="139">
        <v>9.174752613993558</v>
      </c>
      <c r="BA131" s="139">
        <f>AZ131+(BE131-AZ131)*1/5</f>
        <v>8.988338429231689</v>
      </c>
      <c r="BB131" s="139">
        <f>AZ131+(BE131-AZ131)*2/5</f>
        <v>8.8019242444698182</v>
      </c>
      <c r="BC131" s="139">
        <f>AZ131+(BE131-AZ131)*3/5</f>
        <v>8.6155100597079493</v>
      </c>
      <c r="BD131" s="139">
        <f>AZ131+(BE131-AZ131)*4/5</f>
        <v>8.4290958749460785</v>
      </c>
      <c r="BE131" s="139">
        <v>8.2426816901842095</v>
      </c>
      <c r="BF131" s="139">
        <f>BE131+(BJ131-BE131)*1/5</f>
        <v>8.0981009128650658</v>
      </c>
      <c r="BG131" s="139">
        <f>BE131+(BJ131-BE131)*2/5</f>
        <v>7.9535201355459213</v>
      </c>
      <c r="BH131" s="139">
        <f>BE131+(BJ131-BE131)*3/5</f>
        <v>7.8089393582267768</v>
      </c>
      <c r="BI131" s="139">
        <f>BE131+(BJ131-BE131)*4/5</f>
        <v>7.6643585809076331</v>
      </c>
      <c r="BJ131" s="139">
        <v>7.5197778035884886</v>
      </c>
    </row>
    <row r="132" spans="1:62" ht="15">
      <c r="A132" s="86"/>
      <c r="B132" s="87"/>
      <c r="C132" s="87"/>
      <c r="D132" s="87"/>
      <c r="E132" s="87"/>
      <c r="F132" s="87"/>
      <c r="G132" s="87"/>
      <c r="H132" s="87"/>
      <c r="I132" s="87"/>
      <c r="J132" s="87"/>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row>
    <row r="133" spans="1:62">
      <c r="A133" s="99" t="s">
        <v>267</v>
      </c>
      <c r="B133" s="100"/>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c r="AA133" s="100"/>
      <c r="AB133" s="100"/>
      <c r="AC133" s="100"/>
      <c r="AD133" s="100"/>
      <c r="AE133" s="100"/>
      <c r="AF133" s="100"/>
      <c r="AG133" s="100"/>
      <c r="AH133" s="100"/>
      <c r="AI133" s="100"/>
      <c r="AJ133" s="100"/>
      <c r="AK133" s="493" t="s">
        <v>262</v>
      </c>
      <c r="AL133" s="493"/>
      <c r="AM133" s="493"/>
      <c r="AN133" s="493"/>
      <c r="AO133" s="493"/>
      <c r="AP133" s="493"/>
      <c r="AQ133" s="493"/>
      <c r="AR133" s="493"/>
      <c r="AS133" s="493"/>
      <c r="AT133" s="493"/>
      <c r="AU133" s="493"/>
      <c r="AV133" s="493"/>
      <c r="AW133" s="493"/>
      <c r="AX133" s="493"/>
      <c r="AY133" s="493"/>
      <c r="AZ133" s="493"/>
      <c r="BA133" s="493"/>
      <c r="BB133" s="493"/>
      <c r="BC133" s="493"/>
      <c r="BD133" s="493"/>
      <c r="BE133" s="493"/>
      <c r="BF133" s="493"/>
      <c r="BG133" s="493"/>
      <c r="BH133" s="493"/>
      <c r="BI133" s="493"/>
      <c r="BJ133" s="493"/>
    </row>
    <row r="134" spans="1:62" ht="26.4">
      <c r="A134" s="380" t="s">
        <v>263</v>
      </c>
      <c r="B134" s="67">
        <v>1990</v>
      </c>
      <c r="C134" s="67">
        <v>1991</v>
      </c>
      <c r="D134" s="67">
        <v>1992</v>
      </c>
      <c r="E134" s="67">
        <v>1993</v>
      </c>
      <c r="F134" s="67">
        <v>1994</v>
      </c>
      <c r="G134" s="67">
        <v>1995</v>
      </c>
      <c r="H134" s="67">
        <v>1996</v>
      </c>
      <c r="I134" s="67">
        <v>1997</v>
      </c>
      <c r="J134" s="67">
        <v>1998</v>
      </c>
      <c r="K134" s="67">
        <v>1999</v>
      </c>
      <c r="L134" s="67">
        <v>2000</v>
      </c>
      <c r="M134" s="67">
        <v>2001</v>
      </c>
      <c r="N134" s="67">
        <v>2002</v>
      </c>
      <c r="O134" s="67">
        <v>2003</v>
      </c>
      <c r="P134" s="67">
        <v>2004</v>
      </c>
      <c r="Q134" s="67">
        <v>2005</v>
      </c>
      <c r="R134" s="67">
        <v>2006</v>
      </c>
      <c r="S134" s="67">
        <v>2007</v>
      </c>
      <c r="T134" s="67">
        <v>2008</v>
      </c>
      <c r="U134" s="67">
        <v>2009</v>
      </c>
      <c r="V134" s="67">
        <v>2010</v>
      </c>
      <c r="W134" s="67">
        <v>2011</v>
      </c>
      <c r="X134" s="67">
        <v>2012</v>
      </c>
      <c r="Y134" s="67">
        <v>2013</v>
      </c>
      <c r="Z134" s="67">
        <v>2014</v>
      </c>
      <c r="AA134" s="67">
        <v>2015</v>
      </c>
      <c r="AB134" s="67">
        <v>2016</v>
      </c>
      <c r="AC134" s="67">
        <v>2017</v>
      </c>
      <c r="AD134" s="67">
        <v>2018</v>
      </c>
      <c r="AE134" s="67">
        <v>2019</v>
      </c>
      <c r="AF134" s="68">
        <v>2020</v>
      </c>
      <c r="AG134" s="68">
        <v>2021</v>
      </c>
      <c r="AH134" s="68">
        <v>2022</v>
      </c>
      <c r="AI134" s="67">
        <v>2023</v>
      </c>
      <c r="AJ134" s="67">
        <v>2024</v>
      </c>
      <c r="AK134" s="67">
        <v>2025</v>
      </c>
      <c r="AL134" s="67">
        <v>2026</v>
      </c>
      <c r="AM134" s="142">
        <v>2027</v>
      </c>
      <c r="AN134" s="67">
        <v>2028</v>
      </c>
      <c r="AO134" s="142">
        <v>2029</v>
      </c>
      <c r="AP134" s="67">
        <v>2030</v>
      </c>
      <c r="AQ134" s="142">
        <v>2031</v>
      </c>
      <c r="AR134" s="142">
        <v>2032</v>
      </c>
      <c r="AS134" s="67">
        <v>2033</v>
      </c>
      <c r="AT134" s="142">
        <v>2034</v>
      </c>
      <c r="AU134" s="67">
        <v>2035</v>
      </c>
      <c r="AV134" s="142">
        <v>2036</v>
      </c>
      <c r="AW134" s="142">
        <v>2037</v>
      </c>
      <c r="AX134" s="67">
        <v>2038</v>
      </c>
      <c r="AY134" s="142">
        <v>2039</v>
      </c>
      <c r="AZ134" s="67">
        <v>2040</v>
      </c>
      <c r="BA134" s="142">
        <v>2041</v>
      </c>
      <c r="BB134" s="142">
        <v>2042</v>
      </c>
      <c r="BC134" s="142">
        <v>2043</v>
      </c>
      <c r="BD134" s="142">
        <v>2044</v>
      </c>
      <c r="BE134" s="67">
        <v>2045</v>
      </c>
      <c r="BF134" s="142">
        <v>2046</v>
      </c>
      <c r="BG134" s="142">
        <v>2047</v>
      </c>
      <c r="BH134" s="142">
        <v>2048</v>
      </c>
      <c r="BI134" s="142">
        <v>2049</v>
      </c>
      <c r="BJ134" s="67">
        <v>2050</v>
      </c>
    </row>
    <row r="135" spans="1:62">
      <c r="A135" s="82" t="s">
        <v>176</v>
      </c>
      <c r="B135" s="83">
        <v>59.182049294499073</v>
      </c>
      <c r="C135" s="83">
        <v>66.832800978012116</v>
      </c>
      <c r="D135" s="83">
        <v>65.643361963431602</v>
      </c>
      <c r="E135" s="83">
        <v>63.706903867334098</v>
      </c>
      <c r="F135" s="83">
        <v>59.725250724446219</v>
      </c>
      <c r="G135" s="83">
        <v>59.318626018100417</v>
      </c>
      <c r="H135" s="83">
        <v>65.623870641106777</v>
      </c>
      <c r="I135" s="83">
        <v>61.428537744762252</v>
      </c>
      <c r="J135" s="83">
        <v>63.731119713886393</v>
      </c>
      <c r="K135" s="83">
        <v>64.632777196505728</v>
      </c>
      <c r="L135" s="83">
        <v>62.439957597502733</v>
      </c>
      <c r="M135" s="83">
        <v>66.413675734627489</v>
      </c>
      <c r="N135" s="83">
        <v>63.642016349776597</v>
      </c>
      <c r="O135" s="83">
        <v>65.006566253423657</v>
      </c>
      <c r="P135" s="83">
        <v>68.759519003387524</v>
      </c>
      <c r="Q135" s="83">
        <v>67.836824987084015</v>
      </c>
      <c r="R135" s="83">
        <v>64.977744176411321</v>
      </c>
      <c r="S135" s="83">
        <v>57.258281530166435</v>
      </c>
      <c r="T135" s="83">
        <v>62.457067198350231</v>
      </c>
      <c r="U135" s="83">
        <v>62.566080748334514</v>
      </c>
      <c r="V135" s="83">
        <v>60.679783350854244</v>
      </c>
      <c r="W135" s="83">
        <v>54.220694533492889</v>
      </c>
      <c r="X135" s="83">
        <v>59.983118237347639</v>
      </c>
      <c r="Y135" s="83">
        <v>61.319058677787339</v>
      </c>
      <c r="Z135" s="83">
        <v>46.827144154265007</v>
      </c>
      <c r="AA135" s="83">
        <v>49.651687006938502</v>
      </c>
      <c r="AB135" s="83">
        <v>51.950494966748849</v>
      </c>
      <c r="AC135" s="83">
        <v>50.807547455765281</v>
      </c>
      <c r="AD135" s="83">
        <v>47.019637998430767</v>
      </c>
      <c r="AE135" s="83">
        <v>45.560803567549399</v>
      </c>
      <c r="AF135" s="83">
        <v>44.119672115140276</v>
      </c>
      <c r="AG135" s="83">
        <v>45.349915305491074</v>
      </c>
      <c r="AH135" s="83">
        <v>36.63208979630047</v>
      </c>
      <c r="AI135" s="277">
        <v>32.860284961866199</v>
      </c>
      <c r="AJ135" s="277">
        <v>32.350357624301154</v>
      </c>
      <c r="AK135" s="277">
        <v>31.750232257949712</v>
      </c>
      <c r="AL135" s="277">
        <v>30.194597746255344</v>
      </c>
      <c r="AM135" s="382">
        <f t="shared" ref="AM135:AM140" si="131">(AL135+AN135)/2</f>
        <v>26.823381126651313</v>
      </c>
      <c r="AN135" s="277">
        <v>23.452164507047282</v>
      </c>
      <c r="AO135" s="277">
        <f>AN135+(AP135-AN135)/2</f>
        <v>21.463457044479082</v>
      </c>
      <c r="AP135" s="277">
        <v>19.474749581910881</v>
      </c>
      <c r="AQ135" s="277">
        <f>AP135+(AS135-AP135)/3</f>
        <v>17.549947147422184</v>
      </c>
      <c r="AR135" s="277">
        <f>AP135+(AS135-AP135)*2/3</f>
        <v>15.625144712933485</v>
      </c>
      <c r="AS135" s="277">
        <v>13.700342278444788</v>
      </c>
      <c r="AT135" s="277">
        <f>AS135+(AU135-AS135)/2</f>
        <v>12.341473814111676</v>
      </c>
      <c r="AU135" s="277">
        <v>10.982605349778563</v>
      </c>
      <c r="AV135" s="277">
        <f>AU135+(AX135-AU135)/3</f>
        <v>9.8772622543523774</v>
      </c>
      <c r="AW135" s="277">
        <f>AU135+(AX135-AU135)*2/3</f>
        <v>8.77191915892619</v>
      </c>
      <c r="AX135" s="277">
        <v>7.6665760635000044</v>
      </c>
      <c r="AY135" s="277">
        <f>AX135+(AZ135-AX135)/2</f>
        <v>6.6607506082611501</v>
      </c>
      <c r="AZ135" s="277">
        <v>5.6549251530222966</v>
      </c>
      <c r="BA135" s="277">
        <f t="shared" ref="BA135:BA149" si="132">AZ135+(BE135-AZ135)*1/5</f>
        <v>5.2540414100648061</v>
      </c>
      <c r="BB135" s="277">
        <f t="shared" ref="BB135:BB149" si="133">AZ135+(BE135-AZ135)*2/5</f>
        <v>4.8531576671073164</v>
      </c>
      <c r="BC135" s="277">
        <f t="shared" ref="BC135:BC149" si="134">AZ135+(BE135-AZ135)*3/5</f>
        <v>4.4522739241498268</v>
      </c>
      <c r="BD135" s="277">
        <f t="shared" ref="BD135:BD149" si="135">AZ135+(BE135-AZ135)*4/5</f>
        <v>4.0513901811923363</v>
      </c>
      <c r="BE135" s="277">
        <v>3.6505064382348462</v>
      </c>
      <c r="BF135" s="277">
        <f t="shared" ref="BF135:BF149" si="136">BE135+(BJ135-BE135)*1/5</f>
        <v>3.0555548866693956</v>
      </c>
      <c r="BG135" s="277">
        <f t="shared" ref="BG135:BG149" si="137">BE135+(BJ135-BE135)*2/5</f>
        <v>2.4606033351039454</v>
      </c>
      <c r="BH135" s="277">
        <f t="shared" ref="BH135:BH149" si="138">BE135+(BJ135-BE135)*3/5</f>
        <v>1.8656517835384943</v>
      </c>
      <c r="BI135" s="277">
        <f t="shared" ref="BI135:BI149" si="139">BE135+(BJ135-BE135)*4/5</f>
        <v>1.270700231973044</v>
      </c>
      <c r="BJ135" s="277">
        <v>0.67574868040759339</v>
      </c>
    </row>
    <row r="136" spans="1:62">
      <c r="A136" s="82" t="s">
        <v>177</v>
      </c>
      <c r="B136" s="83">
        <v>0</v>
      </c>
      <c r="C136" s="83">
        <v>0</v>
      </c>
      <c r="D136" s="83">
        <v>0</v>
      </c>
      <c r="E136" s="83">
        <v>0</v>
      </c>
      <c r="F136" s="83">
        <v>0</v>
      </c>
      <c r="G136" s="83">
        <v>2.1070731289163316E-5</v>
      </c>
      <c r="H136" s="83">
        <v>3.1656963869226638E-5</v>
      </c>
      <c r="I136" s="83">
        <v>4.2267530119230733E-5</v>
      </c>
      <c r="J136" s="83">
        <v>4.2327660113494048E-5</v>
      </c>
      <c r="K136" s="83">
        <v>3.1783339283447031E-5</v>
      </c>
      <c r="L136" s="83">
        <v>5.9450563361949894E-4</v>
      </c>
      <c r="M136" s="83">
        <v>2.1831367370658719E-3</v>
      </c>
      <c r="N136" s="83">
        <v>5.1429044954180428E-3</v>
      </c>
      <c r="O136" s="83">
        <v>4.4627359016558447E-2</v>
      </c>
      <c r="P136" s="83">
        <v>0.10722527121393549</v>
      </c>
      <c r="Q136" s="83">
        <v>0.15124173348306078</v>
      </c>
      <c r="R136" s="83">
        <v>0.20994967909872436</v>
      </c>
      <c r="S136" s="83">
        <v>0.26734383738638789</v>
      </c>
      <c r="T136" s="83">
        <v>0.30940847454947334</v>
      </c>
      <c r="U136" s="83">
        <v>0.35683002796249319</v>
      </c>
      <c r="V136" s="83">
        <v>0.39751046459092604</v>
      </c>
      <c r="W136" s="83">
        <v>0.45124608934787402</v>
      </c>
      <c r="X136" s="83">
        <v>0.50144912498449057</v>
      </c>
      <c r="Y136" s="83">
        <v>0.58280050712057685</v>
      </c>
      <c r="Z136" s="83">
        <v>0.68422947903777986</v>
      </c>
      <c r="AA136" s="83">
        <v>0.76700018597526809</v>
      </c>
      <c r="AB136" s="83">
        <v>0.82997110255305773</v>
      </c>
      <c r="AC136" s="83">
        <v>0.87453676648365208</v>
      </c>
      <c r="AD136" s="83">
        <v>0.89825527878367994</v>
      </c>
      <c r="AE136" s="83">
        <v>0.89936854052059412</v>
      </c>
      <c r="AF136" s="83">
        <v>0.88376497510177465</v>
      </c>
      <c r="AG136" s="83">
        <v>0.85996378978458121</v>
      </c>
      <c r="AH136" s="83">
        <v>0.8674439548550118</v>
      </c>
      <c r="AI136" s="277">
        <v>0.8637382600695267</v>
      </c>
      <c r="AJ136" s="277">
        <v>0.84566203812347307</v>
      </c>
      <c r="AK136" s="277">
        <v>0.82655172610237737</v>
      </c>
      <c r="AL136" s="277">
        <v>0.79913265786422372</v>
      </c>
      <c r="AM136" s="382">
        <f t="shared" si="131"/>
        <v>0.77331963829847827</v>
      </c>
      <c r="AN136" s="277">
        <v>0.74750661873273283</v>
      </c>
      <c r="AO136" s="277">
        <f t="shared" ref="AO136:AO141" si="140">AN136+(AP136-AN136)/2</f>
        <v>0.70218985523275745</v>
      </c>
      <c r="AP136" s="277">
        <v>0.65687309173278219</v>
      </c>
      <c r="AQ136" s="277">
        <f t="shared" ref="AQ136:AQ141" si="141">AP136+(AS136-AP136)/3</f>
        <v>0.61631596043341486</v>
      </c>
      <c r="AR136" s="277">
        <f t="shared" ref="AR136:AR141" si="142">AP136+(AS136-AP136)*2/3</f>
        <v>0.57575882913404752</v>
      </c>
      <c r="AS136" s="277">
        <v>0.53520169783468019</v>
      </c>
      <c r="AT136" s="277">
        <f t="shared" ref="AT136:AT141" si="143">AS136+(AU136-AS136)/2</f>
        <v>0.48736080337469245</v>
      </c>
      <c r="AU136" s="277">
        <v>0.43951990891470466</v>
      </c>
      <c r="AV136" s="277">
        <f t="shared" ref="AV136:AV141" si="144">AU136+(AX136-AU136)/3</f>
        <v>0.38537541806711256</v>
      </c>
      <c r="AW136" s="277">
        <f t="shared" ref="AW136:AW141" si="145">AU136+(AX136-AU136)*2/3</f>
        <v>0.33123092721952047</v>
      </c>
      <c r="AX136" s="277">
        <v>0.27708643637192837</v>
      </c>
      <c r="AY136" s="277">
        <f t="shared" ref="AY136:AY141" si="146">AX136+(AZ136-AX136)/2</f>
        <v>0.22819824252347487</v>
      </c>
      <c r="AZ136" s="277">
        <v>0.17931004867502137</v>
      </c>
      <c r="BA136" s="277">
        <f t="shared" si="132"/>
        <v>0.15310623439555238</v>
      </c>
      <c r="BB136" s="277">
        <f t="shared" si="133"/>
        <v>0.12690242011608338</v>
      </c>
      <c r="BC136" s="277">
        <f t="shared" si="134"/>
        <v>0.10069860583661439</v>
      </c>
      <c r="BD136" s="277">
        <f t="shared" si="135"/>
        <v>7.449479155714539E-2</v>
      </c>
      <c r="BE136" s="277">
        <v>4.8290977277676395E-2</v>
      </c>
      <c r="BF136" s="277">
        <f t="shared" si="136"/>
        <v>4.1633058787367019E-2</v>
      </c>
      <c r="BG136" s="277">
        <f t="shared" si="137"/>
        <v>3.4975140297057651E-2</v>
      </c>
      <c r="BH136" s="277">
        <f t="shared" si="138"/>
        <v>2.8317221806748276E-2</v>
      </c>
      <c r="BI136" s="277">
        <f t="shared" si="139"/>
        <v>2.1659303316438904E-2</v>
      </c>
      <c r="BJ136" s="277">
        <v>1.5001384826129534E-2</v>
      </c>
    </row>
    <row r="137" spans="1:62">
      <c r="A137" s="82" t="s">
        <v>280</v>
      </c>
      <c r="B137" s="83">
        <v>0</v>
      </c>
      <c r="C137" s="83">
        <v>0</v>
      </c>
      <c r="D137" s="83">
        <v>0</v>
      </c>
      <c r="E137" s="83">
        <v>0</v>
      </c>
      <c r="F137" s="83">
        <v>2.1874007788376898E-5</v>
      </c>
      <c r="G137" s="83">
        <v>6.2150656083059699E-5</v>
      </c>
      <c r="H137" s="83">
        <v>9.7344462012006311E-5</v>
      </c>
      <c r="I137" s="83">
        <v>1.3250576993856803E-4</v>
      </c>
      <c r="J137" s="83">
        <v>1.6568503695162901E-4</v>
      </c>
      <c r="K137" s="83">
        <v>1.9903880086502039E-4</v>
      </c>
      <c r="L137" s="83">
        <v>2.3167235770826491E-4</v>
      </c>
      <c r="M137" s="83">
        <v>2.6072159542594873E-4</v>
      </c>
      <c r="N137" s="83">
        <v>2.8488095826039773E-4</v>
      </c>
      <c r="O137" s="83">
        <v>3.1081067078149818E-4</v>
      </c>
      <c r="P137" s="83">
        <v>1.9897076517790924E-2</v>
      </c>
      <c r="Q137" s="83">
        <v>5.2373655740781587E-2</v>
      </c>
      <c r="R137" s="83">
        <v>7.0885168858676281E-2</v>
      </c>
      <c r="S137" s="83">
        <v>7.1666003188485247E-2</v>
      </c>
      <c r="T137" s="83">
        <v>8.5718632406880615E-2</v>
      </c>
      <c r="U137" s="83">
        <v>9.7179261000186978E-2</v>
      </c>
      <c r="V137" s="83">
        <v>0.14581912051382895</v>
      </c>
      <c r="W137" s="83">
        <v>0.14431080807327068</v>
      </c>
      <c r="X137" s="83">
        <v>0.15590887897078418</v>
      </c>
      <c r="Y137" s="83">
        <v>0.1504558411851214</v>
      </c>
      <c r="Z137" s="83">
        <v>0.15509586617217971</v>
      </c>
      <c r="AA137" s="83">
        <v>0.13035045271636939</v>
      </c>
      <c r="AB137" s="83">
        <v>0.13882034324354176</v>
      </c>
      <c r="AC137" s="83">
        <v>0.10138814772382801</v>
      </c>
      <c r="AD137" s="83">
        <v>8.9331337110410844E-2</v>
      </c>
      <c r="AE137" s="83">
        <v>8.971331566427046E-2</v>
      </c>
      <c r="AF137" s="83">
        <v>0.10006936685972977</v>
      </c>
      <c r="AG137" s="83">
        <v>9.1648985493540142E-2</v>
      </c>
      <c r="AH137" s="83">
        <v>8.6464692942199814E-2</v>
      </c>
      <c r="AI137" s="277">
        <v>8.1266876481162986E-2</v>
      </c>
      <c r="AJ137" s="277">
        <v>7.6562717793875842E-2</v>
      </c>
      <c r="AK137" s="277">
        <v>7.3634272465643649E-2</v>
      </c>
      <c r="AL137" s="277">
        <v>6.894190353905498E-2</v>
      </c>
      <c r="AM137" s="382">
        <f t="shared" si="131"/>
        <v>6.1303603935243839E-2</v>
      </c>
      <c r="AN137" s="277">
        <v>5.3665304331432691E-2</v>
      </c>
      <c r="AO137" s="277">
        <f t="shared" si="140"/>
        <v>4.5812531688700239E-2</v>
      </c>
      <c r="AP137" s="277">
        <v>3.7959759045967788E-2</v>
      </c>
      <c r="AQ137" s="277">
        <f t="shared" si="141"/>
        <v>2.9227781921133712E-2</v>
      </c>
      <c r="AR137" s="277">
        <f t="shared" si="142"/>
        <v>2.0495804796299633E-2</v>
      </c>
      <c r="AS137" s="277">
        <v>1.1763827671465556E-2</v>
      </c>
      <c r="AT137" s="277">
        <f t="shared" si="143"/>
        <v>7.3431813351834182E-3</v>
      </c>
      <c r="AU137" s="277">
        <v>2.9225349989012799E-3</v>
      </c>
      <c r="AV137" s="277">
        <f t="shared" si="144"/>
        <v>1.9483566659341867E-3</v>
      </c>
      <c r="AW137" s="277">
        <f t="shared" si="145"/>
        <v>9.7417833296709337E-4</v>
      </c>
      <c r="AX137" s="277">
        <v>0</v>
      </c>
      <c r="AY137" s="277">
        <f t="shared" si="146"/>
        <v>0</v>
      </c>
      <c r="AZ137" s="277">
        <v>0</v>
      </c>
      <c r="BA137" s="277">
        <f t="shared" si="132"/>
        <v>0</v>
      </c>
      <c r="BB137" s="277">
        <f t="shared" si="133"/>
        <v>0</v>
      </c>
      <c r="BC137" s="277">
        <f t="shared" si="134"/>
        <v>0</v>
      </c>
      <c r="BD137" s="277">
        <f t="shared" si="135"/>
        <v>0</v>
      </c>
      <c r="BE137" s="277">
        <v>0</v>
      </c>
      <c r="BF137" s="277">
        <f t="shared" si="136"/>
        <v>0</v>
      </c>
      <c r="BG137" s="277">
        <f t="shared" si="137"/>
        <v>0</v>
      </c>
      <c r="BH137" s="277">
        <f t="shared" si="138"/>
        <v>0</v>
      </c>
      <c r="BI137" s="277">
        <f t="shared" si="139"/>
        <v>0</v>
      </c>
      <c r="BJ137" s="277">
        <v>0</v>
      </c>
    </row>
    <row r="138" spans="1:62">
      <c r="A138" s="82" t="s">
        <v>178</v>
      </c>
      <c r="B138" s="83">
        <v>0.60679447209197213</v>
      </c>
      <c r="C138" s="83">
        <v>0.60798364612823863</v>
      </c>
      <c r="D138" s="83">
        <v>0.61224676022130708</v>
      </c>
      <c r="E138" s="83">
        <v>0.60593039209039956</v>
      </c>
      <c r="F138" s="83">
        <v>0.65191399172922382</v>
      </c>
      <c r="G138" s="83">
        <v>0.86954026798541495</v>
      </c>
      <c r="H138" s="83">
        <v>1.2500883995968115</v>
      </c>
      <c r="I138" s="83">
        <v>1.42484745858243</v>
      </c>
      <c r="J138" s="83">
        <v>1.5127974732249536</v>
      </c>
      <c r="K138" s="83">
        <v>1.4551520606964283</v>
      </c>
      <c r="L138" s="83">
        <v>1.6510690587751888</v>
      </c>
      <c r="M138" s="83">
        <v>1.6533359573229971</v>
      </c>
      <c r="N138" s="83">
        <v>1.6551971795066485</v>
      </c>
      <c r="O138" s="83">
        <v>1.7841898110876835</v>
      </c>
      <c r="P138" s="83">
        <v>1.8829131261130165</v>
      </c>
      <c r="Q138" s="83">
        <v>1.8900054742087051</v>
      </c>
      <c r="R138" s="83">
        <v>1.9263898291723538</v>
      </c>
      <c r="S138" s="83">
        <v>2.0258955547553978</v>
      </c>
      <c r="T138" s="83">
        <v>1.9512288050980056</v>
      </c>
      <c r="U138" s="83">
        <v>1.5303775882517465</v>
      </c>
      <c r="V138" s="83">
        <v>1.6102045699062737</v>
      </c>
      <c r="W138" s="83">
        <v>1.6253464324049989</v>
      </c>
      <c r="X138" s="83">
        <v>1.4801978793864401</v>
      </c>
      <c r="Y138" s="83">
        <v>1.4015130079170404</v>
      </c>
      <c r="Z138" s="83">
        <v>1.4554377719577896</v>
      </c>
      <c r="AA138" s="83">
        <v>1.4656484558661131</v>
      </c>
      <c r="AB138" s="83">
        <v>1.4891688114530779</v>
      </c>
      <c r="AC138" s="83">
        <v>1.5046015067046794</v>
      </c>
      <c r="AD138" s="83">
        <v>1.2529336090908156</v>
      </c>
      <c r="AE138" s="83">
        <v>0.94299189818923035</v>
      </c>
      <c r="AF138" s="83">
        <v>0.94916937807960688</v>
      </c>
      <c r="AG138" s="83">
        <v>0.88438045014238753</v>
      </c>
      <c r="AH138" s="83">
        <v>0.91344487083966497</v>
      </c>
      <c r="AI138" s="277">
        <v>0.92254990970297701</v>
      </c>
      <c r="AJ138" s="277">
        <v>0.96171016578389024</v>
      </c>
      <c r="AK138" s="277">
        <v>0.96392615954705818</v>
      </c>
      <c r="AL138" s="277">
        <v>0.94893330445963242</v>
      </c>
      <c r="AM138" s="382">
        <f t="shared" si="131"/>
        <v>0.89786088152931143</v>
      </c>
      <c r="AN138" s="277">
        <v>0.84678845859899032</v>
      </c>
      <c r="AO138" s="277">
        <f t="shared" si="140"/>
        <v>0.838855633069989</v>
      </c>
      <c r="AP138" s="277">
        <v>0.8309228075409878</v>
      </c>
      <c r="AQ138" s="277">
        <f t="shared" si="141"/>
        <v>0.82544299944812805</v>
      </c>
      <c r="AR138" s="277">
        <f t="shared" si="142"/>
        <v>0.81996319135526818</v>
      </c>
      <c r="AS138" s="277">
        <v>0.81448338326240843</v>
      </c>
      <c r="AT138" s="277">
        <f t="shared" si="143"/>
        <v>0.81557555531945991</v>
      </c>
      <c r="AU138" s="277">
        <v>0.8166677273765115</v>
      </c>
      <c r="AV138" s="277">
        <f t="shared" si="144"/>
        <v>0.81669844855904439</v>
      </c>
      <c r="AW138" s="277">
        <f t="shared" si="145"/>
        <v>0.81672916974157717</v>
      </c>
      <c r="AX138" s="277">
        <v>0.81675989092411005</v>
      </c>
      <c r="AY138" s="277">
        <f t="shared" si="146"/>
        <v>0.81682484144366463</v>
      </c>
      <c r="AZ138" s="277">
        <v>0.8168897919632192</v>
      </c>
      <c r="BA138" s="277">
        <f t="shared" si="132"/>
        <v>0.81676647957233162</v>
      </c>
      <c r="BB138" s="277">
        <f t="shared" si="133"/>
        <v>0.81664316718144403</v>
      </c>
      <c r="BC138" s="277">
        <f t="shared" si="134"/>
        <v>0.81651985479055644</v>
      </c>
      <c r="BD138" s="277">
        <f t="shared" si="135"/>
        <v>0.81639654239966886</v>
      </c>
      <c r="BE138" s="277">
        <v>0.81627323000878127</v>
      </c>
      <c r="BF138" s="277">
        <f t="shared" si="136"/>
        <v>0.8157940814421728</v>
      </c>
      <c r="BG138" s="277">
        <f t="shared" si="137"/>
        <v>0.81531493287556434</v>
      </c>
      <c r="BH138" s="277">
        <f t="shared" si="138"/>
        <v>0.81483578430895587</v>
      </c>
      <c r="BI138" s="277">
        <f t="shared" si="139"/>
        <v>0.8143566357423474</v>
      </c>
      <c r="BJ138" s="277">
        <v>0.81387748717573893</v>
      </c>
    </row>
    <row r="139" spans="1:62">
      <c r="A139" s="82" t="s">
        <v>281</v>
      </c>
      <c r="B139" s="83">
        <v>0.30531330264608397</v>
      </c>
      <c r="C139" s="83">
        <v>0.30621347338528948</v>
      </c>
      <c r="D139" s="83">
        <v>0.30719804464640454</v>
      </c>
      <c r="E139" s="83">
        <v>0.30778196880811531</v>
      </c>
      <c r="F139" s="83">
        <v>0.3083895841243523</v>
      </c>
      <c r="G139" s="83">
        <v>0.30911134046514771</v>
      </c>
      <c r="H139" s="83">
        <v>0.30944275586868764</v>
      </c>
      <c r="I139" s="83">
        <v>0.30971380539147469</v>
      </c>
      <c r="J139" s="83">
        <v>0.31038282130947886</v>
      </c>
      <c r="K139" s="83">
        <v>0.31171560532932946</v>
      </c>
      <c r="L139" s="83">
        <v>0.31326327503751067</v>
      </c>
      <c r="M139" s="83">
        <v>0.31442470046870463</v>
      </c>
      <c r="N139" s="83">
        <v>0.31657838489967788</v>
      </c>
      <c r="O139" s="83">
        <v>0.31889057161217826</v>
      </c>
      <c r="P139" s="83">
        <v>0.32103592218309446</v>
      </c>
      <c r="Q139" s="83">
        <v>0.32221778432908843</v>
      </c>
      <c r="R139" s="83">
        <v>0.32298224424734318</v>
      </c>
      <c r="S139" s="83">
        <v>0.32080492309514558</v>
      </c>
      <c r="T139" s="83">
        <v>0.31604031133297517</v>
      </c>
      <c r="U139" s="83">
        <v>0.31818213271255141</v>
      </c>
      <c r="V139" s="83">
        <v>0.31922627645276574</v>
      </c>
      <c r="W139" s="83">
        <v>0.32012766401058912</v>
      </c>
      <c r="X139" s="83">
        <v>0.32011183459972553</v>
      </c>
      <c r="Y139" s="83">
        <v>0.32160205197949898</v>
      </c>
      <c r="Z139" s="83">
        <v>0.32214097476746206</v>
      </c>
      <c r="AA139" s="83">
        <v>0.322672587290674</v>
      </c>
      <c r="AB139" s="83">
        <v>0.32231948920892617</v>
      </c>
      <c r="AC139" s="83">
        <v>0.32126334662386569</v>
      </c>
      <c r="AD139" s="83">
        <v>0.32129482316402502</v>
      </c>
      <c r="AE139" s="83">
        <v>0.32242739962038802</v>
      </c>
      <c r="AF139" s="83">
        <v>0.32295375218825267</v>
      </c>
      <c r="AG139" s="83">
        <v>0.32319158612401266</v>
      </c>
      <c r="AH139" s="83">
        <v>0.32348518598291837</v>
      </c>
      <c r="AI139" s="277">
        <v>0.32330218216018991</v>
      </c>
      <c r="AJ139" s="277">
        <v>0.3247878732058081</v>
      </c>
      <c r="AK139" s="277">
        <v>0.34258585361025168</v>
      </c>
      <c r="AL139" s="277">
        <v>0.30461635550251598</v>
      </c>
      <c r="AM139" s="382">
        <f t="shared" si="131"/>
        <v>0.21653171272733562</v>
      </c>
      <c r="AN139" s="277">
        <v>0.12844706995215527</v>
      </c>
      <c r="AO139" s="277">
        <f t="shared" si="140"/>
        <v>0.1052212950442071</v>
      </c>
      <c r="AP139" s="277">
        <v>8.1995520136258951E-2</v>
      </c>
      <c r="AQ139" s="277">
        <f t="shared" si="141"/>
        <v>6.5110421618385206E-2</v>
      </c>
      <c r="AR139" s="277">
        <f t="shared" si="142"/>
        <v>4.8225323100511454E-2</v>
      </c>
      <c r="AS139" s="277">
        <v>3.1340224582637702E-2</v>
      </c>
      <c r="AT139" s="277">
        <f t="shared" si="143"/>
        <v>1.8803974735496311E-2</v>
      </c>
      <c r="AU139" s="277">
        <v>6.267724888354918E-3</v>
      </c>
      <c r="AV139" s="277">
        <f t="shared" si="144"/>
        <v>5.15765948869792E-3</v>
      </c>
      <c r="AW139" s="277">
        <f t="shared" si="145"/>
        <v>4.047594089040922E-3</v>
      </c>
      <c r="AX139" s="277">
        <v>2.9375286893839237E-3</v>
      </c>
      <c r="AY139" s="277">
        <f t="shared" si="146"/>
        <v>2.3385241813817536E-3</v>
      </c>
      <c r="AZ139" s="277">
        <v>1.7395196733795833E-3</v>
      </c>
      <c r="BA139" s="277">
        <f t="shared" si="132"/>
        <v>1.4647411898842193E-3</v>
      </c>
      <c r="BB139" s="277">
        <f t="shared" si="133"/>
        <v>1.1899627063888551E-3</v>
      </c>
      <c r="BC139" s="277">
        <f t="shared" si="134"/>
        <v>9.1518422289349087E-4</v>
      </c>
      <c r="BD139" s="277">
        <f t="shared" si="135"/>
        <v>6.4040573939812685E-4</v>
      </c>
      <c r="BE139" s="277">
        <v>3.6562725590276256E-4</v>
      </c>
      <c r="BF139" s="277">
        <f t="shared" si="136"/>
        <v>2.9362435712017233E-4</v>
      </c>
      <c r="BG139" s="277">
        <f t="shared" si="137"/>
        <v>2.2162145833758205E-4</v>
      </c>
      <c r="BH139" s="277">
        <f t="shared" si="138"/>
        <v>1.4961855955499179E-4</v>
      </c>
      <c r="BI139" s="277">
        <f t="shared" si="139"/>
        <v>7.7615660772401539E-5</v>
      </c>
      <c r="BJ139" s="277">
        <v>5.6127619898112347E-6</v>
      </c>
    </row>
    <row r="140" spans="1:62">
      <c r="A140" s="82" t="s">
        <v>282</v>
      </c>
      <c r="B140" s="83">
        <v>1.4035053307837302</v>
      </c>
      <c r="C140" s="83">
        <v>1.4699908417291132</v>
      </c>
      <c r="D140" s="83">
        <v>1.5308584584331488</v>
      </c>
      <c r="E140" s="83">
        <v>1.5934151826566902</v>
      </c>
      <c r="F140" s="83">
        <v>1.6553457611028815</v>
      </c>
      <c r="G140" s="83">
        <v>1.7219813039161642</v>
      </c>
      <c r="H140" s="83">
        <v>1.7834917147245621</v>
      </c>
      <c r="I140" s="83">
        <v>1.8466866971698981</v>
      </c>
      <c r="J140" s="83">
        <v>1.9115641436494477</v>
      </c>
      <c r="K140" s="83">
        <v>1.9184446379832651</v>
      </c>
      <c r="L140" s="83">
        <v>1.9260101924074666</v>
      </c>
      <c r="M140" s="83">
        <v>1.9345457591691371</v>
      </c>
      <c r="N140" s="83">
        <v>1.909424359052716</v>
      </c>
      <c r="O140" s="83">
        <v>1.8855698067566939</v>
      </c>
      <c r="P140" s="83">
        <v>1.8576962624689231</v>
      </c>
      <c r="Q140" s="83">
        <v>1.8708589852662503</v>
      </c>
      <c r="R140" s="83">
        <v>1.878515101895208</v>
      </c>
      <c r="S140" s="83">
        <v>1.8873391728585154</v>
      </c>
      <c r="T140" s="83">
        <v>1.9017849643165916</v>
      </c>
      <c r="U140" s="83">
        <v>1.9295289682853034</v>
      </c>
      <c r="V140" s="83">
        <v>1.9433428218817337</v>
      </c>
      <c r="W140" s="83">
        <v>1.9374672998537561</v>
      </c>
      <c r="X140" s="83">
        <v>1.9348613684686744</v>
      </c>
      <c r="Y140" s="83">
        <v>1.9318820283322609</v>
      </c>
      <c r="Z140" s="83">
        <v>1.8846354616428556</v>
      </c>
      <c r="AA140" s="83">
        <v>1.8675512536429077</v>
      </c>
      <c r="AB140" s="83">
        <v>1.8769214162732819</v>
      </c>
      <c r="AC140" s="83">
        <v>1.8890184993536154</v>
      </c>
      <c r="AD140" s="83">
        <v>1.9212540917064367</v>
      </c>
      <c r="AE140" s="83">
        <v>1.9398584666525212</v>
      </c>
      <c r="AF140" s="83">
        <v>1.9105489309110755</v>
      </c>
      <c r="AG140" s="83">
        <v>1.928063959889547</v>
      </c>
      <c r="AH140" s="83">
        <v>1.909501857869063</v>
      </c>
      <c r="AI140" s="277">
        <v>1.9348128646067293</v>
      </c>
      <c r="AJ140" s="277">
        <v>1.9646831650484822</v>
      </c>
      <c r="AK140" s="277">
        <v>1.9646831650484819</v>
      </c>
      <c r="AL140" s="277">
        <v>1.96942946381614</v>
      </c>
      <c r="AM140" s="382">
        <f t="shared" si="131"/>
        <v>1.9597270081482652</v>
      </c>
      <c r="AN140" s="277">
        <v>1.9500245524803901</v>
      </c>
      <c r="AO140" s="277">
        <f t="shared" si="140"/>
        <v>1.9421894403439812</v>
      </c>
      <c r="AP140" s="277">
        <v>1.9343543282075724</v>
      </c>
      <c r="AQ140" s="277">
        <f t="shared" si="141"/>
        <v>1.9074019119827086</v>
      </c>
      <c r="AR140" s="277">
        <f t="shared" si="142"/>
        <v>1.8804494957578446</v>
      </c>
      <c r="AS140" s="277">
        <v>1.8534970795329808</v>
      </c>
      <c r="AT140" s="277">
        <f t="shared" si="143"/>
        <v>1.7771759931196542</v>
      </c>
      <c r="AU140" s="277">
        <v>1.7008549067063274</v>
      </c>
      <c r="AV140" s="277">
        <f t="shared" si="144"/>
        <v>1.5681216066189481</v>
      </c>
      <c r="AW140" s="277">
        <f t="shared" si="145"/>
        <v>1.4353883065315685</v>
      </c>
      <c r="AX140" s="277">
        <v>1.3026550064441891</v>
      </c>
      <c r="AY140" s="277">
        <f t="shared" si="146"/>
        <v>1.174713029653526</v>
      </c>
      <c r="AZ140" s="277">
        <v>1.0467710528628629</v>
      </c>
      <c r="BA140" s="277">
        <f t="shared" si="132"/>
        <v>0.99573294066720142</v>
      </c>
      <c r="BB140" s="277">
        <f t="shared" si="133"/>
        <v>0.94469482847154007</v>
      </c>
      <c r="BC140" s="277">
        <f t="shared" si="134"/>
        <v>0.89365671627587862</v>
      </c>
      <c r="BD140" s="277">
        <f t="shared" si="135"/>
        <v>0.84261860408021727</v>
      </c>
      <c r="BE140" s="277">
        <v>0.79158049188455581</v>
      </c>
      <c r="BF140" s="277">
        <f t="shared" si="136"/>
        <v>0.78381874801705909</v>
      </c>
      <c r="BG140" s="277">
        <f t="shared" si="137"/>
        <v>0.77605700414956236</v>
      </c>
      <c r="BH140" s="277">
        <f t="shared" si="138"/>
        <v>0.76829526028206552</v>
      </c>
      <c r="BI140" s="277">
        <f t="shared" si="139"/>
        <v>0.76053351641456879</v>
      </c>
      <c r="BJ140" s="277">
        <v>0.75277177254707206</v>
      </c>
    </row>
    <row r="141" spans="1:62">
      <c r="A141" s="82" t="s">
        <v>283</v>
      </c>
      <c r="B141" s="83">
        <v>0</v>
      </c>
      <c r="C141" s="83">
        <v>0</v>
      </c>
      <c r="D141" s="83">
        <v>0</v>
      </c>
      <c r="E141" s="83">
        <v>0</v>
      </c>
      <c r="F141" s="83">
        <v>0</v>
      </c>
      <c r="G141" s="83">
        <v>0</v>
      </c>
      <c r="H141" s="83">
        <v>0</v>
      </c>
      <c r="I141" s="83">
        <v>0</v>
      </c>
      <c r="J141" s="83">
        <v>0</v>
      </c>
      <c r="K141" s="83">
        <v>0</v>
      </c>
      <c r="L141" s="83">
        <v>0</v>
      </c>
      <c r="M141" s="83">
        <v>0</v>
      </c>
      <c r="N141" s="83">
        <v>0</v>
      </c>
      <c r="O141" s="83">
        <v>0</v>
      </c>
      <c r="P141" s="83">
        <v>0</v>
      </c>
      <c r="Q141" s="83">
        <v>0</v>
      </c>
      <c r="R141" s="83">
        <v>0</v>
      </c>
      <c r="S141" s="83">
        <v>0</v>
      </c>
      <c r="T141" s="83">
        <v>0</v>
      </c>
      <c r="U141" s="83">
        <v>0</v>
      </c>
      <c r="V141" s="83">
        <v>0</v>
      </c>
      <c r="W141" s="83">
        <v>0</v>
      </c>
      <c r="X141" s="83">
        <v>0</v>
      </c>
      <c r="Y141" s="83">
        <v>0</v>
      </c>
      <c r="Z141" s="83">
        <v>0</v>
      </c>
      <c r="AA141" s="83">
        <v>0</v>
      </c>
      <c r="AB141" s="83">
        <v>0</v>
      </c>
      <c r="AC141" s="83">
        <v>0</v>
      </c>
      <c r="AD141" s="83">
        <v>0</v>
      </c>
      <c r="AE141" s="83">
        <v>0</v>
      </c>
      <c r="AF141" s="83">
        <v>0</v>
      </c>
      <c r="AG141" s="83">
        <v>0</v>
      </c>
      <c r="AH141" s="83">
        <v>0</v>
      </c>
      <c r="AI141" s="277">
        <v>0</v>
      </c>
      <c r="AJ141" s="277">
        <v>0</v>
      </c>
      <c r="AK141" s="277">
        <v>0</v>
      </c>
      <c r="AL141" s="277">
        <v>0</v>
      </c>
      <c r="AM141" s="277">
        <f t="shared" ref="AM141" si="147">AK141+(AN141-AK141)*2/3</f>
        <v>0</v>
      </c>
      <c r="AN141" s="277">
        <v>0</v>
      </c>
      <c r="AO141" s="277">
        <f t="shared" si="140"/>
        <v>0</v>
      </c>
      <c r="AP141" s="277">
        <v>0</v>
      </c>
      <c r="AQ141" s="277">
        <f t="shared" si="141"/>
        <v>0</v>
      </c>
      <c r="AR141" s="277">
        <f t="shared" si="142"/>
        <v>0</v>
      </c>
      <c r="AS141" s="277">
        <v>0</v>
      </c>
      <c r="AT141" s="277">
        <f t="shared" si="143"/>
        <v>0</v>
      </c>
      <c r="AU141" s="277">
        <v>0</v>
      </c>
      <c r="AV141" s="277">
        <f t="shared" si="144"/>
        <v>0</v>
      </c>
      <c r="AW141" s="277">
        <f t="shared" si="145"/>
        <v>0</v>
      </c>
      <c r="AX141" s="277">
        <v>0</v>
      </c>
      <c r="AY141" s="277">
        <f t="shared" si="146"/>
        <v>0</v>
      </c>
      <c r="AZ141" s="277">
        <v>0</v>
      </c>
      <c r="BA141" s="277">
        <f t="shared" si="132"/>
        <v>0</v>
      </c>
      <c r="BB141" s="277">
        <f t="shared" si="133"/>
        <v>0</v>
      </c>
      <c r="BC141" s="277">
        <f t="shared" si="134"/>
        <v>0</v>
      </c>
      <c r="BD141" s="277">
        <f t="shared" si="135"/>
        <v>0</v>
      </c>
      <c r="BE141" s="277">
        <v>0</v>
      </c>
      <c r="BF141" s="277">
        <f t="shared" si="136"/>
        <v>0</v>
      </c>
      <c r="BG141" s="277">
        <f t="shared" si="137"/>
        <v>0</v>
      </c>
      <c r="BH141" s="277">
        <f t="shared" si="138"/>
        <v>0</v>
      </c>
      <c r="BI141" s="277">
        <f t="shared" si="139"/>
        <v>0</v>
      </c>
      <c r="BJ141" s="277">
        <v>0</v>
      </c>
    </row>
    <row r="142" spans="1:62" ht="21" customHeight="1">
      <c r="A142" s="101" t="s">
        <v>284</v>
      </c>
      <c r="B142" s="102">
        <v>61.497662400020857</v>
      </c>
      <c r="C142" s="102">
        <v>69.216988939254747</v>
      </c>
      <c r="D142" s="102">
        <v>68.093665226732455</v>
      </c>
      <c r="E142" s="102">
        <v>66.214031410889291</v>
      </c>
      <c r="F142" s="102">
        <v>62.340921935410456</v>
      </c>
      <c r="G142" s="102">
        <v>62.219342151854519</v>
      </c>
      <c r="H142" s="102">
        <v>68.967022512722707</v>
      </c>
      <c r="I142" s="102">
        <v>65.009960479206114</v>
      </c>
      <c r="J142" s="102">
        <v>67.466072164767326</v>
      </c>
      <c r="K142" s="102">
        <v>68.318320322654898</v>
      </c>
      <c r="L142" s="102">
        <v>66.331126301714221</v>
      </c>
      <c r="M142" s="102">
        <v>70.318426009920813</v>
      </c>
      <c r="N142" s="102">
        <v>67.528644058689309</v>
      </c>
      <c r="O142" s="102">
        <v>69.040154612567548</v>
      </c>
      <c r="P142" s="102">
        <v>72.948286661884282</v>
      </c>
      <c r="Q142" s="102">
        <v>72.123522620111899</v>
      </c>
      <c r="R142" s="102">
        <v>69.386466199683625</v>
      </c>
      <c r="S142" s="102">
        <v>61.831331021450367</v>
      </c>
      <c r="T142" s="102">
        <v>67.021248386054154</v>
      </c>
      <c r="U142" s="102">
        <v>66.798178726546794</v>
      </c>
      <c r="V142" s="102">
        <v>65.095886604199762</v>
      </c>
      <c r="W142" s="102">
        <v>58.699192827183381</v>
      </c>
      <c r="X142" s="102">
        <v>64.375647323757761</v>
      </c>
      <c r="Y142" s="102">
        <v>65.707312114321837</v>
      </c>
      <c r="Z142" s="102">
        <v>51.328683707843084</v>
      </c>
      <c r="AA142" s="102">
        <v>54.204909942429843</v>
      </c>
      <c r="AB142" s="102">
        <v>56.607696129480743</v>
      </c>
      <c r="AC142" s="102">
        <v>55.498355722654928</v>
      </c>
      <c r="AD142" s="102">
        <v>51.502707138286134</v>
      </c>
      <c r="AE142" s="102">
        <v>49.755163188196398</v>
      </c>
      <c r="AF142" s="102">
        <v>48.286178518280721</v>
      </c>
      <c r="AG142" s="102">
        <v>49.437164076925143</v>
      </c>
      <c r="AH142" s="102">
        <v>40.732430358789323</v>
      </c>
      <c r="AI142" s="138">
        <v>36.985955054886787</v>
      </c>
      <c r="AJ142" s="144">
        <v>36.523763584256685</v>
      </c>
      <c r="AK142" s="144">
        <v>35.921613434723533</v>
      </c>
      <c r="AL142" s="144">
        <f>SUM(AL135:AL141)</f>
        <v>34.285651431436911</v>
      </c>
      <c r="AM142" s="144">
        <f>SUM(AM135:AM141)</f>
        <v>30.732123971289944</v>
      </c>
      <c r="AN142" s="144">
        <v>27.178596511142981</v>
      </c>
      <c r="AO142" s="144">
        <f>SUM(AO135:AO141)</f>
        <v>25.097725799858715</v>
      </c>
      <c r="AP142" s="144">
        <v>23.016855088574449</v>
      </c>
      <c r="AQ142" s="144">
        <f>SUM(AQ135:AQ141)</f>
        <v>20.993446222825956</v>
      </c>
      <c r="AR142" s="144">
        <f>SUM(AR135:AR141)</f>
        <v>18.970037357077455</v>
      </c>
      <c r="AS142" s="144">
        <v>16.946628491328958</v>
      </c>
      <c r="AT142" s="144">
        <f>SUM(AT135:AT141)</f>
        <v>15.447733321996163</v>
      </c>
      <c r="AU142" s="144">
        <v>13.948838152663363</v>
      </c>
      <c r="AV142" s="144">
        <f>SUM(AV135:AV141)</f>
        <v>12.654563743752115</v>
      </c>
      <c r="AW142" s="144">
        <f>SUM(AW135:AW141)</f>
        <v>11.360289334840864</v>
      </c>
      <c r="AX142" s="144">
        <v>10.066014925929615</v>
      </c>
      <c r="AY142" s="144">
        <f>SUM(AY135:AY141)</f>
        <v>8.8828252460631969</v>
      </c>
      <c r="AZ142" s="144">
        <v>7.6996355661967799</v>
      </c>
      <c r="BA142" s="144">
        <f t="shared" si="132"/>
        <v>7.2211118058897767</v>
      </c>
      <c r="BB142" s="144">
        <f t="shared" si="133"/>
        <v>6.7425880455827727</v>
      </c>
      <c r="BC142" s="144">
        <f t="shared" si="134"/>
        <v>6.2640642852757695</v>
      </c>
      <c r="BD142" s="144">
        <f t="shared" si="135"/>
        <v>5.7855405249687664</v>
      </c>
      <c r="BE142" s="144">
        <v>5.3070167646617623</v>
      </c>
      <c r="BF142" s="144">
        <f t="shared" si="136"/>
        <v>4.6970943992731149</v>
      </c>
      <c r="BG142" s="144">
        <f t="shared" si="137"/>
        <v>4.0871720338844675</v>
      </c>
      <c r="BH142" s="144">
        <f t="shared" si="138"/>
        <v>3.4772496684958192</v>
      </c>
      <c r="BI142" s="144">
        <f t="shared" si="139"/>
        <v>2.8673273031071718</v>
      </c>
      <c r="BJ142" s="144">
        <v>2.2574049377185239</v>
      </c>
    </row>
    <row r="143" spans="1:62">
      <c r="A143" s="82" t="s">
        <v>181</v>
      </c>
      <c r="B143" s="83">
        <v>26.762943712550438</v>
      </c>
      <c r="C143" s="83">
        <v>29.05618745608043</v>
      </c>
      <c r="D143" s="83">
        <v>27.675346519544981</v>
      </c>
      <c r="E143" s="83">
        <v>26.370157322039002</v>
      </c>
      <c r="F143" s="83">
        <v>24.861167619272017</v>
      </c>
      <c r="G143" s="83">
        <v>25.104036788782121</v>
      </c>
      <c r="H143" s="83">
        <v>27.523473353885596</v>
      </c>
      <c r="I143" s="83">
        <v>25.840706521083103</v>
      </c>
      <c r="J143" s="83">
        <v>27.221915401893476</v>
      </c>
      <c r="K143" s="83">
        <v>27.740611825185812</v>
      </c>
      <c r="L143" s="83">
        <v>25.545564113170155</v>
      </c>
      <c r="M143" s="83">
        <v>26.427292416992149</v>
      </c>
      <c r="N143" s="83">
        <v>23.73702371157712</v>
      </c>
      <c r="O143" s="83">
        <v>27.008904627941916</v>
      </c>
      <c r="P143" s="83">
        <v>27.382826244031484</v>
      </c>
      <c r="Q143" s="83">
        <v>26.908047628746608</v>
      </c>
      <c r="R143" s="83">
        <v>24.412940108549563</v>
      </c>
      <c r="S143" s="83">
        <v>24.138192334435928</v>
      </c>
      <c r="T143" s="83">
        <v>25.564703664499334</v>
      </c>
      <c r="U143" s="83">
        <v>27.655932936262406</v>
      </c>
      <c r="V143" s="83">
        <v>28.024196947456474</v>
      </c>
      <c r="W143" s="83">
        <v>17.832046665051692</v>
      </c>
      <c r="X143" s="83">
        <v>19.725134929867</v>
      </c>
      <c r="Y143" s="83">
        <v>20.590002465009665</v>
      </c>
      <c r="Z143" s="83">
        <v>18.245878210981743</v>
      </c>
      <c r="AA143" s="83">
        <v>19.098102851394053</v>
      </c>
      <c r="AB143" s="83">
        <v>18.479391053246719</v>
      </c>
      <c r="AC143" s="83">
        <v>19.059852591643466</v>
      </c>
      <c r="AD143" s="83">
        <v>18.915793043534244</v>
      </c>
      <c r="AE143" s="83">
        <v>18.258049172620712</v>
      </c>
      <c r="AF143" s="83">
        <v>16.843120956276397</v>
      </c>
      <c r="AG143" s="83">
        <v>18.201549698434022</v>
      </c>
      <c r="AH143" s="83">
        <v>15.208023948688956</v>
      </c>
      <c r="AI143" s="277">
        <v>13.831752008119622</v>
      </c>
      <c r="AJ143" s="277">
        <v>13.726127730108994</v>
      </c>
      <c r="AK143" s="277">
        <v>13.41819293175687</v>
      </c>
      <c r="AL143" s="277">
        <v>12.859208074263371</v>
      </c>
      <c r="AM143" s="382">
        <f t="shared" ref="AM143:AM147" si="148">(AL143+AN143)/2</f>
        <v>12.822542832856961</v>
      </c>
      <c r="AN143" s="277">
        <v>12.785877591450552</v>
      </c>
      <c r="AO143" s="277">
        <f t="shared" ref="AO143:AO147" si="149">AN143+(AP143-AN143)/2</f>
        <v>11.501786241384426</v>
      </c>
      <c r="AP143" s="277">
        <v>10.217694891318303</v>
      </c>
      <c r="AQ143" s="277">
        <f t="shared" ref="AQ143:AQ147" si="150">AP143+(AS143-AP143)/3</f>
        <v>9.523170184789441</v>
      </c>
      <c r="AR143" s="277">
        <f t="shared" ref="AR143:AR147" si="151">AP143+(AS143-AP143)*2/3</f>
        <v>8.8286454782605794</v>
      </c>
      <c r="AS143" s="277">
        <v>8.1341207717317179</v>
      </c>
      <c r="AT143" s="277">
        <f t="shared" ref="AT143:AT147" si="152">AS143+(AU143-AS143)/2</f>
        <v>7.4859185190235253</v>
      </c>
      <c r="AU143" s="277">
        <v>6.8377162663153328</v>
      </c>
      <c r="AV143" s="277">
        <f t="shared" ref="AV143:AV147" si="153">AU143+(AX143-AU143)/3</f>
        <v>6.1703881663366325</v>
      </c>
      <c r="AW143" s="277">
        <f t="shared" ref="AW143:AW147" si="154">AU143+(AX143-AU143)*2/3</f>
        <v>5.503060066357933</v>
      </c>
      <c r="AX143" s="277">
        <v>4.8357319663792326</v>
      </c>
      <c r="AY143" s="277">
        <f t="shared" ref="AY143:AY147" si="155">AX143+(AZ143-AX143)/2</f>
        <v>4.2437779683720134</v>
      </c>
      <c r="AZ143" s="277">
        <v>3.6518239703647946</v>
      </c>
      <c r="BA143" s="277">
        <f t="shared" si="132"/>
        <v>3.2526794800803813</v>
      </c>
      <c r="BB143" s="277">
        <f t="shared" si="133"/>
        <v>2.8535349897959681</v>
      </c>
      <c r="BC143" s="277">
        <f t="shared" si="134"/>
        <v>2.4543904995115549</v>
      </c>
      <c r="BD143" s="277">
        <f t="shared" si="135"/>
        <v>2.0552460092271421</v>
      </c>
      <c r="BE143" s="277">
        <v>1.6561015189427286</v>
      </c>
      <c r="BF143" s="277">
        <f t="shared" si="136"/>
        <v>1.3294881646068628</v>
      </c>
      <c r="BG143" s="277">
        <f t="shared" si="137"/>
        <v>1.0028748102709968</v>
      </c>
      <c r="BH143" s="277">
        <f t="shared" si="138"/>
        <v>0.67626145593513076</v>
      </c>
      <c r="BI143" s="277">
        <f t="shared" si="139"/>
        <v>0.34964810159926496</v>
      </c>
      <c r="BJ143" s="277">
        <v>2.3034747263399002E-2</v>
      </c>
    </row>
    <row r="144" spans="1:62">
      <c r="A144" s="82" t="s">
        <v>182</v>
      </c>
      <c r="B144" s="83">
        <v>0</v>
      </c>
      <c r="C144" s="83">
        <v>0</v>
      </c>
      <c r="D144" s="83">
        <v>2.0043158953927633E-4</v>
      </c>
      <c r="E144" s="83">
        <v>1.0195019070914364E-3</v>
      </c>
      <c r="F144" s="83">
        <v>2.9175747101506783E-3</v>
      </c>
      <c r="G144" s="83">
        <v>5.2023900159564674E-3</v>
      </c>
      <c r="H144" s="83">
        <v>8.7293569978531722E-3</v>
      </c>
      <c r="I144" s="83">
        <v>1.3303951674014816E-2</v>
      </c>
      <c r="J144" s="83">
        <v>2.2234863281035803E-2</v>
      </c>
      <c r="K144" s="83">
        <v>3.5305672051215722E-2</v>
      </c>
      <c r="L144" s="83">
        <v>5.8951161164219279E-2</v>
      </c>
      <c r="M144" s="83">
        <v>9.4055687944762878E-2</v>
      </c>
      <c r="N144" s="83">
        <v>0.1431543565098328</v>
      </c>
      <c r="O144" s="83">
        <v>0.20318008482164637</v>
      </c>
      <c r="P144" s="83">
        <v>0.29193341837700865</v>
      </c>
      <c r="Q144" s="83">
        <v>0.3646656914777564</v>
      </c>
      <c r="R144" s="83">
        <v>0.47141494439404358</v>
      </c>
      <c r="S144" s="83">
        <v>0.59590174796896245</v>
      </c>
      <c r="T144" s="83">
        <v>0.69590563969911468</v>
      </c>
      <c r="U144" s="83">
        <v>0.79691186258163049</v>
      </c>
      <c r="V144" s="83">
        <v>0.87616013946122762</v>
      </c>
      <c r="W144" s="83">
        <v>0.93229237089164985</v>
      </c>
      <c r="X144" s="83">
        <v>0.98850240168646308</v>
      </c>
      <c r="Y144" s="83">
        <v>1.0412438494656959</v>
      </c>
      <c r="Z144" s="83">
        <v>1.0961464385570074</v>
      </c>
      <c r="AA144" s="83">
        <v>1.1413857546603601</v>
      </c>
      <c r="AB144" s="83">
        <v>1.2050740235263242</v>
      </c>
      <c r="AC144" s="83">
        <v>1.2539731434819286</v>
      </c>
      <c r="AD144" s="83">
        <v>1.2734451638598516</v>
      </c>
      <c r="AE144" s="83">
        <v>1.2654097350392366</v>
      </c>
      <c r="AF144" s="83">
        <v>1.2261323770676489</v>
      </c>
      <c r="AG144" s="83">
        <v>1.1793282286607025</v>
      </c>
      <c r="AH144" s="83">
        <v>1.1667327364016777</v>
      </c>
      <c r="AI144" s="277">
        <v>1.1508145517976773</v>
      </c>
      <c r="AJ144" s="277">
        <v>1.1151498744168957</v>
      </c>
      <c r="AK144" s="277">
        <v>1.0811678079156004</v>
      </c>
      <c r="AL144" s="277">
        <v>1.0467311763938274</v>
      </c>
      <c r="AM144" s="382">
        <f t="shared" si="148"/>
        <v>0.98486146587692636</v>
      </c>
      <c r="AN144" s="277">
        <v>0.92299175536002542</v>
      </c>
      <c r="AO144" s="277">
        <f t="shared" si="149"/>
        <v>0.84816925715704872</v>
      </c>
      <c r="AP144" s="277">
        <v>0.7733467589540719</v>
      </c>
      <c r="AQ144" s="277">
        <f t="shared" si="150"/>
        <v>0.70632992868722033</v>
      </c>
      <c r="AR144" s="277">
        <f t="shared" si="151"/>
        <v>0.63931309842036865</v>
      </c>
      <c r="AS144" s="277">
        <v>0.57229626815351708</v>
      </c>
      <c r="AT144" s="277">
        <f t="shared" si="152"/>
        <v>0.52672569842977512</v>
      </c>
      <c r="AU144" s="277">
        <v>0.48115512870603311</v>
      </c>
      <c r="AV144" s="277">
        <f t="shared" si="153"/>
        <v>0.4313307542120039</v>
      </c>
      <c r="AW144" s="277">
        <f t="shared" si="154"/>
        <v>0.38150637971797463</v>
      </c>
      <c r="AX144" s="277">
        <v>0.33168200522394542</v>
      </c>
      <c r="AY144" s="277">
        <f t="shared" si="155"/>
        <v>0.28260599851332779</v>
      </c>
      <c r="AZ144" s="277">
        <v>0.23352999180271011</v>
      </c>
      <c r="BA144" s="277">
        <f t="shared" si="132"/>
        <v>0.20237223860841083</v>
      </c>
      <c r="BB144" s="277">
        <f t="shared" si="133"/>
        <v>0.17121448541411152</v>
      </c>
      <c r="BC144" s="277">
        <f t="shared" si="134"/>
        <v>0.14005673221981224</v>
      </c>
      <c r="BD144" s="277">
        <f t="shared" si="135"/>
        <v>0.10889897902551295</v>
      </c>
      <c r="BE144" s="277">
        <v>7.7741225831213651E-2</v>
      </c>
      <c r="BF144" s="277">
        <f t="shared" si="136"/>
        <v>6.5213416567093035E-2</v>
      </c>
      <c r="BG144" s="277">
        <f t="shared" si="137"/>
        <v>5.2685607302972413E-2</v>
      </c>
      <c r="BH144" s="277">
        <f t="shared" si="138"/>
        <v>4.0157798038851791E-2</v>
      </c>
      <c r="BI144" s="277">
        <f t="shared" si="139"/>
        <v>2.7629988774731176E-2</v>
      </c>
      <c r="BJ144" s="277">
        <v>1.5102179510610559E-2</v>
      </c>
    </row>
    <row r="145" spans="1:62">
      <c r="A145" s="82" t="s">
        <v>184</v>
      </c>
      <c r="B145" s="83">
        <v>0</v>
      </c>
      <c r="C145" s="83">
        <v>0</v>
      </c>
      <c r="D145" s="83">
        <v>0</v>
      </c>
      <c r="E145" s="83">
        <v>1.5900481730343578E-2</v>
      </c>
      <c r="F145" s="83">
        <v>4.6234285307366917E-2</v>
      </c>
      <c r="G145" s="83">
        <v>0.11087172914259764</v>
      </c>
      <c r="H145" s="83">
        <v>0.17438233215991231</v>
      </c>
      <c r="I145" s="83">
        <v>0.27168429489734858</v>
      </c>
      <c r="J145" s="83">
        <v>0.45529792956900089</v>
      </c>
      <c r="K145" s="83">
        <v>0.69674374310511822</v>
      </c>
      <c r="L145" s="83">
        <v>1.1681667852575521</v>
      </c>
      <c r="M145" s="83">
        <v>1.8342250081408533</v>
      </c>
      <c r="N145" s="83">
        <v>2.4939570806429487</v>
      </c>
      <c r="O145" s="83">
        <v>3.1402423346560755</v>
      </c>
      <c r="P145" s="83">
        <v>3.7825530032294745</v>
      </c>
      <c r="Q145" s="83">
        <v>4.3784052883635285</v>
      </c>
      <c r="R145" s="83">
        <v>4.9605238079286673</v>
      </c>
      <c r="S145" s="83">
        <v>5.4930947881362808</v>
      </c>
      <c r="T145" s="83">
        <v>5.9475709131907353</v>
      </c>
      <c r="U145" s="83">
        <v>6.4095236082758698</v>
      </c>
      <c r="V145" s="83">
        <v>6.8183948494284872</v>
      </c>
      <c r="W145" s="83">
        <v>7.1215453129766901</v>
      </c>
      <c r="X145" s="83">
        <v>7.2758610237957031</v>
      </c>
      <c r="Y145" s="83">
        <v>7.2329941368385837</v>
      </c>
      <c r="Z145" s="83">
        <v>7.0841897987907751</v>
      </c>
      <c r="AA145" s="83">
        <v>6.9069566434989129</v>
      </c>
      <c r="AB145" s="83">
        <v>6.6418727227625869</v>
      </c>
      <c r="AC145" s="83">
        <v>6.2550865449408075</v>
      </c>
      <c r="AD145" s="83">
        <v>5.6786410584582043</v>
      </c>
      <c r="AE145" s="83">
        <v>4.8687687949645815</v>
      </c>
      <c r="AF145" s="83">
        <v>4.1579231774930072</v>
      </c>
      <c r="AG145" s="83">
        <v>3.6175992757306621</v>
      </c>
      <c r="AH145" s="83">
        <v>3.1220132468685176</v>
      </c>
      <c r="AI145" s="277">
        <v>2.7036091166765073</v>
      </c>
      <c r="AJ145" s="277">
        <v>2.3817689599042269</v>
      </c>
      <c r="AK145" s="277">
        <v>2.0621079926993833</v>
      </c>
      <c r="AL145" s="277">
        <v>1.8802886256710762</v>
      </c>
      <c r="AM145" s="382">
        <f t="shared" si="148"/>
        <v>1.5712596709445765</v>
      </c>
      <c r="AN145" s="277">
        <v>1.2622307162180768</v>
      </c>
      <c r="AO145" s="277">
        <f t="shared" si="149"/>
        <v>1.1374094691595558</v>
      </c>
      <c r="AP145" s="277">
        <v>1.0125882221010347</v>
      </c>
      <c r="AQ145" s="277">
        <f t="shared" si="150"/>
        <v>0.90050916573120166</v>
      </c>
      <c r="AR145" s="277">
        <f t="shared" si="151"/>
        <v>0.78843010936136848</v>
      </c>
      <c r="AS145" s="277">
        <v>0.67635105299153542</v>
      </c>
      <c r="AT145" s="277">
        <f t="shared" si="152"/>
        <v>0.59359782521352433</v>
      </c>
      <c r="AU145" s="277">
        <v>0.51084459743551314</v>
      </c>
      <c r="AV145" s="277">
        <f t="shared" si="153"/>
        <v>0.44546463956433402</v>
      </c>
      <c r="AW145" s="277">
        <f t="shared" si="154"/>
        <v>0.3800846816931549</v>
      </c>
      <c r="AX145" s="277">
        <v>0.31470472382197578</v>
      </c>
      <c r="AY145" s="277">
        <f t="shared" si="155"/>
        <v>0.27082644604143213</v>
      </c>
      <c r="AZ145" s="277">
        <v>0.22694816826088846</v>
      </c>
      <c r="BA145" s="277">
        <f t="shared" si="132"/>
        <v>0.19894501548549104</v>
      </c>
      <c r="BB145" s="277">
        <f t="shared" si="133"/>
        <v>0.17094186271009365</v>
      </c>
      <c r="BC145" s="277">
        <f t="shared" si="134"/>
        <v>0.14293870993469623</v>
      </c>
      <c r="BD145" s="277">
        <f t="shared" si="135"/>
        <v>0.11493555715929883</v>
      </c>
      <c r="BE145" s="277">
        <v>8.6932404383901429E-2</v>
      </c>
      <c r="BF145" s="277">
        <f t="shared" si="136"/>
        <v>6.1404675978234499E-2</v>
      </c>
      <c r="BG145" s="277">
        <f t="shared" si="137"/>
        <v>3.5876947572567576E-2</v>
      </c>
      <c r="BH145" s="277">
        <f t="shared" si="138"/>
        <v>1.0349219166900653E-2</v>
      </c>
      <c r="BI145" s="277">
        <f t="shared" si="139"/>
        <v>-1.5178509238766277E-2</v>
      </c>
      <c r="BJ145" s="277">
        <v>-4.0706237644433214E-2</v>
      </c>
    </row>
    <row r="146" spans="1:62" ht="25.2" customHeight="1">
      <c r="A146" s="82" t="s">
        <v>183</v>
      </c>
      <c r="B146" s="83">
        <v>0.15425299130970779</v>
      </c>
      <c r="C146" s="83">
        <v>0.15074028644636295</v>
      </c>
      <c r="D146" s="83">
        <v>0.14913669865968013</v>
      </c>
      <c r="E146" s="83">
        <v>0.14667446648916407</v>
      </c>
      <c r="F146" s="83">
        <v>0.27004656765717683</v>
      </c>
      <c r="G146" s="83">
        <v>0.4352107656493911</v>
      </c>
      <c r="H146" s="83">
        <v>0.70496019147564382</v>
      </c>
      <c r="I146" s="83">
        <v>0.84349629985405605</v>
      </c>
      <c r="J146" s="83">
        <v>0.84328685776947232</v>
      </c>
      <c r="K146" s="83">
        <v>0.85503263044099942</v>
      </c>
      <c r="L146" s="83">
        <v>0.82961888995102917</v>
      </c>
      <c r="M146" s="83">
        <v>0.80854274948418414</v>
      </c>
      <c r="N146" s="83">
        <v>0.79880276380137594</v>
      </c>
      <c r="O146" s="83">
        <v>0.83058092936359962</v>
      </c>
      <c r="P146" s="83">
        <v>0.76748586743074731</v>
      </c>
      <c r="Q146" s="83">
        <v>0.7682484382770306</v>
      </c>
      <c r="R146" s="83">
        <v>0.76815671167560329</v>
      </c>
      <c r="S146" s="83">
        <v>0.76460738408766504</v>
      </c>
      <c r="T146" s="83">
        <v>0.76465578154637082</v>
      </c>
      <c r="U146" s="83">
        <v>0.73746895838189075</v>
      </c>
      <c r="V146" s="83">
        <v>0.76207227938025845</v>
      </c>
      <c r="W146" s="83">
        <v>0.79435553337299425</v>
      </c>
      <c r="X146" s="83">
        <v>0.73049452548961757</v>
      </c>
      <c r="Y146" s="83">
        <v>0.68843673360373092</v>
      </c>
      <c r="Z146" s="83">
        <v>0.69025224999745138</v>
      </c>
      <c r="AA146" s="83">
        <v>0.68718195323345654</v>
      </c>
      <c r="AB146" s="83">
        <v>0.68304836576805439</v>
      </c>
      <c r="AC146" s="83">
        <v>0.6841586933673629</v>
      </c>
      <c r="AD146" s="83">
        <v>0.48395522465127133</v>
      </c>
      <c r="AE146" s="83">
        <v>0.25096765549445071</v>
      </c>
      <c r="AF146" s="83">
        <v>0.21078991660547622</v>
      </c>
      <c r="AG146" s="83">
        <v>0.20618101447918588</v>
      </c>
      <c r="AH146" s="83">
        <v>0.2030086702970654</v>
      </c>
      <c r="AI146" s="277">
        <v>0.1934607006590279</v>
      </c>
      <c r="AJ146" s="277">
        <v>0.19111170273985917</v>
      </c>
      <c r="AK146" s="277">
        <v>0.19143615235926137</v>
      </c>
      <c r="AL146" s="277">
        <v>0.18528172391758418</v>
      </c>
      <c r="AM146" s="382">
        <f t="shared" si="148"/>
        <v>0.16946564538960943</v>
      </c>
      <c r="AN146" s="277">
        <v>0.15364956686163467</v>
      </c>
      <c r="AO146" s="277">
        <f t="shared" si="149"/>
        <v>0.14787619105920494</v>
      </c>
      <c r="AP146" s="277">
        <v>0.14210281525677521</v>
      </c>
      <c r="AQ146" s="277">
        <f t="shared" si="150"/>
        <v>0.13923872196063131</v>
      </c>
      <c r="AR146" s="277">
        <f t="shared" si="151"/>
        <v>0.13637462866448744</v>
      </c>
      <c r="AS146" s="277">
        <v>0.13351053536834354</v>
      </c>
      <c r="AT146" s="277">
        <f t="shared" si="152"/>
        <v>0.13332871104451521</v>
      </c>
      <c r="AU146" s="277">
        <v>0.13314688672068692</v>
      </c>
      <c r="AV146" s="277">
        <f t="shared" si="153"/>
        <v>0.13277009075487889</v>
      </c>
      <c r="AW146" s="277">
        <f t="shared" si="154"/>
        <v>0.13239329478907083</v>
      </c>
      <c r="AX146" s="277">
        <v>0.1320164988232628</v>
      </c>
      <c r="AY146" s="277">
        <f t="shared" si="155"/>
        <v>0.13172438298398087</v>
      </c>
      <c r="AZ146" s="277">
        <v>0.13143226714469891</v>
      </c>
      <c r="BA146" s="277">
        <f t="shared" si="132"/>
        <v>0.13113054419404185</v>
      </c>
      <c r="BB146" s="277">
        <f t="shared" si="133"/>
        <v>0.13082882124338477</v>
      </c>
      <c r="BC146" s="277">
        <f t="shared" si="134"/>
        <v>0.13052709829272771</v>
      </c>
      <c r="BD146" s="277">
        <f t="shared" si="135"/>
        <v>0.13022537534207063</v>
      </c>
      <c r="BE146" s="277">
        <v>0.12992365239141357</v>
      </c>
      <c r="BF146" s="277">
        <f t="shared" si="136"/>
        <v>0.12960101278236988</v>
      </c>
      <c r="BG146" s="277">
        <f t="shared" si="137"/>
        <v>0.12927837317332619</v>
      </c>
      <c r="BH146" s="277">
        <f t="shared" si="138"/>
        <v>0.12895573356428253</v>
      </c>
      <c r="BI146" s="277">
        <f t="shared" si="139"/>
        <v>0.12863309395523884</v>
      </c>
      <c r="BJ146" s="277">
        <v>0.12831045434619515</v>
      </c>
    </row>
    <row r="147" spans="1:62" ht="21" customHeight="1">
      <c r="A147" s="82" t="s">
        <v>285</v>
      </c>
      <c r="B147" s="83">
        <v>4.5133902222316236</v>
      </c>
      <c r="C147" s="83">
        <v>4.1562250878656775</v>
      </c>
      <c r="D147" s="83">
        <v>2.8401218102140993</v>
      </c>
      <c r="E147" s="83">
        <v>2.3738914751344415</v>
      </c>
      <c r="F147" s="83">
        <v>1.100195582910912</v>
      </c>
      <c r="G147" s="83">
        <v>0.61286511568015567</v>
      </c>
      <c r="H147" s="83">
        <v>1.0033900688878903</v>
      </c>
      <c r="I147" s="83">
        <v>1.4484622343800106</v>
      </c>
      <c r="J147" s="83">
        <v>2.0810878737271628</v>
      </c>
      <c r="K147" s="83">
        <v>2.0297081401024561</v>
      </c>
      <c r="L147" s="83">
        <v>1.9845872985336312</v>
      </c>
      <c r="M147" s="83">
        <v>2.1241755380238416</v>
      </c>
      <c r="N147" s="83">
        <v>2.6956047524792806</v>
      </c>
      <c r="O147" s="83">
        <v>2.9061308727516884</v>
      </c>
      <c r="P147" s="83">
        <v>2.9057696251400706</v>
      </c>
      <c r="Q147" s="83">
        <v>2.6544805199702046</v>
      </c>
      <c r="R147" s="83">
        <v>2.6766732379679476</v>
      </c>
      <c r="S147" s="83">
        <v>2.5462849176534257</v>
      </c>
      <c r="T147" s="83">
        <v>2.5617649257806798</v>
      </c>
      <c r="U147" s="83">
        <v>2.2818998476845991</v>
      </c>
      <c r="V147" s="83">
        <v>2.2820012791008493</v>
      </c>
      <c r="W147" s="83">
        <v>2.7009029795592308</v>
      </c>
      <c r="X147" s="83">
        <v>2.3312025830791008</v>
      </c>
      <c r="Y147" s="83">
        <v>2.2794698005244474</v>
      </c>
      <c r="Z147" s="83">
        <v>2.1640386461295038</v>
      </c>
      <c r="AA147" s="83">
        <v>2.0847218527102807</v>
      </c>
      <c r="AB147" s="83">
        <v>1.3900708171591374</v>
      </c>
      <c r="AC147" s="83">
        <v>1.3665275868877085</v>
      </c>
      <c r="AD147" s="83">
        <v>1.7113606832280268</v>
      </c>
      <c r="AE147" s="83">
        <v>1.7068786856895026</v>
      </c>
      <c r="AF147" s="83">
        <v>1.4895729297466973</v>
      </c>
      <c r="AG147" s="83">
        <v>2.0945955539910415</v>
      </c>
      <c r="AH147" s="83">
        <v>2.1221967354686377</v>
      </c>
      <c r="AI147" s="277">
        <v>2.1480440536462462</v>
      </c>
      <c r="AJ147" s="277">
        <v>2.1351143872294354</v>
      </c>
      <c r="AK147" s="277">
        <v>2.2111773697652719</v>
      </c>
      <c r="AL147" s="277">
        <v>2.1059025485376921</v>
      </c>
      <c r="AM147" s="382">
        <f t="shared" si="148"/>
        <v>1.7446749966986235</v>
      </c>
      <c r="AN147" s="277">
        <v>1.3834474448595546</v>
      </c>
      <c r="AO147" s="277">
        <f t="shared" si="149"/>
        <v>1.410190722453583</v>
      </c>
      <c r="AP147" s="277">
        <v>1.4369340000476114</v>
      </c>
      <c r="AQ147" s="277">
        <f t="shared" si="150"/>
        <v>1.410980495597344</v>
      </c>
      <c r="AR147" s="277">
        <f t="shared" si="151"/>
        <v>1.3850269911470767</v>
      </c>
      <c r="AS147" s="277">
        <v>1.3590734866968093</v>
      </c>
      <c r="AT147" s="277">
        <f t="shared" si="152"/>
        <v>1.3659377916846094</v>
      </c>
      <c r="AU147" s="277">
        <v>1.3728020966724095</v>
      </c>
      <c r="AV147" s="277">
        <f t="shared" si="153"/>
        <v>1.3343395158954392</v>
      </c>
      <c r="AW147" s="277">
        <f t="shared" si="154"/>
        <v>1.2958769351184689</v>
      </c>
      <c r="AX147" s="277">
        <v>1.2574143543414986</v>
      </c>
      <c r="AY147" s="277">
        <f t="shared" si="155"/>
        <v>1.2493540983772395</v>
      </c>
      <c r="AZ147" s="277">
        <v>1.2412938424129805</v>
      </c>
      <c r="BA147" s="277">
        <f t="shared" si="132"/>
        <v>1.2066623530901655</v>
      </c>
      <c r="BB147" s="277">
        <f t="shared" si="133"/>
        <v>1.1720308637673504</v>
      </c>
      <c r="BC147" s="277">
        <f t="shared" si="134"/>
        <v>1.1373993744445352</v>
      </c>
      <c r="BD147" s="277">
        <f t="shared" si="135"/>
        <v>1.1027678851217202</v>
      </c>
      <c r="BE147" s="277">
        <v>1.0681363957989052</v>
      </c>
      <c r="BF147" s="277">
        <f t="shared" si="136"/>
        <v>0.99189921741950893</v>
      </c>
      <c r="BG147" s="277">
        <f t="shared" si="137"/>
        <v>0.91566203904011256</v>
      </c>
      <c r="BH147" s="277">
        <f t="shared" si="138"/>
        <v>0.83942486066071631</v>
      </c>
      <c r="BI147" s="277">
        <f t="shared" si="139"/>
        <v>0.76318768228131995</v>
      </c>
      <c r="BJ147" s="277">
        <v>0.68695050390192369</v>
      </c>
    </row>
    <row r="148" spans="1:62">
      <c r="A148" s="101" t="s">
        <v>346</v>
      </c>
      <c r="B148" s="298">
        <v>31.43058692609177</v>
      </c>
      <c r="C148" s="298">
        <v>33.363152830392472</v>
      </c>
      <c r="D148" s="298">
        <v>30.664805460008303</v>
      </c>
      <c r="E148" s="298">
        <v>28.907643247300044</v>
      </c>
      <c r="F148" s="298">
        <v>26.280561629857623</v>
      </c>
      <c r="G148" s="298">
        <v>26.268186789270221</v>
      </c>
      <c r="H148" s="298">
        <v>29.414935303406892</v>
      </c>
      <c r="I148" s="298">
        <v>28.417653301888532</v>
      </c>
      <c r="J148" s="298">
        <v>30.623822926240145</v>
      </c>
      <c r="K148" s="298">
        <v>31.3574020108856</v>
      </c>
      <c r="L148" s="298">
        <v>29.586888248076587</v>
      </c>
      <c r="M148" s="298">
        <v>31.288291400585791</v>
      </c>
      <c r="N148" s="298">
        <v>29.868542665010558</v>
      </c>
      <c r="O148" s="298">
        <v>34.089038849534923</v>
      </c>
      <c r="P148" s="298">
        <v>35.130568158208789</v>
      </c>
      <c r="Q148" s="298">
        <v>35.073847566835134</v>
      </c>
      <c r="R148" s="298">
        <v>33.289708810515826</v>
      </c>
      <c r="S148" s="298">
        <v>33.538081172282261</v>
      </c>
      <c r="T148" s="298">
        <v>35.534600924716237</v>
      </c>
      <c r="U148" s="298">
        <v>37.881737213186398</v>
      </c>
      <c r="V148" s="298">
        <v>38.76282549482729</v>
      </c>
      <c r="W148" s="298">
        <v>29.381142861852254</v>
      </c>
      <c r="X148" s="298">
        <v>31.051195463917885</v>
      </c>
      <c r="Y148" s="298">
        <v>31.832146985442122</v>
      </c>
      <c r="Z148" s="298">
        <v>29.280505344456483</v>
      </c>
      <c r="AA148" s="298">
        <v>29.91834905549706</v>
      </c>
      <c r="AB148" s="298">
        <v>28.399456982462823</v>
      </c>
      <c r="AC148" s="298">
        <v>28.619598560321272</v>
      </c>
      <c r="AD148" s="298">
        <v>28.063195173731597</v>
      </c>
      <c r="AE148" s="298">
        <v>26.350074043808483</v>
      </c>
      <c r="AF148" s="298">
        <v>23.927539357189229</v>
      </c>
      <c r="AG148" s="298">
        <v>25.299253771295611</v>
      </c>
      <c r="AH148" s="298">
        <v>21.821975337724854</v>
      </c>
      <c r="AI148" s="298">
        <v>20.027680430899078</v>
      </c>
      <c r="AJ148" s="298">
        <v>19.549272654399413</v>
      </c>
      <c r="AK148" s="298">
        <f>SUM(AK143:AK147)</f>
        <v>18.96408225449639</v>
      </c>
      <c r="AL148" s="381">
        <f t="shared" ref="AL148:BI148" si="156">SUM(AL143:AL147)</f>
        <v>18.077412148783552</v>
      </c>
      <c r="AM148" s="381">
        <f t="shared" si="156"/>
        <v>17.292804611766694</v>
      </c>
      <c r="AN148" s="381">
        <v>16.508197074749845</v>
      </c>
      <c r="AO148" s="381">
        <f t="shared" si="156"/>
        <v>15.045431881213817</v>
      </c>
      <c r="AP148" s="381">
        <v>13.582666687677795</v>
      </c>
      <c r="AQ148" s="381">
        <f t="shared" si="156"/>
        <v>12.680228496765835</v>
      </c>
      <c r="AR148" s="381">
        <f t="shared" si="156"/>
        <v>11.77779030585388</v>
      </c>
      <c r="AS148" s="381">
        <v>10.875352114941922</v>
      </c>
      <c r="AT148" s="381">
        <f t="shared" si="156"/>
        <v>10.105508545395949</v>
      </c>
      <c r="AU148" s="381">
        <v>9.3356649758499746</v>
      </c>
      <c r="AV148" s="381">
        <f t="shared" si="156"/>
        <v>8.514293166763288</v>
      </c>
      <c r="AW148" s="381">
        <f t="shared" si="156"/>
        <v>7.6929213576766013</v>
      </c>
      <c r="AX148" s="381">
        <v>6.8715495485899147</v>
      </c>
      <c r="AY148" s="381">
        <f t="shared" si="156"/>
        <v>6.1782888942879932</v>
      </c>
      <c r="AZ148" s="381">
        <v>5.4850282399860717</v>
      </c>
      <c r="BA148" s="381">
        <f t="shared" si="156"/>
        <v>4.9917896314584906</v>
      </c>
      <c r="BB148" s="381">
        <f t="shared" si="156"/>
        <v>4.4985510229309078</v>
      </c>
      <c r="BC148" s="381">
        <f t="shared" si="156"/>
        <v>4.0053124144033259</v>
      </c>
      <c r="BD148" s="381">
        <f t="shared" si="156"/>
        <v>3.5120738058757448</v>
      </c>
      <c r="BE148" s="381">
        <v>3.0188351973481624</v>
      </c>
      <c r="BF148" s="381">
        <f t="shared" si="156"/>
        <v>2.5776064873540694</v>
      </c>
      <c r="BG148" s="381">
        <f t="shared" si="156"/>
        <v>2.1363777773599755</v>
      </c>
      <c r="BH148" s="381">
        <f t="shared" si="156"/>
        <v>1.695149067365882</v>
      </c>
      <c r="BI148" s="381">
        <f t="shared" si="156"/>
        <v>1.2539203573717885</v>
      </c>
      <c r="BJ148" s="381">
        <v>0.81269164737769517</v>
      </c>
    </row>
    <row r="149" spans="1:62">
      <c r="A149" s="103" t="s">
        <v>286</v>
      </c>
      <c r="B149" s="104">
        <v>92.928249326112621</v>
      </c>
      <c r="C149" s="104">
        <v>102.58014176964721</v>
      </c>
      <c r="D149" s="104">
        <v>98.758470686740765</v>
      </c>
      <c r="E149" s="104">
        <v>95.121674658189335</v>
      </c>
      <c r="F149" s="104">
        <v>88.621483565268079</v>
      </c>
      <c r="G149" s="104">
        <v>88.487528941124737</v>
      </c>
      <c r="H149" s="104">
        <v>98.381957816129599</v>
      </c>
      <c r="I149" s="104">
        <v>93.427613781094649</v>
      </c>
      <c r="J149" s="104">
        <v>98.089895091007463</v>
      </c>
      <c r="K149" s="104">
        <v>99.675722333540506</v>
      </c>
      <c r="L149" s="104">
        <v>95.918014549790811</v>
      </c>
      <c r="M149" s="104">
        <v>101.6067174105066</v>
      </c>
      <c r="N149" s="104">
        <v>97.397186723699861</v>
      </c>
      <c r="O149" s="104">
        <v>103.12919346210248</v>
      </c>
      <c r="P149" s="104">
        <v>108.07885482009307</v>
      </c>
      <c r="Q149" s="104">
        <v>107.19737018694704</v>
      </c>
      <c r="R149" s="104">
        <v>102.67617501019944</v>
      </c>
      <c r="S149" s="104">
        <v>95.369412193732629</v>
      </c>
      <c r="T149" s="104">
        <v>102.55584931077038</v>
      </c>
      <c r="U149" s="104">
        <v>104.67991593973319</v>
      </c>
      <c r="V149" s="104">
        <v>103.85871209902706</v>
      </c>
      <c r="W149" s="104">
        <v>88.080335689035635</v>
      </c>
      <c r="X149" s="104">
        <v>95.426842787675639</v>
      </c>
      <c r="Y149" s="104">
        <v>97.53945909976396</v>
      </c>
      <c r="Z149" s="104">
        <v>80.60918905229957</v>
      </c>
      <c r="AA149" s="104">
        <v>84.123258997926911</v>
      </c>
      <c r="AB149" s="104">
        <v>85.007153111943566</v>
      </c>
      <c r="AC149" s="104">
        <v>84.1179542829762</v>
      </c>
      <c r="AD149" s="104">
        <v>79.565902312017727</v>
      </c>
      <c r="AE149" s="104">
        <v>76.105237232004882</v>
      </c>
      <c r="AF149" s="104">
        <v>72.213717875469953</v>
      </c>
      <c r="AG149" s="104">
        <v>74.736417848220754</v>
      </c>
      <c r="AH149" s="104">
        <v>62.554405696514181</v>
      </c>
      <c r="AI149" s="104">
        <v>57.013635485785869</v>
      </c>
      <c r="AJ149" s="104">
        <v>56.073036238656101</v>
      </c>
      <c r="AK149" s="104">
        <v>54.885695689219922</v>
      </c>
      <c r="AL149" s="138">
        <f>AL142+AL143+SUM(AL144:AL147)</f>
        <v>52.363063580220462</v>
      </c>
      <c r="AM149" s="138">
        <f>AM142+AM143+SUM(AM144:AM147)</f>
        <v>48.024928583056642</v>
      </c>
      <c r="AN149" s="138">
        <v>43.686793585892829</v>
      </c>
      <c r="AO149" s="138">
        <f>AO142+AO143+SUM(AO144:AO147)</f>
        <v>40.143157681072537</v>
      </c>
      <c r="AP149" s="138">
        <v>36.599521776252246</v>
      </c>
      <c r="AQ149" s="138">
        <f>AQ142+AQ143+SUM(AQ144:AQ147)</f>
        <v>33.673674719591794</v>
      </c>
      <c r="AR149" s="138">
        <f>AR142+AR143+SUM(AR144:AR147)</f>
        <v>30.747827662931336</v>
      </c>
      <c r="AS149" s="138">
        <v>27.821980606270881</v>
      </c>
      <c r="AT149" s="138">
        <f>AT142+AT143+SUM(AT144:AT147)</f>
        <v>25.553241867392114</v>
      </c>
      <c r="AU149" s="138">
        <v>23.284503128513336</v>
      </c>
      <c r="AV149" s="138">
        <f>AV142+AV143+SUM(AV144:AV147)</f>
        <v>21.168856910515405</v>
      </c>
      <c r="AW149" s="138">
        <f>AW142+AW143+SUM(AW144:AW147)</f>
        <v>19.053210692517467</v>
      </c>
      <c r="AX149" s="138">
        <v>16.93756447451953</v>
      </c>
      <c r="AY149" s="138">
        <f>AY142+AY143+SUM(AY144:AY147)</f>
        <v>15.06111414035119</v>
      </c>
      <c r="AZ149" s="138">
        <v>13.184663806182851</v>
      </c>
      <c r="BA149" s="138">
        <f t="shared" si="132"/>
        <v>12.212901437348265</v>
      </c>
      <c r="BB149" s="138">
        <f t="shared" si="133"/>
        <v>11.24113906851368</v>
      </c>
      <c r="BC149" s="138">
        <f t="shared" si="134"/>
        <v>10.269376699679095</v>
      </c>
      <c r="BD149" s="138">
        <f t="shared" si="135"/>
        <v>9.2976143308445103</v>
      </c>
      <c r="BE149" s="138">
        <v>8.3258519620099243</v>
      </c>
      <c r="BF149" s="138">
        <f t="shared" si="136"/>
        <v>7.2747008866271834</v>
      </c>
      <c r="BG149" s="138">
        <f t="shared" si="137"/>
        <v>6.2235498112444425</v>
      </c>
      <c r="BH149" s="138">
        <f t="shared" si="138"/>
        <v>5.1723987358617007</v>
      </c>
      <c r="BI149" s="138">
        <f t="shared" si="139"/>
        <v>4.1212476604789599</v>
      </c>
      <c r="BJ149" s="138">
        <v>3.070096585096219</v>
      </c>
    </row>
    <row r="150" spans="1:62" ht="15">
      <c r="A150" s="500"/>
      <c r="B150" s="500"/>
      <c r="C150" s="500"/>
      <c r="D150" s="500"/>
      <c r="E150" s="500"/>
      <c r="F150" s="500"/>
      <c r="G150" s="500"/>
      <c r="H150" s="500"/>
      <c r="I150" s="500"/>
      <c r="J150" s="500"/>
      <c r="K150" s="500"/>
      <c r="L150" s="500"/>
      <c r="M150" s="500"/>
      <c r="N150" s="500"/>
      <c r="O150" s="500"/>
      <c r="P150" s="500"/>
      <c r="Q150" s="500"/>
      <c r="R150" s="500"/>
      <c r="S150" s="500"/>
      <c r="T150" s="500"/>
      <c r="U150" s="500"/>
      <c r="V150" s="500"/>
      <c r="W150" s="500"/>
      <c r="X150" s="500"/>
      <c r="Y150" s="500"/>
      <c r="Z150" s="500"/>
      <c r="AA150" s="500"/>
      <c r="AB150" s="500"/>
      <c r="AC150" s="61"/>
      <c r="AD150" s="61"/>
      <c r="AE150" s="61"/>
      <c r="AF150" s="61"/>
      <c r="AG150" s="61"/>
      <c r="AH150" s="61"/>
    </row>
    <row r="151" spans="1:62">
      <c r="A151" s="105" t="s">
        <v>268</v>
      </c>
      <c r="B151" s="106"/>
      <c r="C151" s="106"/>
      <c r="D151" s="106"/>
      <c r="E151" s="106"/>
      <c r="F151" s="106"/>
      <c r="G151" s="106"/>
      <c r="H151" s="106"/>
      <c r="I151" s="106"/>
      <c r="J151" s="106"/>
      <c r="K151" s="106"/>
      <c r="L151" s="106"/>
      <c r="M151" s="106"/>
      <c r="N151" s="106"/>
      <c r="O151" s="106"/>
      <c r="P151" s="106"/>
      <c r="Q151" s="106"/>
      <c r="R151" s="106"/>
      <c r="S151" s="106"/>
      <c r="T151" s="106"/>
      <c r="U151" s="106"/>
      <c r="V151" s="106"/>
      <c r="W151" s="106"/>
      <c r="X151" s="106"/>
      <c r="Y151" s="106"/>
      <c r="Z151" s="106"/>
      <c r="AA151" s="106"/>
      <c r="AB151" s="106"/>
      <c r="AC151" s="106"/>
      <c r="AD151" s="106"/>
      <c r="AE151" s="106"/>
      <c r="AF151" s="106"/>
      <c r="AG151" s="106"/>
      <c r="AH151" s="106"/>
      <c r="AI151" s="106"/>
      <c r="AJ151" s="106"/>
      <c r="AK151" s="505" t="s">
        <v>262</v>
      </c>
      <c r="AL151" s="505"/>
      <c r="AM151" s="505"/>
      <c r="AN151" s="505"/>
      <c r="AO151" s="505"/>
      <c r="AP151" s="505"/>
      <c r="AQ151" s="505"/>
      <c r="AR151" s="505"/>
      <c r="AS151" s="505"/>
      <c r="AT151" s="505"/>
      <c r="AU151" s="505"/>
      <c r="AV151" s="505"/>
      <c r="AW151" s="505"/>
      <c r="AX151" s="505"/>
      <c r="AY151" s="505"/>
      <c r="AZ151" s="505"/>
      <c r="BA151" s="505"/>
      <c r="BB151" s="505"/>
      <c r="BC151" s="505"/>
      <c r="BD151" s="505"/>
      <c r="BE151" s="505"/>
      <c r="BF151" s="505"/>
      <c r="BG151" s="505"/>
      <c r="BH151" s="505"/>
      <c r="BI151" s="505"/>
      <c r="BJ151" s="505"/>
    </row>
    <row r="152" spans="1:62" ht="26.4">
      <c r="A152" s="66" t="s">
        <v>263</v>
      </c>
      <c r="B152" s="67">
        <v>1990</v>
      </c>
      <c r="C152" s="67">
        <v>1991</v>
      </c>
      <c r="D152" s="67">
        <v>1992</v>
      </c>
      <c r="E152" s="67">
        <v>1993</v>
      </c>
      <c r="F152" s="67">
        <v>1994</v>
      </c>
      <c r="G152" s="67">
        <v>1995</v>
      </c>
      <c r="H152" s="67">
        <v>1996</v>
      </c>
      <c r="I152" s="67">
        <v>1997</v>
      </c>
      <c r="J152" s="67">
        <v>1998</v>
      </c>
      <c r="K152" s="67">
        <v>1999</v>
      </c>
      <c r="L152" s="67">
        <v>2000</v>
      </c>
      <c r="M152" s="67">
        <v>2001</v>
      </c>
      <c r="N152" s="67">
        <v>2002</v>
      </c>
      <c r="O152" s="67">
        <v>2003</v>
      </c>
      <c r="P152" s="67">
        <v>2004</v>
      </c>
      <c r="Q152" s="67">
        <v>2005</v>
      </c>
      <c r="R152" s="67">
        <v>2006</v>
      </c>
      <c r="S152" s="67">
        <v>2007</v>
      </c>
      <c r="T152" s="67">
        <v>2008</v>
      </c>
      <c r="U152" s="67">
        <v>2009</v>
      </c>
      <c r="V152" s="67">
        <v>2010</v>
      </c>
      <c r="W152" s="67">
        <v>2011</v>
      </c>
      <c r="X152" s="67">
        <v>2012</v>
      </c>
      <c r="Y152" s="67">
        <v>2013</v>
      </c>
      <c r="Z152" s="67">
        <v>2014</v>
      </c>
      <c r="AA152" s="67">
        <v>2015</v>
      </c>
      <c r="AB152" s="67">
        <v>2016</v>
      </c>
      <c r="AC152" s="67">
        <v>2017</v>
      </c>
      <c r="AD152" s="67">
        <v>2018</v>
      </c>
      <c r="AE152" s="67">
        <v>2019</v>
      </c>
      <c r="AF152" s="68">
        <v>2020</v>
      </c>
      <c r="AG152" s="68">
        <v>2021</v>
      </c>
      <c r="AH152" s="68">
        <v>2022</v>
      </c>
      <c r="AI152" s="67">
        <v>2023</v>
      </c>
      <c r="AJ152" s="67">
        <v>2024</v>
      </c>
      <c r="AK152" s="67">
        <v>2025</v>
      </c>
      <c r="AL152" s="67">
        <v>2026</v>
      </c>
      <c r="AM152" s="142">
        <v>2027</v>
      </c>
      <c r="AN152" s="67">
        <v>2028</v>
      </c>
      <c r="AO152" s="142">
        <v>2029</v>
      </c>
      <c r="AP152" s="67">
        <v>2030</v>
      </c>
      <c r="AQ152" s="142">
        <v>2031</v>
      </c>
      <c r="AR152" s="142">
        <v>2032</v>
      </c>
      <c r="AS152" s="67">
        <v>2033</v>
      </c>
      <c r="AT152" s="142">
        <v>2034</v>
      </c>
      <c r="AU152" s="67">
        <v>2035</v>
      </c>
      <c r="AV152" s="142">
        <v>2036</v>
      </c>
      <c r="AW152" s="142">
        <v>2037</v>
      </c>
      <c r="AX152" s="67">
        <v>2038</v>
      </c>
      <c r="AY152" s="142">
        <v>2039</v>
      </c>
      <c r="AZ152" s="67">
        <v>2040</v>
      </c>
      <c r="BA152" s="142">
        <v>2041</v>
      </c>
      <c r="BB152" s="142">
        <v>2042</v>
      </c>
      <c r="BC152" s="142">
        <v>2043</v>
      </c>
      <c r="BD152" s="142">
        <v>2044</v>
      </c>
      <c r="BE152" s="67">
        <v>2045</v>
      </c>
      <c r="BF152" s="142">
        <v>2046</v>
      </c>
      <c r="BG152" s="142">
        <v>2047</v>
      </c>
      <c r="BH152" s="142">
        <v>2048</v>
      </c>
      <c r="BI152" s="142">
        <v>2049</v>
      </c>
      <c r="BJ152" s="67">
        <v>2050</v>
      </c>
    </row>
    <row r="153" spans="1:62">
      <c r="A153" s="91" t="s">
        <v>217</v>
      </c>
      <c r="B153" s="83">
        <v>48.606795297922105</v>
      </c>
      <c r="C153" s="83">
        <v>47.673313228763888</v>
      </c>
      <c r="D153" s="83">
        <v>46.808627446888472</v>
      </c>
      <c r="E153" s="83">
        <v>46.347839094991826</v>
      </c>
      <c r="F153" s="83">
        <v>46.500820574064392</v>
      </c>
      <c r="G153" s="83">
        <v>46.702214716700681</v>
      </c>
      <c r="H153" s="83">
        <v>46.623909103335741</v>
      </c>
      <c r="I153" s="83">
        <v>46.076302582221942</v>
      </c>
      <c r="J153" s="83">
        <v>45.794948479864125</v>
      </c>
      <c r="K153" s="83">
        <v>45.847420912757329</v>
      </c>
      <c r="L153" s="83">
        <v>47.727650742112104</v>
      </c>
      <c r="M153" s="83">
        <v>47.841077638275991</v>
      </c>
      <c r="N153" s="83">
        <v>46.673781428663951</v>
      </c>
      <c r="O153" s="83">
        <v>45.101388152699265</v>
      </c>
      <c r="P153" s="83">
        <v>44.534599695345243</v>
      </c>
      <c r="Q153" s="83">
        <v>44.4089866943754</v>
      </c>
      <c r="R153" s="83">
        <v>44.531817695202776</v>
      </c>
      <c r="S153" s="83">
        <v>44.984511541603815</v>
      </c>
      <c r="T153" s="83">
        <v>45.900613460191039</v>
      </c>
      <c r="U153" s="83">
        <v>45.326888263335476</v>
      </c>
      <c r="V153" s="83">
        <v>44.762248083013176</v>
      </c>
      <c r="W153" s="83">
        <v>44.142003694405524</v>
      </c>
      <c r="X153" s="83">
        <v>43.724260409244849</v>
      </c>
      <c r="Y153" s="83">
        <v>43.870988581665394</v>
      </c>
      <c r="Z153" s="83">
        <v>44.498850424050993</v>
      </c>
      <c r="AA153" s="83">
        <v>44.618563030577491</v>
      </c>
      <c r="AB153" s="83">
        <v>44.24404627162864</v>
      </c>
      <c r="AC153" s="83">
        <v>43.820919286088525</v>
      </c>
      <c r="AD153" s="83">
        <v>43.027810212505635</v>
      </c>
      <c r="AE153" s="83">
        <v>42.278311151183757</v>
      </c>
      <c r="AF153" s="83">
        <v>41.490735516595876</v>
      </c>
      <c r="AG153" s="83">
        <v>40.388267352751065</v>
      </c>
      <c r="AH153" s="83">
        <v>39.627953834136157</v>
      </c>
      <c r="AI153" s="277">
        <v>39.013171245590826</v>
      </c>
      <c r="AJ153" s="277">
        <v>38.642487641493865</v>
      </c>
      <c r="AK153" s="277">
        <v>37.550265778181675</v>
      </c>
      <c r="AL153" s="277">
        <v>37.34842107793154</v>
      </c>
      <c r="AM153" s="382">
        <f t="shared" ref="AM153:AM156" si="157">(AL153+AN153)/2</f>
        <v>36.852074454769394</v>
      </c>
      <c r="AN153" s="277">
        <v>36.35572783160724</v>
      </c>
      <c r="AO153" s="277">
        <f t="shared" ref="AO153:AO156" si="158">AN153+(AP153-AN153)/2</f>
        <v>35.827960241855891</v>
      </c>
      <c r="AP153" s="277">
        <v>35.300192652104535</v>
      </c>
      <c r="AQ153" s="277">
        <f t="shared" ref="AQ153:AQ156" si="159">AP153+(AS153-AP153)/3</f>
        <v>34.656751145333864</v>
      </c>
      <c r="AR153" s="277">
        <f t="shared" ref="AR153:AR156" si="160">AP153+(AS153-AP153)*2/3</f>
        <v>34.0133096385632</v>
      </c>
      <c r="AS153" s="277">
        <v>33.369868131792529</v>
      </c>
      <c r="AT153" s="277">
        <f t="shared" ref="AT153:AT156" si="161">AS153+(AU153-AS153)/2</f>
        <v>32.741451954925779</v>
      </c>
      <c r="AU153" s="277">
        <v>32.113035778059029</v>
      </c>
      <c r="AV153" s="277">
        <f t="shared" ref="AV153:AV156" si="162">AU153+(AX153-AU153)/3</f>
        <v>31.499515260235608</v>
      </c>
      <c r="AW153" s="277">
        <f t="shared" ref="AW153:AW156" si="163">AU153+(AX153-AU153)*2/3</f>
        <v>30.885994742412191</v>
      </c>
      <c r="AX153" s="277">
        <v>30.27247422458877</v>
      </c>
      <c r="AY153" s="277">
        <f t="shared" ref="AY153:AY156" si="164">AX153+(AZ153-AX153)/2</f>
        <v>29.673735465602917</v>
      </c>
      <c r="AZ153" s="277">
        <v>29.074996706617064</v>
      </c>
      <c r="BA153" s="277">
        <f t="shared" ref="BA153:BA165" si="165">AZ153+(BE153-AZ153)*1/5</f>
        <v>28.496723557917086</v>
      </c>
      <c r="BB153" s="277">
        <f t="shared" ref="BB153:BB165" si="166">AZ153+(BE153-AZ153)*2/5</f>
        <v>27.918450409217108</v>
      </c>
      <c r="BC153" s="277">
        <f t="shared" ref="BC153:BC165" si="167">AZ153+(BE153-AZ153)*3/5</f>
        <v>27.34017726051713</v>
      </c>
      <c r="BD153" s="277">
        <f t="shared" ref="BD153:BD165" si="168">AZ153+(BE153-AZ153)*4/5</f>
        <v>26.761904111817152</v>
      </c>
      <c r="BE153" s="277">
        <v>26.183630963117174</v>
      </c>
      <c r="BF153" s="277">
        <f t="shared" ref="BF153:BF165" si="169">BE153+(BJ153-BE153)*1/5</f>
        <v>25.634199829115087</v>
      </c>
      <c r="BG153" s="277">
        <f t="shared" ref="BG153:BG165" si="170">BE153+(BJ153-BE153)*2/5</f>
        <v>25.084768695112999</v>
      </c>
      <c r="BH153" s="277">
        <f t="shared" ref="BH153:BH165" si="171">BE153+(BJ153-BE153)*3/5</f>
        <v>24.535337561110911</v>
      </c>
      <c r="BI153" s="277">
        <f t="shared" ref="BI153:BI165" si="172">BE153+(BJ153-BE153)*4/5</f>
        <v>23.985906427108823</v>
      </c>
      <c r="BJ153" s="277">
        <v>23.436475293106735</v>
      </c>
    </row>
    <row r="154" spans="1:62">
      <c r="A154" s="91" t="s">
        <v>218</v>
      </c>
      <c r="B154" s="83">
        <v>2.3152764334990854</v>
      </c>
      <c r="C154" s="83">
        <v>2.3306456396167139</v>
      </c>
      <c r="D154" s="83">
        <v>2.4383389295961182</v>
      </c>
      <c r="E154" s="83">
        <v>2.5843240411786828</v>
      </c>
      <c r="F154" s="83">
        <v>2.7101083730847479</v>
      </c>
      <c r="G154" s="83">
        <v>2.7552658372553598</v>
      </c>
      <c r="H154" s="83">
        <v>2.8749301551713611</v>
      </c>
      <c r="I154" s="83">
        <v>2.9609000868969604</v>
      </c>
      <c r="J154" s="83">
        <v>3.053474578442926</v>
      </c>
      <c r="K154" s="83">
        <v>3.0910790296481085</v>
      </c>
      <c r="L154" s="83">
        <v>3.1279808526708384</v>
      </c>
      <c r="M154" s="83">
        <v>3.2412348240098932</v>
      </c>
      <c r="N154" s="83">
        <v>3.3052289232332317</v>
      </c>
      <c r="O154" s="83">
        <v>3.288799794799651</v>
      </c>
      <c r="P154" s="83">
        <v>3.2789452236154553</v>
      </c>
      <c r="Q154" s="83">
        <v>3.2688660677637689</v>
      </c>
      <c r="R154" s="83">
        <v>3.2522930179179741</v>
      </c>
      <c r="S154" s="83">
        <v>3.2723578568070701</v>
      </c>
      <c r="T154" s="83">
        <v>3.2695336767843628</v>
      </c>
      <c r="U154" s="83">
        <v>3.2176530091455176</v>
      </c>
      <c r="V154" s="83">
        <v>3.131484404823154</v>
      </c>
      <c r="W154" s="83">
        <v>3.0762216649500411</v>
      </c>
      <c r="X154" s="83">
        <v>3.0092344182679613</v>
      </c>
      <c r="Y154" s="83">
        <v>2.9513786922652496</v>
      </c>
      <c r="Z154" s="83">
        <v>2.9471224859314704</v>
      </c>
      <c r="AA154" s="83">
        <v>2.9595348869045131</v>
      </c>
      <c r="AB154" s="83">
        <v>2.9837735480339762</v>
      </c>
      <c r="AC154" s="83">
        <v>2.9456122316893811</v>
      </c>
      <c r="AD154" s="83">
        <v>2.9497871145345451</v>
      </c>
      <c r="AE154" s="83">
        <v>2.8914327053934663</v>
      </c>
      <c r="AF154" s="83">
        <v>2.8499530789579097</v>
      </c>
      <c r="AG154" s="83">
        <v>2.8284510712180766</v>
      </c>
      <c r="AH154" s="83">
        <v>2.6728748296561489</v>
      </c>
      <c r="AI154" s="277">
        <v>2.5008580455473202</v>
      </c>
      <c r="AJ154" s="277">
        <v>2.4651316141533792</v>
      </c>
      <c r="AK154" s="277">
        <v>2.4456442383443231</v>
      </c>
      <c r="AL154" s="277">
        <v>2.4284237807417921</v>
      </c>
      <c r="AM154" s="382">
        <f t="shared" si="157"/>
        <v>2.3979927676699608</v>
      </c>
      <c r="AN154" s="277">
        <v>2.3675617545981296</v>
      </c>
      <c r="AO154" s="277">
        <f t="shared" si="158"/>
        <v>2.344473200828975</v>
      </c>
      <c r="AP154" s="277">
        <v>2.3213846470598205</v>
      </c>
      <c r="AQ154" s="277">
        <f t="shared" si="159"/>
        <v>2.2301198461262084</v>
      </c>
      <c r="AR154" s="277">
        <f t="shared" si="160"/>
        <v>2.1388550451925958</v>
      </c>
      <c r="AS154" s="277">
        <v>2.0475902442589837</v>
      </c>
      <c r="AT154" s="277">
        <f t="shared" si="161"/>
        <v>1.9601175408839628</v>
      </c>
      <c r="AU154" s="277">
        <v>1.8726448375089422</v>
      </c>
      <c r="AV154" s="277">
        <f t="shared" si="162"/>
        <v>1.7889642316925136</v>
      </c>
      <c r="AW154" s="277">
        <f t="shared" si="163"/>
        <v>1.7052836258760853</v>
      </c>
      <c r="AX154" s="277">
        <v>1.6216030200596567</v>
      </c>
      <c r="AY154" s="277">
        <f t="shared" si="164"/>
        <v>1.5417145118018203</v>
      </c>
      <c r="AZ154" s="277">
        <v>1.4618260035439841</v>
      </c>
      <c r="BA154" s="277">
        <f t="shared" si="165"/>
        <v>1.3872464318681768</v>
      </c>
      <c r="BB154" s="277">
        <f t="shared" si="166"/>
        <v>1.3126668601923694</v>
      </c>
      <c r="BC154" s="277">
        <f t="shared" si="167"/>
        <v>1.2380872885165621</v>
      </c>
      <c r="BD154" s="277">
        <f t="shared" si="168"/>
        <v>1.1635077168407548</v>
      </c>
      <c r="BE154" s="277">
        <v>1.0889281451649475</v>
      </c>
      <c r="BF154" s="277">
        <f t="shared" si="169"/>
        <v>1.0219327686063244</v>
      </c>
      <c r="BG154" s="277">
        <f t="shared" si="170"/>
        <v>0.95493739204770112</v>
      </c>
      <c r="BH154" s="277">
        <f t="shared" si="171"/>
        <v>0.88794201548907803</v>
      </c>
      <c r="BI154" s="277">
        <f t="shared" si="172"/>
        <v>0.82094663893045483</v>
      </c>
      <c r="BJ154" s="277">
        <v>0.75395126237183163</v>
      </c>
    </row>
    <row r="155" spans="1:62">
      <c r="A155" s="91" t="s">
        <v>219</v>
      </c>
      <c r="B155" s="83">
        <v>0.22581630087662177</v>
      </c>
      <c r="C155" s="83">
        <v>0.23283561975754341</v>
      </c>
      <c r="D155" s="83">
        <v>0.23898547139900558</v>
      </c>
      <c r="E155" s="83">
        <v>0.24562744612476103</v>
      </c>
      <c r="F155" s="83">
        <v>0.25139505046166061</v>
      </c>
      <c r="G155" s="83">
        <v>0.25691987049969617</v>
      </c>
      <c r="H155" s="83">
        <v>0.26130129549030717</v>
      </c>
      <c r="I155" s="83">
        <v>0.26728470473250299</v>
      </c>
      <c r="J155" s="83">
        <v>0.27487825697025925</v>
      </c>
      <c r="K155" s="83">
        <v>0.26667630620539962</v>
      </c>
      <c r="L155" s="83">
        <v>0.25902701969900432</v>
      </c>
      <c r="M155" s="83">
        <v>0.26356708119383698</v>
      </c>
      <c r="N155" s="83">
        <v>0.26043416966898952</v>
      </c>
      <c r="O155" s="83">
        <v>0.25176001775355628</v>
      </c>
      <c r="P155" s="83">
        <v>0.24069039389562946</v>
      </c>
      <c r="Q155" s="83">
        <v>0.23363148997876429</v>
      </c>
      <c r="R155" s="83">
        <v>0.2303641986738221</v>
      </c>
      <c r="S155" s="83">
        <v>0.23180544851741522</v>
      </c>
      <c r="T155" s="83">
        <v>0.23197997277207927</v>
      </c>
      <c r="U155" s="83">
        <v>0.23205711388959946</v>
      </c>
      <c r="V155" s="83">
        <v>0.23481358083992931</v>
      </c>
      <c r="W155" s="83">
        <v>0.2340953628710169</v>
      </c>
      <c r="X155" s="83">
        <v>0.23776380183010559</v>
      </c>
      <c r="Y155" s="83">
        <v>0.24027980644396751</v>
      </c>
      <c r="Z155" s="83">
        <v>0.2448331136039319</v>
      </c>
      <c r="AA155" s="83">
        <v>0.24829105217396077</v>
      </c>
      <c r="AB155" s="83">
        <v>0.24585753198396751</v>
      </c>
      <c r="AC155" s="83">
        <v>0.24708447937887712</v>
      </c>
      <c r="AD155" s="83">
        <v>0.24318182745454606</v>
      </c>
      <c r="AE155" s="83">
        <v>0.23981249072333255</v>
      </c>
      <c r="AF155" s="83">
        <v>0.24005238848970972</v>
      </c>
      <c r="AG155" s="83">
        <v>0.23664983973995049</v>
      </c>
      <c r="AH155" s="83">
        <v>0.22061225337712456</v>
      </c>
      <c r="AI155" s="277">
        <v>0.21579338273172827</v>
      </c>
      <c r="AJ155" s="277">
        <v>0.22459630717236348</v>
      </c>
      <c r="AK155" s="277">
        <v>0.22854718699844784</v>
      </c>
      <c r="AL155" s="277">
        <v>0.23223648731525329</v>
      </c>
      <c r="AM155" s="382">
        <f t="shared" si="157"/>
        <v>0.23796287143184405</v>
      </c>
      <c r="AN155" s="277">
        <v>0.24368925554843482</v>
      </c>
      <c r="AO155" s="277">
        <f t="shared" si="158"/>
        <v>0.2513053569431995</v>
      </c>
      <c r="AP155" s="277">
        <v>0.25892145833796415</v>
      </c>
      <c r="AQ155" s="277">
        <f t="shared" si="159"/>
        <v>0.26108397444055625</v>
      </c>
      <c r="AR155" s="277">
        <f t="shared" si="160"/>
        <v>0.26324649054314841</v>
      </c>
      <c r="AS155" s="277">
        <v>0.26540900664574052</v>
      </c>
      <c r="AT155" s="277">
        <f t="shared" si="161"/>
        <v>0.26757152274833262</v>
      </c>
      <c r="AU155" s="277">
        <v>0.26973403885092478</v>
      </c>
      <c r="AV155" s="277">
        <f t="shared" si="162"/>
        <v>0.27189655495351689</v>
      </c>
      <c r="AW155" s="277">
        <f t="shared" si="163"/>
        <v>0.27405907105610899</v>
      </c>
      <c r="AX155" s="277">
        <v>0.2762215871587011</v>
      </c>
      <c r="AY155" s="277">
        <f t="shared" si="164"/>
        <v>0.27838410326129326</v>
      </c>
      <c r="AZ155" s="277">
        <v>0.28054661936388547</v>
      </c>
      <c r="BA155" s="277">
        <f t="shared" si="165"/>
        <v>0.28270913546647758</v>
      </c>
      <c r="BB155" s="277">
        <f t="shared" si="166"/>
        <v>0.28487165156906974</v>
      </c>
      <c r="BC155" s="277">
        <f t="shared" si="167"/>
        <v>0.28703416767166184</v>
      </c>
      <c r="BD155" s="277">
        <f t="shared" si="168"/>
        <v>0.289196683774254</v>
      </c>
      <c r="BE155" s="277">
        <v>0.29135919987684611</v>
      </c>
      <c r="BF155" s="277">
        <f t="shared" si="169"/>
        <v>0.29352171597943827</v>
      </c>
      <c r="BG155" s="277">
        <f t="shared" si="170"/>
        <v>0.29568423208203037</v>
      </c>
      <c r="BH155" s="277">
        <f t="shared" si="171"/>
        <v>0.29784674818462253</v>
      </c>
      <c r="BI155" s="277">
        <f t="shared" si="172"/>
        <v>0.30000926428721464</v>
      </c>
      <c r="BJ155" s="277">
        <v>0.3021717803898068</v>
      </c>
    </row>
    <row r="156" spans="1:62">
      <c r="A156" s="91" t="s">
        <v>220</v>
      </c>
      <c r="B156" s="83">
        <v>6.2856221289258114</v>
      </c>
      <c r="C156" s="83">
        <v>6.1561446075128448</v>
      </c>
      <c r="D156" s="83">
        <v>6.0185114538363464</v>
      </c>
      <c r="E156" s="83">
        <v>5.9679341777914416</v>
      </c>
      <c r="F156" s="83">
        <v>5.9739005236558427</v>
      </c>
      <c r="G156" s="83">
        <v>5.9897950393856441</v>
      </c>
      <c r="H156" s="83">
        <v>5.9798923539941242</v>
      </c>
      <c r="I156" s="83">
        <v>5.9193131752475585</v>
      </c>
      <c r="J156" s="83">
        <v>5.8697719723398221</v>
      </c>
      <c r="K156" s="83">
        <v>5.8059872199364815</v>
      </c>
      <c r="L156" s="83">
        <v>5.8096790817100485</v>
      </c>
      <c r="M156" s="83">
        <v>5.7227588155156486</v>
      </c>
      <c r="N156" s="83">
        <v>5.6716637915270312</v>
      </c>
      <c r="O156" s="83">
        <v>5.6233800407230907</v>
      </c>
      <c r="P156" s="83">
        <v>5.5619153581364644</v>
      </c>
      <c r="Q156" s="83">
        <v>5.5291518506071018</v>
      </c>
      <c r="R156" s="83">
        <v>5.4280007141817554</v>
      </c>
      <c r="S156" s="83">
        <v>5.3260848995938623</v>
      </c>
      <c r="T156" s="83">
        <v>5.2148471991660461</v>
      </c>
      <c r="U156" s="83">
        <v>5.1893987534936556</v>
      </c>
      <c r="V156" s="83">
        <v>5.1926849320543962</v>
      </c>
      <c r="W156" s="83">
        <v>5.0459102915957139</v>
      </c>
      <c r="X156" s="83">
        <v>4.9202881746758482</v>
      </c>
      <c r="Y156" s="83">
        <v>4.8126006301814064</v>
      </c>
      <c r="Z156" s="83">
        <v>4.7864998946761421</v>
      </c>
      <c r="AA156" s="83">
        <v>4.7278974340896358</v>
      </c>
      <c r="AB156" s="83">
        <v>4.6779659237996052</v>
      </c>
      <c r="AC156" s="83">
        <v>4.6357370175328754</v>
      </c>
      <c r="AD156" s="83">
        <v>4.6777787731397771</v>
      </c>
      <c r="AE156" s="83">
        <v>4.6188468556561926</v>
      </c>
      <c r="AF156" s="83">
        <v>4.6218006101469369</v>
      </c>
      <c r="AG156" s="83">
        <v>4.57857862388237</v>
      </c>
      <c r="AH156" s="83">
        <v>4.4630313072978902</v>
      </c>
      <c r="AI156" s="277">
        <v>4.3831647266632254</v>
      </c>
      <c r="AJ156" s="277">
        <v>4.3636642042042295</v>
      </c>
      <c r="AK156" s="277">
        <v>4.351043847999728</v>
      </c>
      <c r="AL156" s="277">
        <v>4.3272144094876461</v>
      </c>
      <c r="AM156" s="382">
        <f t="shared" si="157"/>
        <v>4.3473251635820818</v>
      </c>
      <c r="AN156" s="277">
        <v>4.3674359176765174</v>
      </c>
      <c r="AO156" s="277">
        <f t="shared" si="158"/>
        <v>4.3198401744822155</v>
      </c>
      <c r="AP156" s="277">
        <v>4.2722444312879135</v>
      </c>
      <c r="AQ156" s="277">
        <f t="shared" si="159"/>
        <v>4.2249332741815104</v>
      </c>
      <c r="AR156" s="277">
        <f t="shared" si="160"/>
        <v>4.1776221170751064</v>
      </c>
      <c r="AS156" s="277">
        <v>4.1303109599687033</v>
      </c>
      <c r="AT156" s="277">
        <f t="shared" si="161"/>
        <v>4.0848249984312304</v>
      </c>
      <c r="AU156" s="277">
        <v>4.0393390368937574</v>
      </c>
      <c r="AV156" s="277">
        <f t="shared" si="162"/>
        <v>3.9955897958816018</v>
      </c>
      <c r="AW156" s="277">
        <f t="shared" si="163"/>
        <v>3.9518405548694457</v>
      </c>
      <c r="AX156" s="277">
        <v>3.9080913138572901</v>
      </c>
      <c r="AY156" s="277">
        <f t="shared" si="164"/>
        <v>3.8651472744502913</v>
      </c>
      <c r="AZ156" s="277">
        <v>3.8222032350432928</v>
      </c>
      <c r="BA156" s="277">
        <f t="shared" si="165"/>
        <v>3.7795772524130178</v>
      </c>
      <c r="BB156" s="277">
        <f t="shared" si="166"/>
        <v>3.7369512697827427</v>
      </c>
      <c r="BC156" s="277">
        <f t="shared" si="167"/>
        <v>3.6943252871524677</v>
      </c>
      <c r="BD156" s="277">
        <f t="shared" si="168"/>
        <v>3.6516993045221926</v>
      </c>
      <c r="BE156" s="277">
        <v>3.6090733218919175</v>
      </c>
      <c r="BF156" s="277">
        <f t="shared" si="169"/>
        <v>3.5674795220398332</v>
      </c>
      <c r="BG156" s="277">
        <f t="shared" si="170"/>
        <v>3.5258857221877489</v>
      </c>
      <c r="BH156" s="277">
        <f t="shared" si="171"/>
        <v>3.4842919223356641</v>
      </c>
      <c r="BI156" s="277">
        <f t="shared" si="172"/>
        <v>3.4426981224835798</v>
      </c>
      <c r="BJ156" s="277">
        <v>3.4011043226314954</v>
      </c>
    </row>
    <row r="157" spans="1:62">
      <c r="A157" s="107" t="s">
        <v>287</v>
      </c>
      <c r="B157" s="108">
        <f t="shared" ref="B157:AK157" si="173">SUM(B153+B154+B155+B156)</f>
        <v>57.433510161223623</v>
      </c>
      <c r="C157" s="108">
        <f t="shared" si="173"/>
        <v>56.392939095650988</v>
      </c>
      <c r="D157" s="108">
        <f t="shared" si="173"/>
        <v>55.504463301719944</v>
      </c>
      <c r="E157" s="108">
        <f t="shared" si="173"/>
        <v>55.145724760086715</v>
      </c>
      <c r="F157" s="108">
        <f t="shared" si="173"/>
        <v>55.436224521266645</v>
      </c>
      <c r="G157" s="108">
        <f t="shared" si="173"/>
        <v>55.704195463841373</v>
      </c>
      <c r="H157" s="108">
        <f t="shared" si="173"/>
        <v>55.740032907991534</v>
      </c>
      <c r="I157" s="108">
        <f t="shared" si="173"/>
        <v>55.223800549098968</v>
      </c>
      <c r="J157" s="108">
        <f t="shared" si="173"/>
        <v>54.993073287617129</v>
      </c>
      <c r="K157" s="108">
        <f t="shared" si="173"/>
        <v>55.011163468547316</v>
      </c>
      <c r="L157" s="108">
        <f t="shared" si="173"/>
        <v>56.924337696191998</v>
      </c>
      <c r="M157" s="108">
        <f t="shared" si="173"/>
        <v>57.068638358995365</v>
      </c>
      <c r="N157" s="108">
        <f t="shared" si="173"/>
        <v>55.911108313093202</v>
      </c>
      <c r="O157" s="108">
        <f t="shared" si="173"/>
        <v>54.265328005975562</v>
      </c>
      <c r="P157" s="108">
        <f t="shared" si="173"/>
        <v>53.616150670992795</v>
      </c>
      <c r="Q157" s="108">
        <f t="shared" si="173"/>
        <v>53.44063610272503</v>
      </c>
      <c r="R157" s="108">
        <f t="shared" si="173"/>
        <v>53.442475625976329</v>
      </c>
      <c r="S157" s="108">
        <f t="shared" si="173"/>
        <v>53.814759746522157</v>
      </c>
      <c r="T157" s="108">
        <f t="shared" si="173"/>
        <v>54.616974308913527</v>
      </c>
      <c r="U157" s="108">
        <f t="shared" si="173"/>
        <v>53.96599713986425</v>
      </c>
      <c r="V157" s="108">
        <f t="shared" si="173"/>
        <v>53.321231000730656</v>
      </c>
      <c r="W157" s="108">
        <f t="shared" si="173"/>
        <v>52.498231013822291</v>
      </c>
      <c r="X157" s="108">
        <f t="shared" si="173"/>
        <v>51.891546804018759</v>
      </c>
      <c r="Y157" s="108">
        <f t="shared" si="173"/>
        <v>51.875247710556017</v>
      </c>
      <c r="Z157" s="108">
        <f t="shared" si="173"/>
        <v>52.477305918262537</v>
      </c>
      <c r="AA157" s="108">
        <f t="shared" si="173"/>
        <v>52.5542864037456</v>
      </c>
      <c r="AB157" s="108">
        <f t="shared" si="173"/>
        <v>52.151643275446183</v>
      </c>
      <c r="AC157" s="108">
        <f t="shared" si="173"/>
        <v>51.649353014689659</v>
      </c>
      <c r="AD157" s="108">
        <f t="shared" si="173"/>
        <v>50.898557927634506</v>
      </c>
      <c r="AE157" s="108">
        <f t="shared" si="173"/>
        <v>50.028403202956753</v>
      </c>
      <c r="AF157" s="108">
        <f t="shared" si="173"/>
        <v>49.202541594190428</v>
      </c>
      <c r="AG157" s="108">
        <f t="shared" si="173"/>
        <v>48.031946887591467</v>
      </c>
      <c r="AH157" s="108">
        <f t="shared" si="173"/>
        <v>46.984472224467325</v>
      </c>
      <c r="AI157" s="108">
        <f t="shared" si="173"/>
        <v>46.112987400533093</v>
      </c>
      <c r="AJ157" s="108">
        <f t="shared" si="173"/>
        <v>45.695879767023833</v>
      </c>
      <c r="AK157" s="108">
        <f t="shared" si="173"/>
        <v>44.575501051524171</v>
      </c>
      <c r="AL157" s="108">
        <v>44.336295755476236</v>
      </c>
      <c r="AM157" s="108">
        <f>SUM(AM153+AM154+AM155+AM156)</f>
        <v>43.835355257453287</v>
      </c>
      <c r="AN157" s="108">
        <f>SUM(AN153+AN154+AN155+AN156)</f>
        <v>43.334414759430317</v>
      </c>
      <c r="AO157" s="108">
        <f>SUM(AO153+AO154+AO155+AO156)</f>
        <v>42.743578974110278</v>
      </c>
      <c r="AP157" s="108">
        <v>42.15274318879024</v>
      </c>
      <c r="AQ157" s="108">
        <f>SUM(AQ153+AQ154+AQ155+AQ156)</f>
        <v>41.37288824008214</v>
      </c>
      <c r="AR157" s="108">
        <f>SUM(AR153+AR154+AR155+AR156)</f>
        <v>40.593033291374056</v>
      </c>
      <c r="AS157" s="108">
        <v>39.813178342665957</v>
      </c>
      <c r="AT157" s="108">
        <f>SUM(AT153+AT154+AT155+AT156)</f>
        <v>39.053966016989307</v>
      </c>
      <c r="AU157" s="108">
        <v>38.294753691312657</v>
      </c>
      <c r="AV157" s="108">
        <f>SUM(AV153+AV154+AV155+AV156)</f>
        <v>37.555965842763236</v>
      </c>
      <c r="AW157" s="108">
        <f>SUM(AW153+AW154+AW155+AW156)</f>
        <v>36.817177994213836</v>
      </c>
      <c r="AX157" s="108">
        <v>36.078390145664414</v>
      </c>
      <c r="AY157" s="108">
        <f>SUM(AY153+AY154+AY155+AY156)</f>
        <v>35.35898135511632</v>
      </c>
      <c r="AZ157" s="108">
        <v>34.639572564568226</v>
      </c>
      <c r="BA157" s="108">
        <f>SUM(BA153+BA154+BA155+BA156)</f>
        <v>33.94625637766476</v>
      </c>
      <c r="BB157" s="108">
        <f>SUM(BB153+BB154+BB155+BB156)</f>
        <v>33.252940190761286</v>
      </c>
      <c r="BC157" s="108">
        <f>SUM(BC153+BC154+BC155+BC156)</f>
        <v>32.559624003857827</v>
      </c>
      <c r="BD157" s="108">
        <f>SUM(BD153+BD154+BD155+BD156)</f>
        <v>31.866307816954354</v>
      </c>
      <c r="BE157" s="108">
        <v>31.172991630050884</v>
      </c>
      <c r="BF157" s="108">
        <f>SUM(BF153+BF154+BF155+BF156)</f>
        <v>30.51713383574068</v>
      </c>
      <c r="BG157" s="108">
        <f>SUM(BG153+BG154+BG155+BG156)</f>
        <v>29.861276041430479</v>
      </c>
      <c r="BH157" s="108">
        <f>SUM(BH153+BH154+BH155+BH156)</f>
        <v>29.205418247120274</v>
      </c>
      <c r="BI157" s="108">
        <f>SUM(BI153+BI154+BI155+BI156)</f>
        <v>28.549560452810073</v>
      </c>
      <c r="BJ157" s="108">
        <v>27.893702658499869</v>
      </c>
    </row>
    <row r="158" spans="1:62">
      <c r="A158" s="91" t="s">
        <v>222</v>
      </c>
      <c r="B158" s="83">
        <v>13.16485656437774</v>
      </c>
      <c r="C158" s="83">
        <v>12.914166146723215</v>
      </c>
      <c r="D158" s="83">
        <v>12.601833445889559</v>
      </c>
      <c r="E158" s="83">
        <v>12.015054229219928</v>
      </c>
      <c r="F158" s="83">
        <v>11.250063639518668</v>
      </c>
      <c r="G158" s="83">
        <v>11.709234681890221</v>
      </c>
      <c r="H158" s="83">
        <v>12.102239568958984</v>
      </c>
      <c r="I158" s="83">
        <v>12.4654147300473</v>
      </c>
      <c r="J158" s="83">
        <v>12.386241069595235</v>
      </c>
      <c r="K158" s="83">
        <v>12.507505983680716</v>
      </c>
      <c r="L158" s="83">
        <v>12.649469905956163</v>
      </c>
      <c r="M158" s="83">
        <v>12.562273821216193</v>
      </c>
      <c r="N158" s="83">
        <v>12.245059846145253</v>
      </c>
      <c r="O158" s="83">
        <v>11.866375856044955</v>
      </c>
      <c r="P158" s="83">
        <v>11.930984944803381</v>
      </c>
      <c r="Q158" s="83">
        <v>12.152129755635073</v>
      </c>
      <c r="R158" s="83">
        <v>11.578080637727837</v>
      </c>
      <c r="S158" s="83">
        <v>11.206936121701167</v>
      </c>
      <c r="T158" s="83">
        <v>11.789857904125689</v>
      </c>
      <c r="U158" s="83">
        <v>11.678302209701005</v>
      </c>
      <c r="V158" s="83">
        <v>10.75529827874443</v>
      </c>
      <c r="W158" s="83">
        <v>11.387848553682169</v>
      </c>
      <c r="X158" s="83">
        <v>11.329039091935249</v>
      </c>
      <c r="Y158" s="83">
        <v>10.776568365010997</v>
      </c>
      <c r="Z158" s="83">
        <v>11.251968477353511</v>
      </c>
      <c r="AA158" s="83">
        <v>11.547713249833539</v>
      </c>
      <c r="AB158" s="83">
        <v>11.549112961534414</v>
      </c>
      <c r="AC158" s="83">
        <v>11.356666802118699</v>
      </c>
      <c r="AD158" s="83">
        <v>11.523017531671444</v>
      </c>
      <c r="AE158" s="83">
        <v>11.337846382997732</v>
      </c>
      <c r="AF158" s="83">
        <v>11.220812237897041</v>
      </c>
      <c r="AG158" s="83">
        <v>10.927838047267375</v>
      </c>
      <c r="AH158" s="83">
        <v>10.601583540040442</v>
      </c>
      <c r="AI158" s="277">
        <v>10.188960279750134</v>
      </c>
      <c r="AJ158" s="277">
        <v>9.8975616851564503</v>
      </c>
      <c r="AK158" s="277">
        <v>10.181469313711295</v>
      </c>
      <c r="AL158" s="277">
        <v>9.867483641526368</v>
      </c>
      <c r="AM158" s="382">
        <f t="shared" ref="AM158:AM162" si="174">(AL158+AN158)/2</f>
        <v>9.240358538209005</v>
      </c>
      <c r="AN158" s="277">
        <v>8.6132334348916437</v>
      </c>
      <c r="AO158" s="277">
        <f>AN158+(AP158-AN158)/2</f>
        <v>8.2571328162316782</v>
      </c>
      <c r="AP158" s="277">
        <v>7.9010321975717126</v>
      </c>
      <c r="AQ158" s="277">
        <f>AP158+(AS158-AP158)/3</f>
        <v>7.7750983123555466</v>
      </c>
      <c r="AR158" s="277">
        <f>AP158+(AS158-AP158)*2/3</f>
        <v>7.6491644271393815</v>
      </c>
      <c r="AS158" s="277">
        <v>7.5232305419232155</v>
      </c>
      <c r="AT158" s="277">
        <f>AS158+(AU158-AS158)/2</f>
        <v>7.3972966567070504</v>
      </c>
      <c r="AU158" s="277">
        <v>7.2713627714908844</v>
      </c>
      <c r="AV158" s="277">
        <f>AU158+(AX158-AU158)/3</f>
        <v>7.1454288862747193</v>
      </c>
      <c r="AW158" s="277">
        <f>AU158+(AX158-AU158)*2/3</f>
        <v>7.0194950010585542</v>
      </c>
      <c r="AX158" s="277">
        <v>6.8935611158423891</v>
      </c>
      <c r="AY158" s="277">
        <f>AX158+(AZ158-AX158)/2</f>
        <v>6.7676272306262231</v>
      </c>
      <c r="AZ158" s="277">
        <v>6.641693345410058</v>
      </c>
      <c r="BA158" s="277">
        <f t="shared" si="165"/>
        <v>6.5157594601938928</v>
      </c>
      <c r="BB158" s="277">
        <f t="shared" si="166"/>
        <v>6.3898255749777269</v>
      </c>
      <c r="BC158" s="277">
        <f t="shared" si="167"/>
        <v>6.2638916897615617</v>
      </c>
      <c r="BD158" s="277">
        <f t="shared" si="168"/>
        <v>6.1379578045453957</v>
      </c>
      <c r="BE158" s="277">
        <v>6.0120239193292306</v>
      </c>
      <c r="BF158" s="277">
        <f t="shared" si="169"/>
        <v>5.8860900341130655</v>
      </c>
      <c r="BG158" s="277">
        <f t="shared" si="170"/>
        <v>5.7601561488969004</v>
      </c>
      <c r="BH158" s="277">
        <f t="shared" si="171"/>
        <v>5.6342222636807353</v>
      </c>
      <c r="BI158" s="277">
        <f t="shared" si="172"/>
        <v>5.5082883784645702</v>
      </c>
      <c r="BJ158" s="277">
        <v>5.3823544932484051</v>
      </c>
    </row>
    <row r="159" spans="1:62">
      <c r="A159" s="91" t="s">
        <v>288</v>
      </c>
      <c r="B159" s="83">
        <v>1.5179635168484129</v>
      </c>
      <c r="C159" s="83">
        <v>1.5051433985358318</v>
      </c>
      <c r="D159" s="83">
        <v>1.4925614619788665</v>
      </c>
      <c r="E159" s="83">
        <v>1.4979976429705948</v>
      </c>
      <c r="F159" s="83">
        <v>1.5146396172207603</v>
      </c>
      <c r="G159" s="83">
        <v>1.5302064151496291</v>
      </c>
      <c r="H159" s="83">
        <v>1.5415068504735792</v>
      </c>
      <c r="I159" s="83">
        <v>1.5367515210674374</v>
      </c>
      <c r="J159" s="83">
        <v>1.5390587845696166</v>
      </c>
      <c r="K159" s="83">
        <v>1.5303255464458219</v>
      </c>
      <c r="L159" s="83">
        <v>1.5617618896693373</v>
      </c>
      <c r="M159" s="83">
        <v>1.5512407993113941</v>
      </c>
      <c r="N159" s="83">
        <v>1.5299058799127994</v>
      </c>
      <c r="O159" s="83">
        <v>1.4943369700501643</v>
      </c>
      <c r="P159" s="83">
        <v>1.4669686683412826</v>
      </c>
      <c r="Q159" s="83">
        <v>1.4616186645383209</v>
      </c>
      <c r="R159" s="83">
        <v>1.4531532977771435</v>
      </c>
      <c r="S159" s="83">
        <v>1.4730599980796171</v>
      </c>
      <c r="T159" s="83">
        <v>1.5009360439739656</v>
      </c>
      <c r="U159" s="83">
        <v>1.4763641352222732</v>
      </c>
      <c r="V159" s="83">
        <v>1.4778212249573404</v>
      </c>
      <c r="W159" s="83">
        <v>1.4728170232159397</v>
      </c>
      <c r="X159" s="83">
        <v>1.4682413867255883</v>
      </c>
      <c r="Y159" s="83">
        <v>1.4650062604811849</v>
      </c>
      <c r="Z159" s="83">
        <v>1.4830883310427099</v>
      </c>
      <c r="AA159" s="83">
        <v>1.4982961613403694</v>
      </c>
      <c r="AB159" s="83">
        <v>1.4876922981719147</v>
      </c>
      <c r="AC159" s="83">
        <v>1.483992568576322</v>
      </c>
      <c r="AD159" s="83">
        <v>1.4891095785299497</v>
      </c>
      <c r="AE159" s="83">
        <v>1.4742858978934428</v>
      </c>
      <c r="AF159" s="83">
        <v>1.4705044594348606</v>
      </c>
      <c r="AG159" s="83">
        <v>1.4763054073609754</v>
      </c>
      <c r="AH159" s="83">
        <v>1.4730046160424894</v>
      </c>
      <c r="AI159" s="277">
        <v>1.4924604533925587</v>
      </c>
      <c r="AJ159" s="277">
        <v>1.4806757930621564</v>
      </c>
      <c r="AK159" s="277">
        <v>1.4616771955499279</v>
      </c>
      <c r="AL159" s="277">
        <v>1.5128762088676546</v>
      </c>
      <c r="AM159" s="382">
        <f t="shared" si="174"/>
        <v>1.5958037696081584</v>
      </c>
      <c r="AN159" s="277">
        <v>1.6787313303486622</v>
      </c>
      <c r="AO159" s="277">
        <f>AN159+(AP159-AN159)/2</f>
        <v>1.7732911495865644</v>
      </c>
      <c r="AP159" s="277">
        <v>1.8678509688244669</v>
      </c>
      <c r="AQ159" s="277">
        <f>AP159+(AS159-AP159)/3</f>
        <v>1.9308719780811521</v>
      </c>
      <c r="AR159" s="277">
        <f>AP159+(AS159-AP159)*2/3</f>
        <v>1.993892987337837</v>
      </c>
      <c r="AS159" s="277">
        <v>2.0569139965945222</v>
      </c>
      <c r="AT159" s="277">
        <f>AS159+(AU159-AS159)/2</f>
        <v>2.1195291185572964</v>
      </c>
      <c r="AU159" s="277">
        <v>2.1821442405200706</v>
      </c>
      <c r="AV159" s="277">
        <f>AU159+(AX159-AU159)/3</f>
        <v>2.2445930239092107</v>
      </c>
      <c r="AW159" s="277">
        <f>AU159+(AX159-AU159)*2/3</f>
        <v>2.3070418072983512</v>
      </c>
      <c r="AX159" s="277">
        <v>2.3694905906874912</v>
      </c>
      <c r="AY159" s="277">
        <f>AX159+(AZ159-AX159)/2</f>
        <v>2.4315099669845051</v>
      </c>
      <c r="AZ159" s="277">
        <v>2.4935293432815184</v>
      </c>
      <c r="BA159" s="277">
        <f t="shared" si="165"/>
        <v>2.5552658133881412</v>
      </c>
      <c r="BB159" s="277">
        <f t="shared" si="166"/>
        <v>2.6170022834947639</v>
      </c>
      <c r="BC159" s="277">
        <f t="shared" si="167"/>
        <v>2.6787387536013871</v>
      </c>
      <c r="BD159" s="277">
        <f t="shared" si="168"/>
        <v>2.7404752237080099</v>
      </c>
      <c r="BE159" s="277">
        <v>2.8022116938146326</v>
      </c>
      <c r="BF159" s="277">
        <f t="shared" si="169"/>
        <v>2.8632849537955267</v>
      </c>
      <c r="BG159" s="277">
        <f t="shared" si="170"/>
        <v>2.9243582137764212</v>
      </c>
      <c r="BH159" s="277">
        <f t="shared" si="171"/>
        <v>2.9854314737573153</v>
      </c>
      <c r="BI159" s="277">
        <f t="shared" si="172"/>
        <v>3.0465047337382098</v>
      </c>
      <c r="BJ159" s="277">
        <v>3.1075779937191039</v>
      </c>
    </row>
    <row r="160" spans="1:62">
      <c r="A160" s="91" t="s">
        <v>289</v>
      </c>
      <c r="B160" s="83">
        <v>1.7796032961060115</v>
      </c>
      <c r="C160" s="83">
        <v>1.7620413934727435</v>
      </c>
      <c r="D160" s="83">
        <v>1.7567171264234929</v>
      </c>
      <c r="E160" s="83">
        <v>1.7466323402647106</v>
      </c>
      <c r="F160" s="83">
        <v>1.752140838758514</v>
      </c>
      <c r="G160" s="83">
        <v>1.7637300640691551</v>
      </c>
      <c r="H160" s="83">
        <v>1.7703780223607981</v>
      </c>
      <c r="I160" s="83">
        <v>1.7561583693914964</v>
      </c>
      <c r="J160" s="83">
        <v>1.7468340240913873</v>
      </c>
      <c r="K160" s="83">
        <v>1.7499473271527213</v>
      </c>
      <c r="L160" s="83">
        <v>1.807982659169461</v>
      </c>
      <c r="M160" s="83">
        <v>1.8199299342177504</v>
      </c>
      <c r="N160" s="83">
        <v>1.7681539026301742</v>
      </c>
      <c r="O160" s="83">
        <v>1.7145518675281139</v>
      </c>
      <c r="P160" s="83">
        <v>1.6837413582499743</v>
      </c>
      <c r="Q160" s="83">
        <v>1.6692698800475831</v>
      </c>
      <c r="R160" s="83">
        <v>1.6736819633064626</v>
      </c>
      <c r="S160" s="83">
        <v>1.6839115104403142</v>
      </c>
      <c r="T160" s="83">
        <v>1.6795558401076021</v>
      </c>
      <c r="U160" s="83">
        <v>1.6738293841129497</v>
      </c>
      <c r="V160" s="83">
        <v>1.6560696789058</v>
      </c>
      <c r="W160" s="83">
        <v>1.6210302953604503</v>
      </c>
      <c r="X160" s="83">
        <v>1.6111252155557587</v>
      </c>
      <c r="Y160" s="83">
        <v>1.6278271885095348</v>
      </c>
      <c r="Z160" s="83">
        <v>1.6495182279458251</v>
      </c>
      <c r="AA160" s="83">
        <v>1.6633182106613142</v>
      </c>
      <c r="AB160" s="83">
        <v>1.6611300992128539</v>
      </c>
      <c r="AC160" s="83">
        <v>1.6440833362836005</v>
      </c>
      <c r="AD160" s="83">
        <v>1.6109506435995542</v>
      </c>
      <c r="AE160" s="83">
        <v>1.5819883105338304</v>
      </c>
      <c r="AF160" s="83">
        <v>1.5508469502797857</v>
      </c>
      <c r="AG160" s="83">
        <v>1.5134285137120385</v>
      </c>
      <c r="AH160" s="83">
        <v>1.4826170583255744</v>
      </c>
      <c r="AI160" s="277">
        <v>1.466695465232003</v>
      </c>
      <c r="AJ160" s="277">
        <v>1.4521038601670078</v>
      </c>
      <c r="AK160" s="277">
        <v>1.4147212193535932</v>
      </c>
      <c r="AL160" s="277">
        <v>1.4205657026347804</v>
      </c>
      <c r="AM160" s="382">
        <f t="shared" si="174"/>
        <v>1.4257308426358426</v>
      </c>
      <c r="AN160" s="277">
        <v>1.430895982636905</v>
      </c>
      <c r="AO160" s="277">
        <f>AN160+(AP160-AN160)/2</f>
        <v>1.4401692504910213</v>
      </c>
      <c r="AP160" s="277">
        <v>1.4494425183451376</v>
      </c>
      <c r="AQ160" s="277">
        <f>AP160+(AS160-AP160)/3</f>
        <v>1.4387804600742209</v>
      </c>
      <c r="AR160" s="277">
        <f>AP160+(AS160-AP160)*2/3</f>
        <v>1.428118401803304</v>
      </c>
      <c r="AS160" s="277">
        <v>1.4174563435323873</v>
      </c>
      <c r="AT160" s="277">
        <f>AS160+(AU160-AS160)/2</f>
        <v>1.4064433456731442</v>
      </c>
      <c r="AU160" s="277">
        <v>1.395430347813901</v>
      </c>
      <c r="AV160" s="277">
        <f>AU160+(AX160-AU160)/3</f>
        <v>1.3840659524684111</v>
      </c>
      <c r="AW160" s="277">
        <f>AU160+(AX160-AU160)*2/3</f>
        <v>1.3727015571229211</v>
      </c>
      <c r="AX160" s="277">
        <v>1.3613371617774312</v>
      </c>
      <c r="AY160" s="277">
        <f>AX160+(AZ160-AX160)/2</f>
        <v>1.3496209682850142</v>
      </c>
      <c r="AZ160" s="277">
        <v>1.337904774792597</v>
      </c>
      <c r="BA160" s="277">
        <f t="shared" si="165"/>
        <v>1.3256952625731215</v>
      </c>
      <c r="BB160" s="277">
        <f t="shared" si="166"/>
        <v>1.3134857503536461</v>
      </c>
      <c r="BC160" s="277">
        <f t="shared" si="167"/>
        <v>1.3012762381341707</v>
      </c>
      <c r="BD160" s="277">
        <f t="shared" si="168"/>
        <v>1.2890667259146953</v>
      </c>
      <c r="BE160" s="277">
        <v>1.2768572136952199</v>
      </c>
      <c r="BF160" s="277">
        <f t="shared" si="169"/>
        <v>1.2639415867433288</v>
      </c>
      <c r="BG160" s="277">
        <f t="shared" si="170"/>
        <v>1.2510259597914379</v>
      </c>
      <c r="BH160" s="277">
        <f t="shared" si="171"/>
        <v>1.2381103328395469</v>
      </c>
      <c r="BI160" s="277">
        <f t="shared" si="172"/>
        <v>1.225194705887656</v>
      </c>
      <c r="BJ160" s="277">
        <v>1.2122790789357649</v>
      </c>
    </row>
    <row r="161" spans="1:62">
      <c r="A161" s="91" t="s">
        <v>290</v>
      </c>
      <c r="B161" s="83">
        <v>9.8220374601080698E-2</v>
      </c>
      <c r="C161" s="83">
        <v>0.10085711824411953</v>
      </c>
      <c r="D161" s="83">
        <v>0.10198719486690677</v>
      </c>
      <c r="E161" s="83">
        <v>9.8026694770821252E-2</v>
      </c>
      <c r="F161" s="83">
        <v>9.9761983643016569E-2</v>
      </c>
      <c r="G161" s="83">
        <v>9.7534081341961537E-2</v>
      </c>
      <c r="H161" s="83">
        <v>0.10329703400291845</v>
      </c>
      <c r="I161" s="83">
        <v>0.10305138292314051</v>
      </c>
      <c r="J161" s="83">
        <v>0.10786021677180657</v>
      </c>
      <c r="K161" s="83">
        <v>0.10632222157263496</v>
      </c>
      <c r="L161" s="83">
        <v>0.10664007003901568</v>
      </c>
      <c r="M161" s="83">
        <v>9.1887890974527292E-2</v>
      </c>
      <c r="N161" s="83">
        <v>9.2657395078250937E-2</v>
      </c>
      <c r="O161" s="83">
        <v>7.5738751371874788E-2</v>
      </c>
      <c r="P161" s="83">
        <v>7.9286349074683751E-2</v>
      </c>
      <c r="Q161" s="83">
        <v>6.91466621472763E-2</v>
      </c>
      <c r="R161" s="83">
        <v>6.749743501418938E-2</v>
      </c>
      <c r="S161" s="83">
        <v>6.4283902584732655E-2</v>
      </c>
      <c r="T161" s="83">
        <v>6.6765304888456015E-2</v>
      </c>
      <c r="U161" s="83">
        <v>6.5655427123510621E-2</v>
      </c>
      <c r="V161" s="83">
        <v>6.0868769213265936E-2</v>
      </c>
      <c r="W161" s="83">
        <v>5.758909668676683E-2</v>
      </c>
      <c r="X161" s="83">
        <v>5.6074518886925939E-2</v>
      </c>
      <c r="Y161" s="83">
        <v>4.7832605257080628E-2</v>
      </c>
      <c r="Z161" s="83">
        <v>4.7214453363588434E-2</v>
      </c>
      <c r="AA161" s="83">
        <v>4.4588550068950045E-2</v>
      </c>
      <c r="AB161" s="83">
        <v>3.5808811688531332E-2</v>
      </c>
      <c r="AC161" s="83">
        <v>3.705176202790153E-2</v>
      </c>
      <c r="AD161" s="83">
        <v>2.7995756011565363E-2</v>
      </c>
      <c r="AE161" s="83">
        <v>2.6962304548833586E-2</v>
      </c>
      <c r="AF161" s="83">
        <v>2.059544508603392E-2</v>
      </c>
      <c r="AG161" s="83">
        <v>2.1017631117759571E-2</v>
      </c>
      <c r="AH161" s="83">
        <v>2.0279573824488081E-2</v>
      </c>
      <c r="AI161" s="277">
        <v>2.0858858625106055E-2</v>
      </c>
      <c r="AJ161" s="277">
        <v>2.1000290701147194E-2</v>
      </c>
      <c r="AK161" s="277">
        <v>2.1000290701147194E-2</v>
      </c>
      <c r="AL161" s="277">
        <v>2.117556383657191E-2</v>
      </c>
      <c r="AM161" s="382">
        <f t="shared" si="174"/>
        <v>2.0083533109016737E-2</v>
      </c>
      <c r="AN161" s="277">
        <v>1.8991502381461564E-2</v>
      </c>
      <c r="AO161" s="277">
        <f>AN161+(AP161-AN161)/2</f>
        <v>2.0050764187453114E-2</v>
      </c>
      <c r="AP161" s="277">
        <v>2.1110025993444664E-2</v>
      </c>
      <c r="AQ161" s="277">
        <f>AP161+(AS161-AP161)/3</f>
        <v>2.1056229736333743E-2</v>
      </c>
      <c r="AR161" s="277">
        <f>AP161+(AS161-AP161)*2/3</f>
        <v>2.1002433479222819E-2</v>
      </c>
      <c r="AS161" s="277">
        <v>2.0948637222111897E-2</v>
      </c>
      <c r="AT161" s="277">
        <f>AS161+(AU161-AS161)/2</f>
        <v>2.089484096500098E-2</v>
      </c>
      <c r="AU161" s="277">
        <v>2.0841044707890062E-2</v>
      </c>
      <c r="AV161" s="277">
        <f>AU161+(AX161-AU161)/3</f>
        <v>2.0787248450779141E-2</v>
      </c>
      <c r="AW161" s="277">
        <f>AU161+(AX161-AU161)*2/3</f>
        <v>2.0733452193668216E-2</v>
      </c>
      <c r="AX161" s="277">
        <v>2.0679655936557295E-2</v>
      </c>
      <c r="AY161" s="277">
        <f>AX161+(AZ161-AX161)/2</f>
        <v>2.0625859679446374E-2</v>
      </c>
      <c r="AZ161" s="277">
        <v>2.0572063422335453E-2</v>
      </c>
      <c r="BA161" s="277">
        <f t="shared" si="165"/>
        <v>2.0518267165224532E-2</v>
      </c>
      <c r="BB161" s="277">
        <f t="shared" si="166"/>
        <v>2.0464470908113611E-2</v>
      </c>
      <c r="BC161" s="277">
        <f t="shared" si="167"/>
        <v>2.0410674651002693E-2</v>
      </c>
      <c r="BD161" s="277">
        <f t="shared" si="168"/>
        <v>2.0356878393891772E-2</v>
      </c>
      <c r="BE161" s="277">
        <v>2.0303082136780851E-2</v>
      </c>
      <c r="BF161" s="277">
        <f t="shared" si="169"/>
        <v>2.0249285879669929E-2</v>
      </c>
      <c r="BG161" s="277">
        <f t="shared" si="170"/>
        <v>2.0195489622559008E-2</v>
      </c>
      <c r="BH161" s="277">
        <f t="shared" si="171"/>
        <v>2.0141693365448091E-2</v>
      </c>
      <c r="BI161" s="277">
        <f t="shared" si="172"/>
        <v>2.0087897108337169E-2</v>
      </c>
      <c r="BJ161" s="277">
        <v>2.0034100851226248E-2</v>
      </c>
    </row>
    <row r="162" spans="1:62">
      <c r="A162" s="91" t="s">
        <v>291</v>
      </c>
      <c r="B162" s="83">
        <v>8.3270345186177632</v>
      </c>
      <c r="C162" s="83">
        <v>8.6159931647806687</v>
      </c>
      <c r="D162" s="83">
        <v>8.9884815913418503</v>
      </c>
      <c r="E162" s="83">
        <v>8.6889982012946287</v>
      </c>
      <c r="F162" s="83">
        <v>8.495149433949182</v>
      </c>
      <c r="G162" s="83">
        <v>8.2695027044952703</v>
      </c>
      <c r="H162" s="83">
        <v>8.3525852811147008</v>
      </c>
      <c r="I162" s="83">
        <v>8.5348818108668851</v>
      </c>
      <c r="J162" s="83">
        <v>8.7316150824850531</v>
      </c>
      <c r="K162" s="83">
        <v>8.9408397173402037</v>
      </c>
      <c r="L162" s="83">
        <v>9.0601029090667229</v>
      </c>
      <c r="M162" s="83">
        <v>8.7236707856135336</v>
      </c>
      <c r="N162" s="83">
        <v>8.8296729581002769</v>
      </c>
      <c r="O162" s="83">
        <v>7.6708651874500564</v>
      </c>
      <c r="P162" s="83">
        <v>8.8581309121207621</v>
      </c>
      <c r="Q162" s="83">
        <v>8.4218948657152861</v>
      </c>
      <c r="R162" s="83">
        <v>8.3989126827184997</v>
      </c>
      <c r="S162" s="83">
        <v>9.0397399560218759</v>
      </c>
      <c r="T162" s="83">
        <v>9.2805063202472713</v>
      </c>
      <c r="U162" s="83">
        <v>8.9539203241108414</v>
      </c>
      <c r="V162" s="83">
        <v>8.387473630723246</v>
      </c>
      <c r="W162" s="83">
        <v>8.3083900394667243</v>
      </c>
      <c r="X162" s="83">
        <v>8.7726510829135638</v>
      </c>
      <c r="Y162" s="83">
        <v>8.4769057271080435</v>
      </c>
      <c r="Z162" s="83">
        <v>9.0135561664246922</v>
      </c>
      <c r="AA162" s="83">
        <v>8.4461037270445676</v>
      </c>
      <c r="AB162" s="83">
        <v>7.8898200966484495</v>
      </c>
      <c r="AC162" s="83">
        <v>8.383847124224987</v>
      </c>
      <c r="AD162" s="83">
        <v>7.9020088475212606</v>
      </c>
      <c r="AE162" s="83">
        <v>7.921072184878275</v>
      </c>
      <c r="AF162" s="83">
        <v>7.680923781543016</v>
      </c>
      <c r="AG162" s="83">
        <v>8.5955266746607109</v>
      </c>
      <c r="AH162" s="83">
        <v>7.5412057833604473</v>
      </c>
      <c r="AI162" s="277">
        <v>8.0984280753395801</v>
      </c>
      <c r="AJ162" s="277">
        <v>8.2464831223864632</v>
      </c>
      <c r="AK162" s="277">
        <v>8.264935809654844</v>
      </c>
      <c r="AL162" s="277">
        <v>8.0367797618501218</v>
      </c>
      <c r="AM162" s="382">
        <f t="shared" si="174"/>
        <v>7.3516560870933443</v>
      </c>
      <c r="AN162" s="277">
        <v>6.6665324123365677</v>
      </c>
      <c r="AO162" s="277">
        <f>AN162+(AP162-AN162)/2</f>
        <v>6.4270328803844983</v>
      </c>
      <c r="AP162" s="277">
        <v>6.1875333484324289</v>
      </c>
      <c r="AQ162" s="277">
        <f>AP162+(AS162-AP162)/3</f>
        <v>6.1421606868033152</v>
      </c>
      <c r="AR162" s="277">
        <f>AP162+(AS162-AP162)*2/3</f>
        <v>6.0967880251742006</v>
      </c>
      <c r="AS162" s="277">
        <v>6.0514153635450869</v>
      </c>
      <c r="AT162" s="277">
        <f>AS162+(AU162-AS162)/2</f>
        <v>6.0056804506948573</v>
      </c>
      <c r="AU162" s="277">
        <v>5.9599455378446287</v>
      </c>
      <c r="AV162" s="277">
        <f>AU162+(AX162-AU162)/3</f>
        <v>5.9140447831039209</v>
      </c>
      <c r="AW162" s="277">
        <f>AU162+(AX162-AU162)*2/3</f>
        <v>5.868144028363214</v>
      </c>
      <c r="AX162" s="277">
        <v>5.8222432736225063</v>
      </c>
      <c r="AY162" s="277">
        <f>AX162+(AZ162-AX162)/2</f>
        <v>5.7759963653102098</v>
      </c>
      <c r="AZ162" s="277">
        <v>5.7297494569979124</v>
      </c>
      <c r="BA162" s="277">
        <f t="shared" si="165"/>
        <v>5.6832816720098425</v>
      </c>
      <c r="BB162" s="277">
        <f t="shared" si="166"/>
        <v>5.6368138870217726</v>
      </c>
      <c r="BC162" s="277">
        <f t="shared" si="167"/>
        <v>5.5903461020337026</v>
      </c>
      <c r="BD162" s="277">
        <f t="shared" si="168"/>
        <v>5.5438783170456327</v>
      </c>
      <c r="BE162" s="277">
        <v>5.4974105320575628</v>
      </c>
      <c r="BF162" s="277">
        <f t="shared" si="169"/>
        <v>5.4504908958422797</v>
      </c>
      <c r="BG162" s="277">
        <f t="shared" si="170"/>
        <v>5.4035712596269967</v>
      </c>
      <c r="BH162" s="277">
        <f t="shared" si="171"/>
        <v>5.3566516234117136</v>
      </c>
      <c r="BI162" s="277">
        <f t="shared" si="172"/>
        <v>5.3097319871964306</v>
      </c>
      <c r="BJ162" s="277">
        <v>5.2628123509811475</v>
      </c>
    </row>
    <row r="163" spans="1:62">
      <c r="A163" s="107" t="s">
        <v>292</v>
      </c>
      <c r="B163" s="108">
        <f>SUM(B158:B162)</f>
        <v>24.887678270551007</v>
      </c>
      <c r="C163" s="108">
        <f t="shared" ref="C163:BI163" si="175">SUM(C158:C162)</f>
        <v>24.898201221756576</v>
      </c>
      <c r="D163" s="108">
        <f t="shared" si="175"/>
        <v>24.941580820500675</v>
      </c>
      <c r="E163" s="108">
        <f t="shared" si="175"/>
        <v>24.046709108520684</v>
      </c>
      <c r="F163" s="108">
        <f t="shared" si="175"/>
        <v>23.111755513090142</v>
      </c>
      <c r="G163" s="108">
        <f t="shared" si="175"/>
        <v>23.370207946946238</v>
      </c>
      <c r="H163" s="108">
        <f t="shared" si="175"/>
        <v>23.870006756910982</v>
      </c>
      <c r="I163" s="108">
        <f t="shared" si="175"/>
        <v>24.396257814296259</v>
      </c>
      <c r="J163" s="108">
        <f t="shared" si="175"/>
        <v>24.511609177513101</v>
      </c>
      <c r="K163" s="108">
        <f t="shared" si="175"/>
        <v>24.834940796192097</v>
      </c>
      <c r="L163" s="108">
        <f t="shared" si="175"/>
        <v>25.185957433900704</v>
      </c>
      <c r="M163" s="108">
        <f t="shared" si="175"/>
        <v>24.749003231333397</v>
      </c>
      <c r="N163" s="108">
        <f t="shared" si="175"/>
        <v>24.465449981866755</v>
      </c>
      <c r="O163" s="108">
        <f t="shared" si="175"/>
        <v>22.821868632445167</v>
      </c>
      <c r="P163" s="108">
        <f t="shared" si="175"/>
        <v>24.019112232590082</v>
      </c>
      <c r="Q163" s="108">
        <f t="shared" si="175"/>
        <v>23.774059828083537</v>
      </c>
      <c r="R163" s="108">
        <f t="shared" si="175"/>
        <v>23.171326016544132</v>
      </c>
      <c r="S163" s="108">
        <f t="shared" si="175"/>
        <v>23.467931488827706</v>
      </c>
      <c r="T163" s="108">
        <f t="shared" si="175"/>
        <v>24.317621413342984</v>
      </c>
      <c r="U163" s="108">
        <f t="shared" si="175"/>
        <v>23.84807148027058</v>
      </c>
      <c r="V163" s="108">
        <f t="shared" si="175"/>
        <v>22.337531582544081</v>
      </c>
      <c r="W163" s="108">
        <f t="shared" si="175"/>
        <v>22.84767500841205</v>
      </c>
      <c r="X163" s="108">
        <f t="shared" si="175"/>
        <v>23.237131296017086</v>
      </c>
      <c r="Y163" s="108">
        <f t="shared" si="175"/>
        <v>22.394140146366841</v>
      </c>
      <c r="Z163" s="108">
        <f t="shared" si="175"/>
        <v>23.445345656130328</v>
      </c>
      <c r="AA163" s="108">
        <f t="shared" si="175"/>
        <v>23.200019898948739</v>
      </c>
      <c r="AB163" s="108">
        <f t="shared" si="175"/>
        <v>22.623564267256164</v>
      </c>
      <c r="AC163" s="108">
        <f t="shared" si="175"/>
        <v>22.905641593231511</v>
      </c>
      <c r="AD163" s="108">
        <f t="shared" si="175"/>
        <v>22.553082357333775</v>
      </c>
      <c r="AE163" s="108">
        <f t="shared" si="175"/>
        <v>22.342155080852116</v>
      </c>
      <c r="AF163" s="108">
        <f t="shared" si="175"/>
        <v>21.943682874240736</v>
      </c>
      <c r="AG163" s="108">
        <f t="shared" si="175"/>
        <v>22.534116274118858</v>
      </c>
      <c r="AH163" s="108">
        <f t="shared" si="175"/>
        <v>21.118690571593444</v>
      </c>
      <c r="AI163" s="108">
        <f t="shared" si="175"/>
        <v>21.267403132339382</v>
      </c>
      <c r="AJ163" s="108">
        <f t="shared" si="175"/>
        <v>21.097824751473226</v>
      </c>
      <c r="AK163" s="108">
        <f t="shared" si="175"/>
        <v>21.343803828970806</v>
      </c>
      <c r="AL163" s="108">
        <v>20.858880878715496</v>
      </c>
      <c r="AM163" s="108">
        <f t="shared" si="175"/>
        <v>19.633632770655367</v>
      </c>
      <c r="AN163" s="108">
        <f t="shared" si="175"/>
        <v>18.408384662595239</v>
      </c>
      <c r="AO163" s="108">
        <f t="shared" si="175"/>
        <v>17.917676860881215</v>
      </c>
      <c r="AP163" s="108">
        <v>17.426969059167188</v>
      </c>
      <c r="AQ163" s="108">
        <f t="shared" si="175"/>
        <v>17.307967667050569</v>
      </c>
      <c r="AR163" s="108">
        <f t="shared" si="175"/>
        <v>17.188966274933946</v>
      </c>
      <c r="AS163" s="108">
        <v>17.069964882817324</v>
      </c>
      <c r="AT163" s="108">
        <f t="shared" si="175"/>
        <v>16.949844412597351</v>
      </c>
      <c r="AU163" s="108">
        <v>16.829723942377377</v>
      </c>
      <c r="AV163" s="108">
        <f t="shared" si="175"/>
        <v>16.708919894207039</v>
      </c>
      <c r="AW163" s="108">
        <f t="shared" si="175"/>
        <v>16.588115846036711</v>
      </c>
      <c r="AX163" s="108">
        <v>16.467311797866376</v>
      </c>
      <c r="AY163" s="108">
        <f t="shared" si="175"/>
        <v>16.345380390885399</v>
      </c>
      <c r="AZ163" s="108">
        <v>16.223448983904422</v>
      </c>
      <c r="BA163" s="108">
        <f t="shared" si="175"/>
        <v>16.100520475330221</v>
      </c>
      <c r="BB163" s="108">
        <f t="shared" si="175"/>
        <v>15.977591966756023</v>
      </c>
      <c r="BC163" s="108">
        <f t="shared" si="175"/>
        <v>15.854663458181825</v>
      </c>
      <c r="BD163" s="108">
        <f t="shared" si="175"/>
        <v>15.731734949607628</v>
      </c>
      <c r="BE163" s="108">
        <v>15.608806441033426</v>
      </c>
      <c r="BF163" s="108">
        <f t="shared" si="175"/>
        <v>15.484056756373871</v>
      </c>
      <c r="BG163" s="108">
        <f t="shared" si="175"/>
        <v>15.359307071714316</v>
      </c>
      <c r="BH163" s="108">
        <f t="shared" si="175"/>
        <v>15.234557387054757</v>
      </c>
      <c r="BI163" s="108">
        <f t="shared" si="175"/>
        <v>15.109807702395205</v>
      </c>
      <c r="BJ163" s="108">
        <v>14.98505801773565</v>
      </c>
    </row>
    <row r="164" spans="1:62">
      <c r="A164" s="415" t="s">
        <v>648</v>
      </c>
      <c r="B164" s="83">
        <v>10.583565416194759</v>
      </c>
      <c r="C164" s="83">
        <v>10.57861761121128</v>
      </c>
      <c r="D164" s="83">
        <v>10.881591097537189</v>
      </c>
      <c r="E164" s="83">
        <v>10.982823607186724</v>
      </c>
      <c r="F164" s="83">
        <v>10.812486612269375</v>
      </c>
      <c r="G164" s="83">
        <v>10.90657403012402</v>
      </c>
      <c r="H164" s="83">
        <v>11.218753887633303</v>
      </c>
      <c r="I164" s="83">
        <v>11.155154155581219</v>
      </c>
      <c r="J164" s="83">
        <v>11.396744724993098</v>
      </c>
      <c r="K164" s="83">
        <v>11.434195330277916</v>
      </c>
      <c r="L164" s="83">
        <v>11.565197246143621</v>
      </c>
      <c r="M164" s="83">
        <v>11.624107227533052</v>
      </c>
      <c r="N164" s="83">
        <v>11.25082543361632</v>
      </c>
      <c r="O164" s="83">
        <v>11.093134133022765</v>
      </c>
      <c r="P164" s="83">
        <v>11.755061857994869</v>
      </c>
      <c r="Q164" s="83">
        <v>11.453468159537143</v>
      </c>
      <c r="R164" s="83">
        <v>11.157228983494329</v>
      </c>
      <c r="S164" s="83">
        <v>10.997077391400715</v>
      </c>
      <c r="T164" s="83">
        <v>11.373913601602737</v>
      </c>
      <c r="U164" s="83">
        <v>11.444573800371955</v>
      </c>
      <c r="V164" s="83">
        <v>11.058224004200943</v>
      </c>
      <c r="W164" s="83">
        <v>11.261101694219668</v>
      </c>
      <c r="X164" s="83">
        <v>10.82835427658544</v>
      </c>
      <c r="Y164" s="83">
        <v>11.661008737879866</v>
      </c>
      <c r="Z164" s="83">
        <v>11.727840492677375</v>
      </c>
      <c r="AA164" s="83">
        <v>11.531067008764335</v>
      </c>
      <c r="AB164" s="83">
        <v>10.719843657011337</v>
      </c>
      <c r="AC164" s="83">
        <v>10.42220821705455</v>
      </c>
      <c r="AD164" s="83">
        <v>10.455381845978634</v>
      </c>
      <c r="AE164" s="83">
        <v>10.388337552991661</v>
      </c>
      <c r="AF164" s="83">
        <v>10.910645282715777</v>
      </c>
      <c r="AG164" s="83">
        <v>11.242341544983788</v>
      </c>
      <c r="AH164" s="83">
        <v>10.843188340404067</v>
      </c>
      <c r="AI164" s="277">
        <v>10.714289253160757</v>
      </c>
      <c r="AJ164" s="277">
        <v>10.732196836418712</v>
      </c>
      <c r="AK164" s="277">
        <v>10.632246777558086</v>
      </c>
      <c r="AL164" s="277">
        <v>10.366202386474711</v>
      </c>
      <c r="AM164" s="277">
        <f>AM165</f>
        <v>9.4298625364783994</v>
      </c>
      <c r="AN164" s="277">
        <v>8.8286704159385554</v>
      </c>
      <c r="AO164" s="277">
        <f>AO165</f>
        <v>8.7848830390077346</v>
      </c>
      <c r="AP164" s="277">
        <v>8.741095662076912</v>
      </c>
      <c r="AQ164" s="277">
        <f>AQ165</f>
        <v>8.3060628051218721</v>
      </c>
      <c r="AR164" s="277">
        <f>AR165</f>
        <v>7.8710299481668331</v>
      </c>
      <c r="AS164" s="277">
        <v>7.4359970912117941</v>
      </c>
      <c r="AT164" s="277">
        <f>AT165</f>
        <v>7.0140953779057682</v>
      </c>
      <c r="AU164" s="277">
        <v>6.5921936645997414</v>
      </c>
      <c r="AV164" s="277">
        <f>AV165</f>
        <v>6.1449169334821425</v>
      </c>
      <c r="AW164" s="277">
        <f>AW165</f>
        <v>5.6976402023645445</v>
      </c>
      <c r="AX164" s="277">
        <v>5.2503634712469456</v>
      </c>
      <c r="AY164" s="277">
        <f>AY165</f>
        <v>4.8272517918117952</v>
      </c>
      <c r="AZ164" s="277">
        <v>4.4041401123766448</v>
      </c>
      <c r="BA164" s="277">
        <f t="shared" si="165"/>
        <v>3.9531746159266703</v>
      </c>
      <c r="BB164" s="277">
        <f t="shared" si="166"/>
        <v>3.5022091194766958</v>
      </c>
      <c r="BC164" s="277">
        <f t="shared" si="167"/>
        <v>3.0512436230267213</v>
      </c>
      <c r="BD164" s="277">
        <f t="shared" si="168"/>
        <v>2.6002781265767467</v>
      </c>
      <c r="BE164" s="277">
        <v>2.1493126301267722</v>
      </c>
      <c r="BF164" s="277">
        <f t="shared" si="169"/>
        <v>1.7853513837935528</v>
      </c>
      <c r="BG164" s="277">
        <f t="shared" si="170"/>
        <v>1.4213901374603337</v>
      </c>
      <c r="BH164" s="277">
        <f t="shared" si="171"/>
        <v>1.0574288911271146</v>
      </c>
      <c r="BI164" s="277">
        <f t="shared" si="172"/>
        <v>0.69346764479389522</v>
      </c>
      <c r="BJ164" s="277">
        <v>0.32950639846067603</v>
      </c>
    </row>
    <row r="165" spans="1:62">
      <c r="A165" s="107" t="s">
        <v>295</v>
      </c>
      <c r="B165" s="108">
        <v>10.583565416194759</v>
      </c>
      <c r="C165" s="108">
        <v>10.57861761121128</v>
      </c>
      <c r="D165" s="108">
        <v>10.881591097537189</v>
      </c>
      <c r="E165" s="108">
        <v>10.982823607186724</v>
      </c>
      <c r="F165" s="108">
        <v>10.812486612269375</v>
      </c>
      <c r="G165" s="108">
        <v>10.90657403012402</v>
      </c>
      <c r="H165" s="108">
        <v>11.218753887633303</v>
      </c>
      <c r="I165" s="108">
        <v>11.155154155581219</v>
      </c>
      <c r="J165" s="108">
        <v>11.396744724993098</v>
      </c>
      <c r="K165" s="108">
        <v>11.434195330277916</v>
      </c>
      <c r="L165" s="108">
        <v>11.565197246143621</v>
      </c>
      <c r="M165" s="108">
        <v>11.624107227533052</v>
      </c>
      <c r="N165" s="108">
        <v>11.25082543361632</v>
      </c>
      <c r="O165" s="108">
        <v>11.093134133022765</v>
      </c>
      <c r="P165" s="108">
        <v>11.755061857994869</v>
      </c>
      <c r="Q165" s="108">
        <v>11.453468159537143</v>
      </c>
      <c r="R165" s="108">
        <v>11.157228983494329</v>
      </c>
      <c r="S165" s="108">
        <v>10.997077391400715</v>
      </c>
      <c r="T165" s="108">
        <v>11.373913601602737</v>
      </c>
      <c r="U165" s="108">
        <v>11.444573800371955</v>
      </c>
      <c r="V165" s="108">
        <v>11.058224004200943</v>
      </c>
      <c r="W165" s="108">
        <v>11.261101694219668</v>
      </c>
      <c r="X165" s="108">
        <v>10.82835427658544</v>
      </c>
      <c r="Y165" s="108">
        <v>11.661008737879866</v>
      </c>
      <c r="Z165" s="108">
        <v>11.727840492677375</v>
      </c>
      <c r="AA165" s="108">
        <v>11.531067008764335</v>
      </c>
      <c r="AB165" s="108">
        <v>10.719843657011337</v>
      </c>
      <c r="AC165" s="108">
        <v>10.42220821705455</v>
      </c>
      <c r="AD165" s="108">
        <v>10.455381845978634</v>
      </c>
      <c r="AE165" s="108">
        <v>10.388337552991661</v>
      </c>
      <c r="AF165" s="108">
        <v>10.910645282715777</v>
      </c>
      <c r="AG165" s="108">
        <v>11.242341544983788</v>
      </c>
      <c r="AH165" s="108">
        <v>10.843188340404067</v>
      </c>
      <c r="AI165" s="282">
        <v>10.714289253160757</v>
      </c>
      <c r="AJ165" s="282">
        <v>10.732196836418712</v>
      </c>
      <c r="AK165" s="282">
        <v>10.632246777558086</v>
      </c>
      <c r="AL165" s="282">
        <f>AL164</f>
        <v>10.366202386474711</v>
      </c>
      <c r="AM165" s="282">
        <f>AK165+(AN165-AK165)*2/3</f>
        <v>9.4298625364783994</v>
      </c>
      <c r="AN165" s="282">
        <f>AN164</f>
        <v>8.8286704159385554</v>
      </c>
      <c r="AO165" s="282">
        <f>AN165+(AP165-AN165)/2</f>
        <v>8.7848830390077346</v>
      </c>
      <c r="AP165" s="282">
        <f>AP164</f>
        <v>8.741095662076912</v>
      </c>
      <c r="AQ165" s="282">
        <f>AP165+(AS165-AP165)/3</f>
        <v>8.3060628051218721</v>
      </c>
      <c r="AR165" s="282">
        <f>AP165+(AS165-AP165)*2/3</f>
        <v>7.8710299481668331</v>
      </c>
      <c r="AS165" s="282">
        <f>AS164</f>
        <v>7.4359970912117941</v>
      </c>
      <c r="AT165" s="282">
        <f>AS165+(AU165-AS165)/2</f>
        <v>7.0140953779057682</v>
      </c>
      <c r="AU165" s="282">
        <f>AU164</f>
        <v>6.5921936645997414</v>
      </c>
      <c r="AV165" s="282">
        <f>AU165+(AX165-AU165)/3</f>
        <v>6.1449169334821425</v>
      </c>
      <c r="AW165" s="282">
        <f>AU165+(AX165-AU165)*2/3</f>
        <v>5.6976402023645445</v>
      </c>
      <c r="AX165" s="282">
        <f>AX164</f>
        <v>5.2503634712469456</v>
      </c>
      <c r="AY165" s="282">
        <f>AX165+(AZ165-AX165)/2</f>
        <v>4.8272517918117952</v>
      </c>
      <c r="AZ165" s="282">
        <f>AZ164</f>
        <v>4.4041401123766448</v>
      </c>
      <c r="BA165" s="282">
        <f t="shared" si="165"/>
        <v>3.9531746159266703</v>
      </c>
      <c r="BB165" s="282">
        <f t="shared" si="166"/>
        <v>3.5022091194766958</v>
      </c>
      <c r="BC165" s="282">
        <f t="shared" si="167"/>
        <v>3.0512436230267213</v>
      </c>
      <c r="BD165" s="282">
        <f t="shared" si="168"/>
        <v>2.6002781265767467</v>
      </c>
      <c r="BE165" s="282">
        <f>BE164</f>
        <v>2.1493126301267722</v>
      </c>
      <c r="BF165" s="282">
        <f t="shared" si="169"/>
        <v>1.7853513837935528</v>
      </c>
      <c r="BG165" s="282">
        <f t="shared" si="170"/>
        <v>1.4213901374603337</v>
      </c>
      <c r="BH165" s="282">
        <f t="shared" si="171"/>
        <v>1.0574288911271146</v>
      </c>
      <c r="BI165" s="282">
        <f t="shared" si="172"/>
        <v>0.69346764479389522</v>
      </c>
      <c r="BJ165" s="282">
        <f>BJ164</f>
        <v>0.32950639846067603</v>
      </c>
    </row>
    <row r="166" spans="1:62">
      <c r="A166" s="109" t="s">
        <v>296</v>
      </c>
      <c r="B166" s="110">
        <f>B157+B163+B165</f>
        <v>92.904753847969388</v>
      </c>
      <c r="C166" s="110">
        <f t="shared" ref="C166:BJ166" si="176">C157+C163+C165</f>
        <v>91.869757928618853</v>
      </c>
      <c r="D166" s="110">
        <f t="shared" si="176"/>
        <v>91.327635219757809</v>
      </c>
      <c r="E166" s="110">
        <f t="shared" si="176"/>
        <v>90.175257475794126</v>
      </c>
      <c r="F166" s="110">
        <f t="shared" si="176"/>
        <v>89.360466646626151</v>
      </c>
      <c r="G166" s="110">
        <f t="shared" si="176"/>
        <v>89.98097744091163</v>
      </c>
      <c r="H166" s="110">
        <f t="shared" si="176"/>
        <v>90.828793552535814</v>
      </c>
      <c r="I166" s="110">
        <f t="shared" si="176"/>
        <v>90.775212518976446</v>
      </c>
      <c r="J166" s="110">
        <f t="shared" si="176"/>
        <v>90.901427190123329</v>
      </c>
      <c r="K166" s="110">
        <f t="shared" si="176"/>
        <v>91.280299595017325</v>
      </c>
      <c r="L166" s="110">
        <f t="shared" si="176"/>
        <v>93.675492376236335</v>
      </c>
      <c r="M166" s="110">
        <f t="shared" si="176"/>
        <v>93.441748817861821</v>
      </c>
      <c r="N166" s="110">
        <f t="shared" si="176"/>
        <v>91.627383728576262</v>
      </c>
      <c r="O166" s="110">
        <f t="shared" si="176"/>
        <v>88.180330771443494</v>
      </c>
      <c r="P166" s="110">
        <f t="shared" si="176"/>
        <v>89.390324761577759</v>
      </c>
      <c r="Q166" s="110">
        <f t="shared" si="176"/>
        <v>88.668164090345712</v>
      </c>
      <c r="R166" s="110">
        <f t="shared" si="176"/>
        <v>87.771030626014792</v>
      </c>
      <c r="S166" s="110">
        <f t="shared" si="176"/>
        <v>88.279768626750581</v>
      </c>
      <c r="T166" s="110">
        <f t="shared" si="176"/>
        <v>90.308509323859255</v>
      </c>
      <c r="U166" s="110">
        <f t="shared" si="176"/>
        <v>89.258642420506789</v>
      </c>
      <c r="V166" s="110">
        <f t="shared" si="176"/>
        <v>86.716986587475674</v>
      </c>
      <c r="W166" s="110">
        <f t="shared" si="176"/>
        <v>86.607007716454007</v>
      </c>
      <c r="X166" s="110">
        <f t="shared" si="176"/>
        <v>85.957032376621285</v>
      </c>
      <c r="Y166" s="110">
        <f t="shared" si="176"/>
        <v>85.93039659480273</v>
      </c>
      <c r="Z166" s="110">
        <f t="shared" si="176"/>
        <v>87.650492067070232</v>
      </c>
      <c r="AA166" s="110">
        <f t="shared" si="176"/>
        <v>87.285373311458684</v>
      </c>
      <c r="AB166" s="110">
        <f t="shared" si="176"/>
        <v>85.495051199713686</v>
      </c>
      <c r="AC166" s="110">
        <f t="shared" si="176"/>
        <v>84.97720282497572</v>
      </c>
      <c r="AD166" s="110">
        <f t="shared" si="176"/>
        <v>83.907022130946913</v>
      </c>
      <c r="AE166" s="110">
        <f t="shared" si="176"/>
        <v>82.758895836800519</v>
      </c>
      <c r="AF166" s="110">
        <f t="shared" si="176"/>
        <v>82.056869751146948</v>
      </c>
      <c r="AG166" s="110">
        <f t="shared" si="176"/>
        <v>81.80840470669412</v>
      </c>
      <c r="AH166" s="110">
        <f t="shared" si="176"/>
        <v>78.946351136464841</v>
      </c>
      <c r="AI166" s="110">
        <f t="shared" si="176"/>
        <v>78.094679786033225</v>
      </c>
      <c r="AJ166" s="110">
        <f t="shared" si="176"/>
        <v>77.525901354915774</v>
      </c>
      <c r="AK166" s="110">
        <f t="shared" si="176"/>
        <v>76.551551658053057</v>
      </c>
      <c r="AL166" s="110">
        <f t="shared" si="176"/>
        <v>75.56137902066645</v>
      </c>
      <c r="AM166" s="110">
        <f t="shared" si="176"/>
        <v>72.89885056458705</v>
      </c>
      <c r="AN166" s="110">
        <f t="shared" si="176"/>
        <v>70.571469837964116</v>
      </c>
      <c r="AO166" s="110">
        <f t="shared" si="176"/>
        <v>69.446138873999232</v>
      </c>
      <c r="AP166" s="110">
        <f t="shared" si="176"/>
        <v>68.320807910034347</v>
      </c>
      <c r="AQ166" s="110">
        <f t="shared" si="176"/>
        <v>66.986918712254578</v>
      </c>
      <c r="AR166" s="110">
        <f t="shared" si="176"/>
        <v>65.653029514474838</v>
      </c>
      <c r="AS166" s="110">
        <f t="shared" si="176"/>
        <v>64.319140316695069</v>
      </c>
      <c r="AT166" s="110">
        <f t="shared" si="176"/>
        <v>63.017905807492426</v>
      </c>
      <c r="AU166" s="110">
        <f t="shared" si="176"/>
        <v>61.716671298289775</v>
      </c>
      <c r="AV166" s="110">
        <f t="shared" si="176"/>
        <v>60.409802670452414</v>
      </c>
      <c r="AW166" s="110">
        <f t="shared" si="176"/>
        <v>59.102934042615097</v>
      </c>
      <c r="AX166" s="110">
        <f t="shared" si="176"/>
        <v>57.796065414777729</v>
      </c>
      <c r="AY166" s="110">
        <f t="shared" si="176"/>
        <v>56.53161353781352</v>
      </c>
      <c r="AZ166" s="110">
        <f t="shared" si="176"/>
        <v>55.26716166084929</v>
      </c>
      <c r="BA166" s="110">
        <f t="shared" si="176"/>
        <v>53.999951468921651</v>
      </c>
      <c r="BB166" s="110">
        <f t="shared" si="176"/>
        <v>52.732741276994005</v>
      </c>
      <c r="BC166" s="110">
        <f t="shared" si="176"/>
        <v>51.465531085066374</v>
      </c>
      <c r="BD166" s="110">
        <f t="shared" si="176"/>
        <v>50.198320893138728</v>
      </c>
      <c r="BE166" s="110">
        <f t="shared" si="176"/>
        <v>48.931110701211082</v>
      </c>
      <c r="BF166" s="110">
        <f t="shared" si="176"/>
        <v>47.786541975908108</v>
      </c>
      <c r="BG166" s="110">
        <f t="shared" si="176"/>
        <v>46.641973250605133</v>
      </c>
      <c r="BH166" s="110">
        <f t="shared" si="176"/>
        <v>45.497404525302144</v>
      </c>
      <c r="BI166" s="110">
        <f t="shared" si="176"/>
        <v>44.352835799999177</v>
      </c>
      <c r="BJ166" s="110">
        <f t="shared" si="176"/>
        <v>43.208267074696188</v>
      </c>
    </row>
    <row r="167" spans="1:62">
      <c r="A167" s="111"/>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row>
    <row r="168" spans="1:62">
      <c r="A168" s="113" t="s">
        <v>39</v>
      </c>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494" t="s">
        <v>262</v>
      </c>
      <c r="AL168" s="494"/>
      <c r="AM168" s="494"/>
      <c r="AN168" s="494"/>
      <c r="AO168" s="494"/>
      <c r="AP168" s="494"/>
      <c r="AQ168" s="494"/>
      <c r="AR168" s="494"/>
      <c r="AS168" s="494"/>
      <c r="AT168" s="494"/>
      <c r="AU168" s="494"/>
      <c r="AV168" s="494"/>
      <c r="AW168" s="494"/>
      <c r="AX168" s="494"/>
      <c r="AY168" s="494"/>
      <c r="AZ168" s="494"/>
      <c r="BA168" s="494"/>
      <c r="BB168" s="494"/>
      <c r="BC168" s="494"/>
      <c r="BD168" s="494"/>
      <c r="BE168" s="494"/>
      <c r="BF168" s="494"/>
      <c r="BG168" s="494"/>
      <c r="BH168" s="494"/>
      <c r="BI168" s="494"/>
      <c r="BJ168" s="494"/>
    </row>
    <row r="169" spans="1:62" ht="26.4">
      <c r="A169" s="66" t="s">
        <v>263</v>
      </c>
      <c r="B169" s="67">
        <v>1990</v>
      </c>
      <c r="C169" s="67">
        <v>1991</v>
      </c>
      <c r="D169" s="67">
        <v>1992</v>
      </c>
      <c r="E169" s="67">
        <v>1993</v>
      </c>
      <c r="F169" s="67">
        <v>1994</v>
      </c>
      <c r="G169" s="67">
        <v>1995</v>
      </c>
      <c r="H169" s="67">
        <v>1996</v>
      </c>
      <c r="I169" s="67">
        <v>1997</v>
      </c>
      <c r="J169" s="67">
        <v>1998</v>
      </c>
      <c r="K169" s="67">
        <v>1999</v>
      </c>
      <c r="L169" s="67">
        <v>2000</v>
      </c>
      <c r="M169" s="67">
        <v>2001</v>
      </c>
      <c r="N169" s="67">
        <v>2002</v>
      </c>
      <c r="O169" s="67">
        <v>2003</v>
      </c>
      <c r="P169" s="67">
        <v>2004</v>
      </c>
      <c r="Q169" s="67">
        <v>2005</v>
      </c>
      <c r="R169" s="67">
        <v>2006</v>
      </c>
      <c r="S169" s="67">
        <v>2007</v>
      </c>
      <c r="T169" s="67">
        <v>2008</v>
      </c>
      <c r="U169" s="67">
        <v>2009</v>
      </c>
      <c r="V169" s="67">
        <v>2010</v>
      </c>
      <c r="W169" s="67">
        <v>2011</v>
      </c>
      <c r="X169" s="67">
        <v>2012</v>
      </c>
      <c r="Y169" s="67">
        <v>2013</v>
      </c>
      <c r="Z169" s="67">
        <v>2014</v>
      </c>
      <c r="AA169" s="67">
        <v>2015</v>
      </c>
      <c r="AB169" s="67">
        <v>2016</v>
      </c>
      <c r="AC169" s="67">
        <v>2017</v>
      </c>
      <c r="AD169" s="67">
        <v>2018</v>
      </c>
      <c r="AE169" s="67">
        <v>2019</v>
      </c>
      <c r="AF169" s="68">
        <v>2020</v>
      </c>
      <c r="AG169" s="68">
        <v>2021</v>
      </c>
      <c r="AH169" s="68">
        <v>2022</v>
      </c>
      <c r="AI169" s="67">
        <v>2023</v>
      </c>
      <c r="AJ169" s="67">
        <v>2024</v>
      </c>
      <c r="AK169" s="67">
        <v>2025</v>
      </c>
      <c r="AL169" s="67">
        <v>2026</v>
      </c>
      <c r="AM169" s="142">
        <v>2027</v>
      </c>
      <c r="AN169" s="67">
        <v>2028</v>
      </c>
      <c r="AO169" s="142">
        <v>2029</v>
      </c>
      <c r="AP169" s="67">
        <v>2030</v>
      </c>
      <c r="AQ169" s="142">
        <v>2031</v>
      </c>
      <c r="AR169" s="142">
        <v>2032</v>
      </c>
      <c r="AS169" s="67">
        <v>2033</v>
      </c>
      <c r="AT169" s="142">
        <v>2034</v>
      </c>
      <c r="AU169" s="67">
        <v>2035</v>
      </c>
      <c r="AV169" s="142">
        <v>2036</v>
      </c>
      <c r="AW169" s="142">
        <v>2037</v>
      </c>
      <c r="AX169" s="67">
        <v>2038</v>
      </c>
      <c r="AY169" s="142">
        <v>2039</v>
      </c>
      <c r="AZ169" s="67">
        <v>2040</v>
      </c>
      <c r="BA169" s="142">
        <v>2041</v>
      </c>
      <c r="BB169" s="142">
        <v>2042</v>
      </c>
      <c r="BC169" s="142">
        <v>2043</v>
      </c>
      <c r="BD169" s="142">
        <v>2044</v>
      </c>
      <c r="BE169" s="67">
        <v>2045</v>
      </c>
      <c r="BF169" s="142">
        <v>2046</v>
      </c>
      <c r="BG169" s="142">
        <v>2047</v>
      </c>
      <c r="BH169" s="142">
        <v>2048</v>
      </c>
      <c r="BI169" s="142">
        <v>2049</v>
      </c>
      <c r="BJ169" s="67">
        <v>2050</v>
      </c>
    </row>
    <row r="170" spans="1:62">
      <c r="A170" s="91" t="s">
        <v>297</v>
      </c>
      <c r="B170" s="83">
        <v>15.244941740563309</v>
      </c>
      <c r="C170" s="83">
        <v>17.039916396875633</v>
      </c>
      <c r="D170" s="83">
        <v>18.998119682749319</v>
      </c>
      <c r="E170" s="83">
        <v>20.87115121569547</v>
      </c>
      <c r="F170" s="83">
        <v>22.879473801471864</v>
      </c>
      <c r="G170" s="83">
        <v>25.676653781483981</v>
      </c>
      <c r="H170" s="83">
        <v>27.705391624838875</v>
      </c>
      <c r="I170" s="83">
        <v>29.191224480767826</v>
      </c>
      <c r="J170" s="83">
        <v>31.4583164950594</v>
      </c>
      <c r="K170" s="83">
        <v>33.285054625723944</v>
      </c>
      <c r="L170" s="83">
        <v>34.907882197826808</v>
      </c>
      <c r="M170" s="83">
        <v>38.62034174919134</v>
      </c>
      <c r="N170" s="83">
        <v>40.908925927439284</v>
      </c>
      <c r="O170" s="83">
        <v>43.652546588717939</v>
      </c>
      <c r="P170" s="83">
        <v>45.125826900511015</v>
      </c>
      <c r="Q170" s="83">
        <v>46.099732949760181</v>
      </c>
      <c r="R170" s="83">
        <v>48.657586096371389</v>
      </c>
      <c r="S170" s="83">
        <v>50.508320202437119</v>
      </c>
      <c r="T170" s="83">
        <v>50.361982977312245</v>
      </c>
      <c r="U170" s="83">
        <v>52.642700723283639</v>
      </c>
      <c r="V170" s="83">
        <v>54.491527982616617</v>
      </c>
      <c r="W170" s="83">
        <v>55.628527418013306</v>
      </c>
      <c r="X170" s="83">
        <v>56.391834763314918</v>
      </c>
      <c r="Y170" s="83">
        <v>56.861672626564136</v>
      </c>
      <c r="Z170" s="83">
        <v>57.077139306807574</v>
      </c>
      <c r="AA170" s="83">
        <v>57.426608603503141</v>
      </c>
      <c r="AB170" s="83">
        <v>56.93420584168949</v>
      </c>
      <c r="AC170" s="83">
        <v>55.53568885851805</v>
      </c>
      <c r="AD170" s="83">
        <v>52.32839201168639</v>
      </c>
      <c r="AE170" s="83">
        <v>50.187421203403098</v>
      </c>
      <c r="AF170" s="83">
        <v>39.806188287774049</v>
      </c>
      <c r="AG170" s="83">
        <v>43.094347128830151</v>
      </c>
      <c r="AH170" s="83">
        <v>44.2092034013221</v>
      </c>
      <c r="AI170" s="277">
        <v>40.429229180267733</v>
      </c>
      <c r="AJ170" s="277">
        <v>38.083857492551083</v>
      </c>
      <c r="AK170" s="277">
        <v>36.369246474971348</v>
      </c>
      <c r="AL170" s="277">
        <v>34.049061784717779</v>
      </c>
      <c r="AM170" s="382">
        <f t="shared" ref="AM170:AM190" si="177">(AL170+AN170)/2</f>
        <v>29.653439395702506</v>
      </c>
      <c r="AN170" s="277">
        <v>25.257817006687233</v>
      </c>
      <c r="AO170" s="277">
        <f t="shared" ref="AO170:AO175" si="178">AN170+(AP170-AN170)/2</f>
        <v>21.291550583701323</v>
      </c>
      <c r="AP170" s="277">
        <v>17.325284160715409</v>
      </c>
      <c r="AQ170" s="277">
        <f t="shared" ref="AQ170:AQ179" si="179">AP170+(AS170-AP170)/3</f>
        <v>14.967079906384068</v>
      </c>
      <c r="AR170" s="277">
        <f t="shared" ref="AR170:AR179" si="180">AP170+(AS170-AP170)*2/3</f>
        <v>12.608875652052728</v>
      </c>
      <c r="AS170" s="277">
        <v>10.250671397721389</v>
      </c>
      <c r="AT170" s="277">
        <f t="shared" ref="AT170:AT175" si="181">AS170+(AU170-AS170)/2</f>
        <v>7.8980595499780097</v>
      </c>
      <c r="AU170" s="277">
        <v>5.5454477022346316</v>
      </c>
      <c r="AV170" s="277">
        <f t="shared" ref="AV170:AV179" si="182">AU170+(AX170-AU170)/3</f>
        <v>4.676100516245004</v>
      </c>
      <c r="AW170" s="277">
        <f t="shared" ref="AW170:AW179" si="183">AU170+(AX170-AU170)*2/3</f>
        <v>3.8067533302553773</v>
      </c>
      <c r="AX170" s="277">
        <v>2.9374061442657498</v>
      </c>
      <c r="AY170" s="277">
        <f t="shared" ref="AY170:AY175" si="184">AX170+(AZ170-AX170)/2</f>
        <v>2.0679377666406524</v>
      </c>
      <c r="AZ170" s="277">
        <v>1.1984693890155549</v>
      </c>
      <c r="BA170" s="277">
        <f t="shared" ref="BA170:BA198" si="185">AZ170+(BE170-AZ170)*1/5</f>
        <v>1.0092188877493375</v>
      </c>
      <c r="BB170" s="277">
        <f t="shared" ref="BB170:BB198" si="186">AZ170+(BE170-AZ170)*2/5</f>
        <v>0.81996838648311998</v>
      </c>
      <c r="BC170" s="277">
        <f t="shared" ref="BC170:BC198" si="187">AZ170+(BE170-AZ170)*3/5</f>
        <v>0.63071788521690264</v>
      </c>
      <c r="BD170" s="277">
        <f t="shared" ref="BD170:BD198" si="188">AZ170+(BE170-AZ170)*4/5</f>
        <v>0.44146738395068519</v>
      </c>
      <c r="BE170" s="277">
        <v>0.25221688268446768</v>
      </c>
      <c r="BF170" s="277">
        <f t="shared" ref="BF170:BF198" si="189">BE170+(BJ170-BE170)*1/5</f>
        <v>0.20192793119116689</v>
      </c>
      <c r="BG170" s="277">
        <f t="shared" ref="BG170:BG198" si="190">BE170+(BJ170-BE170)*2/5</f>
        <v>0.15163897969786611</v>
      </c>
      <c r="BH170" s="277">
        <f t="shared" ref="BH170:BH198" si="191">BE170+(BJ170-BE170)*3/5</f>
        <v>0.10135002820456535</v>
      </c>
      <c r="BI170" s="277">
        <f t="shared" ref="BI170:BI198" si="192">BE170+(BJ170-BE170)*4/5</f>
        <v>5.1061076711264558E-2</v>
      </c>
      <c r="BJ170" s="277">
        <v>7.7212521796375742E-4</v>
      </c>
    </row>
    <row r="171" spans="1:62">
      <c r="A171" s="91" t="s">
        <v>298</v>
      </c>
      <c r="B171" s="83">
        <v>53.838465844272214</v>
      </c>
      <c r="C171" s="83">
        <v>52.589009108531968</v>
      </c>
      <c r="D171" s="83">
        <v>53.271046084308892</v>
      </c>
      <c r="E171" s="83">
        <v>51.362600361727367</v>
      </c>
      <c r="F171" s="83">
        <v>49.523768878635266</v>
      </c>
      <c r="G171" s="83">
        <v>47.873826500723766</v>
      </c>
      <c r="H171" s="83">
        <v>46.610283546957433</v>
      </c>
      <c r="I171" s="83">
        <v>45.760943722434604</v>
      </c>
      <c r="J171" s="83">
        <v>44.844760840690689</v>
      </c>
      <c r="K171" s="83">
        <v>43.92867532502413</v>
      </c>
      <c r="L171" s="83">
        <v>42.258800813785292</v>
      </c>
      <c r="M171" s="83">
        <v>41.610053348974112</v>
      </c>
      <c r="N171" s="83">
        <v>40.162758563302496</v>
      </c>
      <c r="O171" s="83">
        <v>38.154445786249113</v>
      </c>
      <c r="P171" s="83">
        <v>36.440214686488034</v>
      </c>
      <c r="Q171" s="83">
        <v>34.013176035360232</v>
      </c>
      <c r="R171" s="83">
        <v>31.947971765151763</v>
      </c>
      <c r="S171" s="83">
        <v>29.993352611091858</v>
      </c>
      <c r="T171" s="83">
        <v>26.690670284936207</v>
      </c>
      <c r="U171" s="83">
        <v>25.608832821649237</v>
      </c>
      <c r="V171" s="83">
        <v>24.029645636287601</v>
      </c>
      <c r="W171" s="83">
        <v>22.641712630129099</v>
      </c>
      <c r="X171" s="83">
        <v>20.942347421688957</v>
      </c>
      <c r="Y171" s="83">
        <v>20.210784900023334</v>
      </c>
      <c r="Z171" s="83">
        <v>20.088823924234379</v>
      </c>
      <c r="AA171" s="83">
        <v>20.306624663090375</v>
      </c>
      <c r="AB171" s="83">
        <v>20.81616661053868</v>
      </c>
      <c r="AC171" s="83">
        <v>21.39995913389313</v>
      </c>
      <c r="AD171" s="83">
        <v>22.084401816975749</v>
      </c>
      <c r="AE171" s="83">
        <v>23.717068219475649</v>
      </c>
      <c r="AF171" s="83">
        <v>20.192021336531283</v>
      </c>
      <c r="AG171" s="83">
        <v>24.445395802665114</v>
      </c>
      <c r="AH171" s="83">
        <v>26.770609987309196</v>
      </c>
      <c r="AI171" s="277">
        <v>28.087122334501121</v>
      </c>
      <c r="AJ171" s="277">
        <v>29.666278766008155</v>
      </c>
      <c r="AK171" s="277">
        <v>30.79429615562066</v>
      </c>
      <c r="AL171" s="277">
        <v>30.797603611526085</v>
      </c>
      <c r="AM171" s="382">
        <f t="shared" si="177"/>
        <v>29.794667726986422</v>
      </c>
      <c r="AN171" s="277">
        <v>28.791731842446758</v>
      </c>
      <c r="AO171" s="277">
        <f t="shared" si="178"/>
        <v>29.781098644447106</v>
      </c>
      <c r="AP171" s="277">
        <v>30.770465446447457</v>
      </c>
      <c r="AQ171" s="277">
        <f t="shared" si="179"/>
        <v>29.644414711605847</v>
      </c>
      <c r="AR171" s="277">
        <f t="shared" si="180"/>
        <v>28.518363976764235</v>
      </c>
      <c r="AS171" s="277">
        <v>27.392313241922626</v>
      </c>
      <c r="AT171" s="277">
        <f t="shared" si="181"/>
        <v>26.280832716482976</v>
      </c>
      <c r="AU171" s="277">
        <v>25.169352191043327</v>
      </c>
      <c r="AV171" s="277">
        <f t="shared" si="182"/>
        <v>22.68807369747843</v>
      </c>
      <c r="AW171" s="277">
        <f t="shared" si="183"/>
        <v>20.206795203913533</v>
      </c>
      <c r="AX171" s="277">
        <v>17.725516710348636</v>
      </c>
      <c r="AY171" s="277">
        <f t="shared" si="184"/>
        <v>15.243127949132093</v>
      </c>
      <c r="AZ171" s="277">
        <v>12.760739187915551</v>
      </c>
      <c r="BA171" s="277">
        <f t="shared" si="185"/>
        <v>10.715240581158913</v>
      </c>
      <c r="BB171" s="277">
        <f t="shared" si="186"/>
        <v>8.6697419744022763</v>
      </c>
      <c r="BC171" s="277">
        <f t="shared" si="187"/>
        <v>6.6242433676456391</v>
      </c>
      <c r="BD171" s="277">
        <f t="shared" si="188"/>
        <v>4.578744760889002</v>
      </c>
      <c r="BE171" s="277">
        <v>2.5332461541323661</v>
      </c>
      <c r="BF171" s="277">
        <f t="shared" si="189"/>
        <v>2.0268267495258065</v>
      </c>
      <c r="BG171" s="277">
        <f t="shared" si="190"/>
        <v>1.520407344919247</v>
      </c>
      <c r="BH171" s="277">
        <f t="shared" si="191"/>
        <v>1.0139879403126875</v>
      </c>
      <c r="BI171" s="277">
        <f t="shared" si="192"/>
        <v>0.50756853570612792</v>
      </c>
      <c r="BJ171" s="277">
        <v>1.1491310995682858E-3</v>
      </c>
    </row>
    <row r="172" spans="1:62">
      <c r="A172" s="91" t="s">
        <v>299</v>
      </c>
      <c r="B172" s="83">
        <v>4.593717338504881E-2</v>
      </c>
      <c r="C172" s="83">
        <v>4.2266453038959456E-2</v>
      </c>
      <c r="D172" s="83">
        <v>3.5750835673610377E-2</v>
      </c>
      <c r="E172" s="83">
        <v>3.167641325263007E-2</v>
      </c>
      <c r="F172" s="83">
        <v>2.7878850221782336E-2</v>
      </c>
      <c r="G172" s="83">
        <v>2.3006091475134747E-2</v>
      </c>
      <c r="H172" s="83">
        <v>4.1558192563599758E-2</v>
      </c>
      <c r="I172" s="83">
        <v>8.1678597457012267E-2</v>
      </c>
      <c r="J172" s="83">
        <v>0.13904822366377587</v>
      </c>
      <c r="K172" s="83">
        <v>0.18931390222017228</v>
      </c>
      <c r="L172" s="83">
        <v>0.18938190687837994</v>
      </c>
      <c r="M172" s="83">
        <v>0.19132497149742467</v>
      </c>
      <c r="N172" s="83">
        <v>0.16826129347295063</v>
      </c>
      <c r="O172" s="83">
        <v>0.14892142773215983</v>
      </c>
      <c r="P172" s="83">
        <v>0.13348644156681194</v>
      </c>
      <c r="Q172" s="83">
        <v>0.12774792381678812</v>
      </c>
      <c r="R172" s="83">
        <v>0.12334319456871906</v>
      </c>
      <c r="S172" s="83">
        <v>0.11633065427447925</v>
      </c>
      <c r="T172" s="83">
        <v>0.11173853828146252</v>
      </c>
      <c r="U172" s="83">
        <v>0.10440988516301523</v>
      </c>
      <c r="V172" s="83">
        <v>0.11583485424105762</v>
      </c>
      <c r="W172" s="83">
        <v>0.12910115498411234</v>
      </c>
      <c r="X172" s="83">
        <v>0.11861027851289412</v>
      </c>
      <c r="Y172" s="83">
        <v>0.10536282969867224</v>
      </c>
      <c r="Z172" s="83">
        <v>9.4649723691508328E-2</v>
      </c>
      <c r="AA172" s="83">
        <v>8.0270471320149167E-2</v>
      </c>
      <c r="AB172" s="83">
        <v>6.828346697399254E-2</v>
      </c>
      <c r="AC172" s="83">
        <v>5.7113811160330381E-2</v>
      </c>
      <c r="AD172" s="83">
        <v>4.9960088992683525E-2</v>
      </c>
      <c r="AE172" s="83">
        <v>4.3650487651343606E-2</v>
      </c>
      <c r="AF172" s="83">
        <v>2.4431032662659578E-2</v>
      </c>
      <c r="AG172" s="83">
        <v>3.9059292804692843E-2</v>
      </c>
      <c r="AH172" s="83">
        <v>6.5173417896402894E-2</v>
      </c>
      <c r="AI172" s="277">
        <v>7.7015863782100902E-2</v>
      </c>
      <c r="AJ172" s="277">
        <v>8.1629148840689628E-2</v>
      </c>
      <c r="AK172" s="277">
        <v>7.9704980438492182E-2</v>
      </c>
      <c r="AL172" s="277">
        <v>6.3957524471765795E-2</v>
      </c>
      <c r="AM172" s="382">
        <f t="shared" si="177"/>
        <v>3.1978762235882897E-2</v>
      </c>
      <c r="AN172" s="277">
        <v>0</v>
      </c>
      <c r="AO172" s="277">
        <f t="shared" si="178"/>
        <v>0</v>
      </c>
      <c r="AP172" s="277">
        <v>0</v>
      </c>
      <c r="AQ172" s="277">
        <f t="shared" si="179"/>
        <v>0</v>
      </c>
      <c r="AR172" s="277">
        <f t="shared" si="180"/>
        <v>0</v>
      </c>
      <c r="AS172" s="277">
        <v>0</v>
      </c>
      <c r="AT172" s="277">
        <f t="shared" si="181"/>
        <v>0</v>
      </c>
      <c r="AU172" s="277">
        <v>0</v>
      </c>
      <c r="AV172" s="277">
        <f t="shared" si="182"/>
        <v>0</v>
      </c>
      <c r="AW172" s="277">
        <f t="shared" si="183"/>
        <v>0</v>
      </c>
      <c r="AX172" s="277">
        <v>0</v>
      </c>
      <c r="AY172" s="277">
        <f t="shared" si="184"/>
        <v>0</v>
      </c>
      <c r="AZ172" s="277">
        <v>0</v>
      </c>
      <c r="BA172" s="277">
        <f t="shared" si="185"/>
        <v>0</v>
      </c>
      <c r="BB172" s="277">
        <f t="shared" si="186"/>
        <v>0</v>
      </c>
      <c r="BC172" s="277">
        <f t="shared" si="187"/>
        <v>0</v>
      </c>
      <c r="BD172" s="277">
        <f t="shared" si="188"/>
        <v>0</v>
      </c>
      <c r="BE172" s="277">
        <v>0</v>
      </c>
      <c r="BF172" s="277">
        <f t="shared" si="189"/>
        <v>0</v>
      </c>
      <c r="BG172" s="277">
        <f t="shared" si="190"/>
        <v>0</v>
      </c>
      <c r="BH172" s="277">
        <f t="shared" si="191"/>
        <v>0</v>
      </c>
      <c r="BI172" s="277">
        <f t="shared" si="192"/>
        <v>0</v>
      </c>
      <c r="BJ172" s="277">
        <v>0</v>
      </c>
    </row>
    <row r="173" spans="1:62">
      <c r="A173" s="91" t="s">
        <v>300</v>
      </c>
      <c r="B173" s="83">
        <v>1.335144322516256E-5</v>
      </c>
      <c r="C173" s="83">
        <v>0</v>
      </c>
      <c r="D173" s="83">
        <v>0</v>
      </c>
      <c r="E173" s="83">
        <v>1.8259412243755918E-4</v>
      </c>
      <c r="F173" s="83">
        <v>1.0050676712939613E-4</v>
      </c>
      <c r="G173" s="83">
        <v>5.7522269082337083E-5</v>
      </c>
      <c r="H173" s="83">
        <v>5.7154794433764109E-5</v>
      </c>
      <c r="I173" s="83">
        <v>5.2666454452321173E-5</v>
      </c>
      <c r="J173" s="83">
        <v>4.723759239747341E-5</v>
      </c>
      <c r="K173" s="83">
        <v>6.0428159299399841E-5</v>
      </c>
      <c r="L173" s="83">
        <v>1.1829939032783075E-4</v>
      </c>
      <c r="M173" s="83">
        <v>1.1545938129595287E-3</v>
      </c>
      <c r="N173" s="83">
        <v>1.3165343346702232E-3</v>
      </c>
      <c r="O173" s="83">
        <v>1.8137351008274956E-3</v>
      </c>
      <c r="P173" s="83">
        <v>2.0846587948366605E-3</v>
      </c>
      <c r="Q173" s="83">
        <v>2.3577227094307538E-3</v>
      </c>
      <c r="R173" s="83">
        <v>2.802934634075644E-3</v>
      </c>
      <c r="S173" s="83">
        <v>3.0364579948711284E-3</v>
      </c>
      <c r="T173" s="83">
        <v>3.4770395895744981E-3</v>
      </c>
      <c r="U173" s="83">
        <v>3.4199791563678328E-3</v>
      </c>
      <c r="V173" s="83">
        <v>3.4811903689008533E-3</v>
      </c>
      <c r="W173" s="83">
        <v>7.9912988401238585E-3</v>
      </c>
      <c r="X173" s="83">
        <v>8.8694200595683097E-3</v>
      </c>
      <c r="Y173" s="83">
        <v>9.1116917778004472E-3</v>
      </c>
      <c r="Z173" s="83">
        <v>8.4132002733671579E-3</v>
      </c>
      <c r="AA173" s="83">
        <v>7.383790753845155E-3</v>
      </c>
      <c r="AB173" s="83">
        <v>6.5372279087605413E-3</v>
      </c>
      <c r="AC173" s="83">
        <v>5.8260308943615486E-3</v>
      </c>
      <c r="AD173" s="83">
        <v>5.6574933701613898E-3</v>
      </c>
      <c r="AE173" s="83">
        <v>5.4776274909776402E-3</v>
      </c>
      <c r="AF173" s="83">
        <v>5.2643446518250876E-3</v>
      </c>
      <c r="AG173" s="83">
        <v>6.7517581864530683E-3</v>
      </c>
      <c r="AH173" s="83">
        <v>7.4682092167901813E-3</v>
      </c>
      <c r="AI173" s="277">
        <v>7.3714677555141326E-3</v>
      </c>
      <c r="AJ173" s="277">
        <v>6.5759930309399871E-3</v>
      </c>
      <c r="AK173" s="277">
        <v>6.8470979906450286E-3</v>
      </c>
      <c r="AL173" s="277">
        <v>7.695832771066685E-3</v>
      </c>
      <c r="AM173" s="382">
        <f t="shared" si="177"/>
        <v>1.0010950128191604E-2</v>
      </c>
      <c r="AN173" s="277">
        <v>1.2326067485316524E-2</v>
      </c>
      <c r="AO173" s="277">
        <f t="shared" si="178"/>
        <v>1.3127877484143728E-2</v>
      </c>
      <c r="AP173" s="277">
        <v>1.3929687482970934E-2</v>
      </c>
      <c r="AQ173" s="277">
        <f t="shared" si="179"/>
        <v>1.3366584034053454E-2</v>
      </c>
      <c r="AR173" s="277">
        <f t="shared" si="180"/>
        <v>1.2803480585135973E-2</v>
      </c>
      <c r="AS173" s="277">
        <v>1.2240377136218493E-2</v>
      </c>
      <c r="AT173" s="277">
        <f t="shared" si="181"/>
        <v>1.1685506065494514E-2</v>
      </c>
      <c r="AU173" s="277">
        <v>1.1130634994770534E-2</v>
      </c>
      <c r="AV173" s="277">
        <f t="shared" si="182"/>
        <v>9.8171604173787116E-3</v>
      </c>
      <c r="AW173" s="277">
        <f t="shared" si="183"/>
        <v>8.5036858399868895E-3</v>
      </c>
      <c r="AX173" s="277">
        <v>7.1902112625950665E-3</v>
      </c>
      <c r="AY173" s="277">
        <f t="shared" si="184"/>
        <v>5.8777994080657821E-3</v>
      </c>
      <c r="AZ173" s="277">
        <v>4.5653875535364985E-3</v>
      </c>
      <c r="BA173" s="277">
        <f t="shared" si="185"/>
        <v>3.8336457385098346E-3</v>
      </c>
      <c r="BB173" s="277">
        <f t="shared" si="186"/>
        <v>3.1019039234831706E-3</v>
      </c>
      <c r="BC173" s="277">
        <f t="shared" si="187"/>
        <v>2.3701621084565071E-3</v>
      </c>
      <c r="BD173" s="277">
        <f t="shared" si="188"/>
        <v>1.6384202934298432E-3</v>
      </c>
      <c r="BE173" s="277">
        <v>9.0667847840317911E-4</v>
      </c>
      <c r="BF173" s="277">
        <f t="shared" si="189"/>
        <v>7.2558214067826744E-4</v>
      </c>
      <c r="BG173" s="277">
        <f t="shared" si="190"/>
        <v>5.4448580295335565E-4</v>
      </c>
      <c r="BH173" s="277">
        <f t="shared" si="191"/>
        <v>3.6338946522844397E-4</v>
      </c>
      <c r="BI173" s="277">
        <f t="shared" si="192"/>
        <v>1.8229312750353218E-4</v>
      </c>
      <c r="BJ173" s="277">
        <v>1.1967897786205248E-6</v>
      </c>
    </row>
    <row r="174" spans="1:62">
      <c r="A174" s="91" t="s">
        <v>301</v>
      </c>
      <c r="B174" s="83">
        <v>0</v>
      </c>
      <c r="C174" s="83">
        <v>0</v>
      </c>
      <c r="D174" s="83">
        <v>0</v>
      </c>
      <c r="E174" s="83">
        <v>0</v>
      </c>
      <c r="F174" s="83">
        <v>0</v>
      </c>
      <c r="G174" s="83">
        <v>0</v>
      </c>
      <c r="H174" s="83">
        <v>0</v>
      </c>
      <c r="I174" s="83">
        <v>0</v>
      </c>
      <c r="J174" s="83">
        <v>0</v>
      </c>
      <c r="K174" s="83">
        <v>0</v>
      </c>
      <c r="L174" s="83">
        <v>0</v>
      </c>
      <c r="M174" s="83">
        <v>0</v>
      </c>
      <c r="N174" s="83">
        <v>0</v>
      </c>
      <c r="O174" s="83">
        <v>0</v>
      </c>
      <c r="P174" s="83">
        <v>0</v>
      </c>
      <c r="Q174" s="83">
        <v>0</v>
      </c>
      <c r="R174" s="83">
        <v>0</v>
      </c>
      <c r="S174" s="83">
        <v>0</v>
      </c>
      <c r="T174" s="83">
        <v>0</v>
      </c>
      <c r="U174" s="83">
        <v>0</v>
      </c>
      <c r="V174" s="83">
        <v>0</v>
      </c>
      <c r="W174" s="83">
        <v>0</v>
      </c>
      <c r="X174" s="83">
        <v>0</v>
      </c>
      <c r="Y174" s="83">
        <v>0</v>
      </c>
      <c r="Z174" s="83">
        <v>0</v>
      </c>
      <c r="AA174" s="83">
        <v>0</v>
      </c>
      <c r="AB174" s="83">
        <v>0</v>
      </c>
      <c r="AC174" s="83">
        <v>0</v>
      </c>
      <c r="AD174" s="83">
        <v>0</v>
      </c>
      <c r="AE174" s="83">
        <v>0</v>
      </c>
      <c r="AF174" s="83">
        <v>0</v>
      </c>
      <c r="AG174" s="83">
        <v>0</v>
      </c>
      <c r="AH174" s="83">
        <v>0</v>
      </c>
      <c r="AI174" s="277">
        <v>0</v>
      </c>
      <c r="AJ174" s="277">
        <v>0</v>
      </c>
      <c r="AK174" s="277">
        <v>0</v>
      </c>
      <c r="AL174" s="277">
        <v>0</v>
      </c>
      <c r="AM174" s="382">
        <f t="shared" si="177"/>
        <v>0</v>
      </c>
      <c r="AN174" s="277">
        <v>0</v>
      </c>
      <c r="AO174" s="277">
        <f t="shared" si="178"/>
        <v>0</v>
      </c>
      <c r="AP174" s="277">
        <v>0</v>
      </c>
      <c r="AQ174" s="277">
        <f t="shared" si="179"/>
        <v>0</v>
      </c>
      <c r="AR174" s="277">
        <f t="shared" si="180"/>
        <v>0</v>
      </c>
      <c r="AS174" s="277">
        <v>0</v>
      </c>
      <c r="AT174" s="277">
        <f t="shared" si="181"/>
        <v>0</v>
      </c>
      <c r="AU174" s="277">
        <v>0</v>
      </c>
      <c r="AV174" s="277">
        <f t="shared" si="182"/>
        <v>0</v>
      </c>
      <c r="AW174" s="277">
        <f t="shared" si="183"/>
        <v>0</v>
      </c>
      <c r="AX174" s="277">
        <v>0</v>
      </c>
      <c r="AY174" s="277">
        <f t="shared" si="184"/>
        <v>0</v>
      </c>
      <c r="AZ174" s="277">
        <v>0</v>
      </c>
      <c r="BA174" s="277">
        <f t="shared" si="185"/>
        <v>0</v>
      </c>
      <c r="BB174" s="277">
        <f t="shared" si="186"/>
        <v>0</v>
      </c>
      <c r="BC174" s="277">
        <f t="shared" si="187"/>
        <v>0</v>
      </c>
      <c r="BD174" s="277">
        <f t="shared" si="188"/>
        <v>0</v>
      </c>
      <c r="BE174" s="277">
        <v>0</v>
      </c>
      <c r="BF174" s="277">
        <f t="shared" si="189"/>
        <v>0</v>
      </c>
      <c r="BG174" s="277">
        <f t="shared" si="190"/>
        <v>0</v>
      </c>
      <c r="BH174" s="277">
        <f t="shared" si="191"/>
        <v>0</v>
      </c>
      <c r="BI174" s="277">
        <f t="shared" si="192"/>
        <v>0</v>
      </c>
      <c r="BJ174" s="277">
        <v>0</v>
      </c>
    </row>
    <row r="175" spans="1:62">
      <c r="A175" s="91" t="s">
        <v>302</v>
      </c>
      <c r="B175" s="83">
        <v>11.186322879893138</v>
      </c>
      <c r="C175" s="83">
        <v>12.398116077268021</v>
      </c>
      <c r="D175" s="83">
        <v>13.594824600179512</v>
      </c>
      <c r="E175" s="83">
        <v>14.677558086449309</v>
      </c>
      <c r="F175" s="83">
        <v>15.169493253158667</v>
      </c>
      <c r="G175" s="83">
        <v>15.696855608807958</v>
      </c>
      <c r="H175" s="83">
        <v>16.169522371273793</v>
      </c>
      <c r="I175" s="83">
        <v>16.893437755451462</v>
      </c>
      <c r="J175" s="83">
        <v>17.154828267506332</v>
      </c>
      <c r="K175" s="83">
        <v>17.293669269630644</v>
      </c>
      <c r="L175" s="83">
        <v>17.31309187871846</v>
      </c>
      <c r="M175" s="83">
        <v>17.673646618599204</v>
      </c>
      <c r="N175" s="83">
        <v>17.946240303072322</v>
      </c>
      <c r="O175" s="83">
        <v>18.112876665371139</v>
      </c>
      <c r="P175" s="83">
        <v>17.860112806425697</v>
      </c>
      <c r="Q175" s="83">
        <v>17.711263204987109</v>
      </c>
      <c r="R175" s="83">
        <v>17.4610808454268</v>
      </c>
      <c r="S175" s="83">
        <v>16.974856409318821</v>
      </c>
      <c r="T175" s="83">
        <v>16.199278636986591</v>
      </c>
      <c r="U175" s="83">
        <v>16.147686566726325</v>
      </c>
      <c r="V175" s="83">
        <v>16.510259723701765</v>
      </c>
      <c r="W175" s="83">
        <v>16.914259687619353</v>
      </c>
      <c r="X175" s="83">
        <v>16.963816338844889</v>
      </c>
      <c r="Y175" s="83">
        <v>17.224582611912798</v>
      </c>
      <c r="Z175" s="83">
        <v>17.177332320191187</v>
      </c>
      <c r="AA175" s="83">
        <v>17.57328484107752</v>
      </c>
      <c r="AB175" s="83">
        <v>17.869515927500196</v>
      </c>
      <c r="AC175" s="83">
        <v>17.775434605397663</v>
      </c>
      <c r="AD175" s="83">
        <v>17.731345827901581</v>
      </c>
      <c r="AE175" s="83">
        <v>17.605087905403934</v>
      </c>
      <c r="AF175" s="83">
        <v>15.718347993601332</v>
      </c>
      <c r="AG175" s="83">
        <v>17.847242015059397</v>
      </c>
      <c r="AH175" s="83">
        <v>17.639878386658793</v>
      </c>
      <c r="AI175" s="277">
        <v>16.681081070921373</v>
      </c>
      <c r="AJ175" s="277">
        <v>16.199403185578451</v>
      </c>
      <c r="AK175" s="277">
        <v>15.508812672719085</v>
      </c>
      <c r="AL175" s="277">
        <v>15.230479079312802</v>
      </c>
      <c r="AM175" s="382">
        <f t="shared" si="177"/>
        <v>14.738939843379086</v>
      </c>
      <c r="AN175" s="277">
        <v>14.247400607445371</v>
      </c>
      <c r="AO175" s="277">
        <f t="shared" si="178"/>
        <v>13.665899103411039</v>
      </c>
      <c r="AP175" s="277">
        <v>13.084397599376707</v>
      </c>
      <c r="AQ175" s="277">
        <f t="shared" si="179"/>
        <v>12.204210284212163</v>
      </c>
      <c r="AR175" s="277">
        <f t="shared" si="180"/>
        <v>11.324022969047618</v>
      </c>
      <c r="AS175" s="277">
        <v>10.443835653883074</v>
      </c>
      <c r="AT175" s="277">
        <f t="shared" si="181"/>
        <v>9.5668496707236894</v>
      </c>
      <c r="AU175" s="277">
        <v>8.6898636875643049</v>
      </c>
      <c r="AV175" s="277">
        <f t="shared" si="182"/>
        <v>7.6722095301948094</v>
      </c>
      <c r="AW175" s="277">
        <f t="shared" si="183"/>
        <v>6.654555372825314</v>
      </c>
      <c r="AX175" s="277">
        <v>5.6369012154558176</v>
      </c>
      <c r="AY175" s="277">
        <f t="shared" si="184"/>
        <v>4.6197018068729427</v>
      </c>
      <c r="AZ175" s="277">
        <v>3.6025023982900679</v>
      </c>
      <c r="BA175" s="277">
        <f t="shared" si="185"/>
        <v>2.9979795575367216</v>
      </c>
      <c r="BB175" s="277">
        <f t="shared" si="186"/>
        <v>2.3934567167833749</v>
      </c>
      <c r="BC175" s="277">
        <f t="shared" si="187"/>
        <v>1.7889338760300282</v>
      </c>
      <c r="BD175" s="277">
        <f t="shared" si="188"/>
        <v>1.1844110352766819</v>
      </c>
      <c r="BE175" s="277">
        <v>0.57988819452333518</v>
      </c>
      <c r="BF175" s="277">
        <f t="shared" si="189"/>
        <v>0.463994225989311</v>
      </c>
      <c r="BG175" s="277">
        <f t="shared" si="190"/>
        <v>0.34810025745528683</v>
      </c>
      <c r="BH175" s="277">
        <f t="shared" si="191"/>
        <v>0.2322062889212626</v>
      </c>
      <c r="BI175" s="277">
        <f t="shared" si="192"/>
        <v>0.11631232038723843</v>
      </c>
      <c r="BJ175" s="277">
        <v>4.1835185321422569E-4</v>
      </c>
    </row>
    <row r="176" spans="1:62">
      <c r="A176" s="91" t="s">
        <v>303</v>
      </c>
      <c r="B176" s="83">
        <v>6.4082768043241964</v>
      </c>
      <c r="C176" s="83">
        <v>6.1239302459973839</v>
      </c>
      <c r="D176" s="83">
        <v>5.6701600517620081</v>
      </c>
      <c r="E176" s="83">
        <v>4.9972159074012463</v>
      </c>
      <c r="F176" s="83">
        <v>4.559971387833742</v>
      </c>
      <c r="G176" s="83">
        <v>4.0919948925196943</v>
      </c>
      <c r="H176" s="83">
        <v>3.8498719684375442</v>
      </c>
      <c r="I176" s="83">
        <v>3.6176151548959394</v>
      </c>
      <c r="J176" s="83">
        <v>3.436738119766459</v>
      </c>
      <c r="K176" s="83">
        <v>3.230444523883564</v>
      </c>
      <c r="L176" s="83">
        <v>2.624535153727809</v>
      </c>
      <c r="M176" s="83">
        <v>2.2887762897789843</v>
      </c>
      <c r="N176" s="83">
        <v>1.9905398969633088</v>
      </c>
      <c r="O176" s="83">
        <v>1.7110116878864676</v>
      </c>
      <c r="P176" s="83">
        <v>1.5195654916253196</v>
      </c>
      <c r="Q176" s="83">
        <v>1.2671686462434697</v>
      </c>
      <c r="R176" s="83">
        <v>1.0916397007005296</v>
      </c>
      <c r="S176" s="83">
        <v>0.92391052683901609</v>
      </c>
      <c r="T176" s="83">
        <v>0.7110841148750533</v>
      </c>
      <c r="U176" s="83">
        <v>0.59757181833979434</v>
      </c>
      <c r="V176" s="83">
        <v>0.47398713040682339</v>
      </c>
      <c r="W176" s="83">
        <v>0.394738187583765</v>
      </c>
      <c r="X176" s="83">
        <v>0.34141458102302846</v>
      </c>
      <c r="Y176" s="83">
        <v>0.31759507808342463</v>
      </c>
      <c r="Z176" s="83">
        <v>0.30181758956376786</v>
      </c>
      <c r="AA176" s="83">
        <v>0.28339414309837291</v>
      </c>
      <c r="AB176" s="83">
        <v>0.2744029035085932</v>
      </c>
      <c r="AC176" s="83">
        <v>0.26449825842763797</v>
      </c>
      <c r="AD176" s="83">
        <v>0.27279696147280352</v>
      </c>
      <c r="AE176" s="83">
        <v>0.30365691299458791</v>
      </c>
      <c r="AF176" s="83">
        <v>0.30296248056639485</v>
      </c>
      <c r="AG176" s="83">
        <v>0.39074091937835181</v>
      </c>
      <c r="AH176" s="83">
        <v>0.44801245145876256</v>
      </c>
      <c r="AI176" s="277">
        <v>0.54581619260926317</v>
      </c>
      <c r="AJ176" s="277">
        <v>0.68707126405082342</v>
      </c>
      <c r="AK176" s="277">
        <v>0.71242132239424671</v>
      </c>
      <c r="AL176" s="277">
        <v>0.7154706325049448</v>
      </c>
      <c r="AM176" s="382">
        <f t="shared" si="177"/>
        <v>0.6495001069342935</v>
      </c>
      <c r="AN176" s="277">
        <v>0.58352958136364219</v>
      </c>
      <c r="AO176" s="277">
        <f t="shared" ref="AO176:AO181" si="193">AN176+(AP176-AN176)/2</f>
        <v>0.60372683811872441</v>
      </c>
      <c r="AP176" s="277">
        <v>0.62392409487380651</v>
      </c>
      <c r="AQ176" s="277">
        <f t="shared" si="179"/>
        <v>0.60110900732043959</v>
      </c>
      <c r="AR176" s="277">
        <f t="shared" si="180"/>
        <v>0.57829391976707256</v>
      </c>
      <c r="AS176" s="277">
        <v>0.55547883221370564</v>
      </c>
      <c r="AT176" s="277">
        <f t="shared" ref="AT176:AT181" si="194">AS176+(AU176-AS176)/2</f>
        <v>0.53329862931674543</v>
      </c>
      <c r="AU176" s="277">
        <v>0.51111842641978511</v>
      </c>
      <c r="AV176" s="277">
        <f t="shared" si="182"/>
        <v>0.46074105099036322</v>
      </c>
      <c r="AW176" s="277">
        <f t="shared" si="183"/>
        <v>0.41036367556094133</v>
      </c>
      <c r="AX176" s="277">
        <v>0.35998630013151944</v>
      </c>
      <c r="AY176" s="277">
        <f t="shared" ref="AY176:AY181" si="195">AX176+(AZ176-AX176)/2</f>
        <v>0.30957302779436724</v>
      </c>
      <c r="AZ176" s="277">
        <v>0.25915975545721509</v>
      </c>
      <c r="BA176" s="277">
        <f t="shared" si="185"/>
        <v>0.21741049966107281</v>
      </c>
      <c r="BB176" s="277">
        <f t="shared" si="186"/>
        <v>0.17566124386493054</v>
      </c>
      <c r="BC176" s="277">
        <f t="shared" si="187"/>
        <v>0.13391198806878823</v>
      </c>
      <c r="BD176" s="277">
        <f t="shared" si="188"/>
        <v>9.2162732272645959E-2</v>
      </c>
      <c r="BE176" s="277">
        <v>5.0413476476503696E-2</v>
      </c>
      <c r="BF176" s="277">
        <f t="shared" si="189"/>
        <v>4.0338492803704058E-2</v>
      </c>
      <c r="BG176" s="277">
        <f t="shared" si="190"/>
        <v>3.026350913090442E-2</v>
      </c>
      <c r="BH176" s="277">
        <f t="shared" si="191"/>
        <v>2.0188525458104782E-2</v>
      </c>
      <c r="BI176" s="277">
        <f t="shared" si="192"/>
        <v>1.0113541785305144E-2</v>
      </c>
      <c r="BJ176" s="277">
        <v>3.855811250550418E-5</v>
      </c>
    </row>
    <row r="177" spans="1:62">
      <c r="A177" s="91" t="s">
        <v>304</v>
      </c>
      <c r="B177" s="83">
        <v>0.10501562258402429</v>
      </c>
      <c r="C177" s="83">
        <v>9.9634177336949487E-2</v>
      </c>
      <c r="D177" s="83">
        <v>8.5027460494170135E-2</v>
      </c>
      <c r="E177" s="83">
        <v>7.4039140668598083E-2</v>
      </c>
      <c r="F177" s="83">
        <v>6.5831160123184809E-2</v>
      </c>
      <c r="G177" s="83">
        <v>5.5705460603811686E-2</v>
      </c>
      <c r="H177" s="83">
        <v>9.4933546075358421E-2</v>
      </c>
      <c r="I177" s="83">
        <v>0.19118695531277391</v>
      </c>
      <c r="J177" s="83">
        <v>0.32973881530882321</v>
      </c>
      <c r="K177" s="83">
        <v>0.43931408946791939</v>
      </c>
      <c r="L177" s="83">
        <v>0.47468900321818774</v>
      </c>
      <c r="M177" s="83">
        <v>0.40620936532950519</v>
      </c>
      <c r="N177" s="83">
        <v>0.41061096327574753</v>
      </c>
      <c r="O177" s="83">
        <v>0.36184051189948113</v>
      </c>
      <c r="P177" s="83">
        <v>0.33372888993775079</v>
      </c>
      <c r="Q177" s="83">
        <v>0.30251767960681286</v>
      </c>
      <c r="R177" s="83">
        <v>0.28205441759776889</v>
      </c>
      <c r="S177" s="83">
        <v>0.25413320500892755</v>
      </c>
      <c r="T177" s="83">
        <v>0.23868879895673895</v>
      </c>
      <c r="U177" s="83">
        <v>0.2104909107998246</v>
      </c>
      <c r="V177" s="83">
        <v>0.24869560233505222</v>
      </c>
      <c r="W177" s="83">
        <v>0.26978645217020469</v>
      </c>
      <c r="X177" s="83">
        <v>0.24564143141761874</v>
      </c>
      <c r="Y177" s="83">
        <v>0.21823713349448087</v>
      </c>
      <c r="Z177" s="83">
        <v>0.19471000329928298</v>
      </c>
      <c r="AA177" s="83">
        <v>0.17663935964384236</v>
      </c>
      <c r="AB177" s="83">
        <v>0.1630461418253023</v>
      </c>
      <c r="AC177" s="83">
        <v>0.14654800438063631</v>
      </c>
      <c r="AD177" s="83">
        <v>0.13232257807898154</v>
      </c>
      <c r="AE177" s="83">
        <v>0.12120223521872214</v>
      </c>
      <c r="AF177" s="83">
        <v>8.6422740686181415E-2</v>
      </c>
      <c r="AG177" s="83">
        <v>0.11668332960297942</v>
      </c>
      <c r="AH177" s="83">
        <v>0.19394318051747766</v>
      </c>
      <c r="AI177" s="277">
        <v>0.24043293332577792</v>
      </c>
      <c r="AJ177" s="277">
        <v>0.23433601923239161</v>
      </c>
      <c r="AK177" s="277">
        <v>0.23158017930000729</v>
      </c>
      <c r="AL177" s="277">
        <v>0.18582646784771378</v>
      </c>
      <c r="AM177" s="382">
        <f t="shared" si="177"/>
        <v>9.2913233923856892E-2</v>
      </c>
      <c r="AN177" s="277">
        <v>0</v>
      </c>
      <c r="AO177" s="277">
        <f t="shared" si="193"/>
        <v>0</v>
      </c>
      <c r="AP177" s="277">
        <v>0</v>
      </c>
      <c r="AQ177" s="277">
        <f t="shared" si="179"/>
        <v>0</v>
      </c>
      <c r="AR177" s="277">
        <f t="shared" si="180"/>
        <v>0</v>
      </c>
      <c r="AS177" s="277">
        <v>0</v>
      </c>
      <c r="AT177" s="277">
        <f t="shared" si="194"/>
        <v>0</v>
      </c>
      <c r="AU177" s="277">
        <v>0</v>
      </c>
      <c r="AV177" s="277">
        <f t="shared" si="182"/>
        <v>0</v>
      </c>
      <c r="AW177" s="277">
        <f t="shared" si="183"/>
        <v>0</v>
      </c>
      <c r="AX177" s="277">
        <v>0</v>
      </c>
      <c r="AY177" s="277">
        <f t="shared" si="195"/>
        <v>0</v>
      </c>
      <c r="AZ177" s="277">
        <v>0</v>
      </c>
      <c r="BA177" s="277">
        <f t="shared" si="185"/>
        <v>0</v>
      </c>
      <c r="BB177" s="277">
        <f t="shared" si="186"/>
        <v>0</v>
      </c>
      <c r="BC177" s="277">
        <f t="shared" si="187"/>
        <v>0</v>
      </c>
      <c r="BD177" s="277">
        <f t="shared" si="188"/>
        <v>0</v>
      </c>
      <c r="BE177" s="277">
        <v>0</v>
      </c>
      <c r="BF177" s="277">
        <f t="shared" si="189"/>
        <v>0</v>
      </c>
      <c r="BG177" s="277">
        <f t="shared" si="190"/>
        <v>0</v>
      </c>
      <c r="BH177" s="277">
        <f t="shared" si="191"/>
        <v>0</v>
      </c>
      <c r="BI177" s="277">
        <f t="shared" si="192"/>
        <v>0</v>
      </c>
      <c r="BJ177" s="277">
        <v>0</v>
      </c>
    </row>
    <row r="178" spans="1:62">
      <c r="A178" s="91" t="s">
        <v>305</v>
      </c>
      <c r="B178" s="83">
        <v>7.2704693516952457E-5</v>
      </c>
      <c r="C178" s="83">
        <v>8.2842047476832365E-5</v>
      </c>
      <c r="D178" s="83">
        <v>8.3602768004640058E-5</v>
      </c>
      <c r="E178" s="83">
        <v>5.1486853290559631E-4</v>
      </c>
      <c r="F178" s="83">
        <v>2.8730327942106597E-4</v>
      </c>
      <c r="G178" s="83">
        <v>1.8970711002525622E-4</v>
      </c>
      <c r="H178" s="83">
        <v>2.0006109193573598E-4</v>
      </c>
      <c r="I178" s="83">
        <v>1.4397696589467672E-4</v>
      </c>
      <c r="J178" s="83">
        <v>1.4481525009984672E-4</v>
      </c>
      <c r="K178" s="83">
        <v>2.1857455370695331E-4</v>
      </c>
      <c r="L178" s="83">
        <v>3.7708282582504088E-4</v>
      </c>
      <c r="M178" s="83">
        <v>3.5110139763784554E-3</v>
      </c>
      <c r="N178" s="83">
        <v>4.0202155361186405E-3</v>
      </c>
      <c r="O178" s="83">
        <v>5.523683210269777E-3</v>
      </c>
      <c r="P178" s="83">
        <v>6.2951118669417995E-3</v>
      </c>
      <c r="Q178" s="83">
        <v>7.1975350291556732E-3</v>
      </c>
      <c r="R178" s="83">
        <v>8.4341828073021593E-3</v>
      </c>
      <c r="S178" s="83">
        <v>8.5091111263735746E-3</v>
      </c>
      <c r="T178" s="83">
        <v>1.0518874897665984E-2</v>
      </c>
      <c r="U178" s="83">
        <v>1.0447216853751162E-2</v>
      </c>
      <c r="V178" s="83">
        <v>1.0961238750935921E-2</v>
      </c>
      <c r="W178" s="83">
        <v>2.3955753171071233E-2</v>
      </c>
      <c r="X178" s="83">
        <v>2.6153836625278488E-2</v>
      </c>
      <c r="Y178" s="83">
        <v>2.5985364727112468E-2</v>
      </c>
      <c r="Z178" s="83">
        <v>2.3511211308515981E-2</v>
      </c>
      <c r="AA178" s="83">
        <v>2.1844554932415466E-2</v>
      </c>
      <c r="AB178" s="83">
        <v>2.0648876615877037E-2</v>
      </c>
      <c r="AC178" s="83">
        <v>1.8891539355179558E-2</v>
      </c>
      <c r="AD178" s="83">
        <v>1.8583773198749695E-2</v>
      </c>
      <c r="AE178" s="83">
        <v>1.854207788498171E-2</v>
      </c>
      <c r="AF178" s="83">
        <v>1.9709764108166977E-2</v>
      </c>
      <c r="AG178" s="83">
        <v>2.4743961570785018E-2</v>
      </c>
      <c r="AH178" s="83">
        <v>2.4090402528930306E-2</v>
      </c>
      <c r="AI178" s="277">
        <v>2.1807893214191909E-2</v>
      </c>
      <c r="AJ178" s="277">
        <v>1.7415645615808634E-2</v>
      </c>
      <c r="AK178" s="277">
        <v>1.7214074005681562E-2</v>
      </c>
      <c r="AL178" s="277">
        <v>1.840475263100062E-2</v>
      </c>
      <c r="AM178" s="382">
        <f t="shared" si="177"/>
        <v>2.6402728476383031E-2</v>
      </c>
      <c r="AN178" s="277">
        <v>3.4400704321765438E-2</v>
      </c>
      <c r="AO178" s="277">
        <f t="shared" si="193"/>
        <v>3.6580988646770222E-2</v>
      </c>
      <c r="AP178" s="277">
        <v>3.8761272971775007E-2</v>
      </c>
      <c r="AQ178" s="277">
        <f t="shared" si="179"/>
        <v>3.7184441079469187E-2</v>
      </c>
      <c r="AR178" s="277">
        <f t="shared" si="180"/>
        <v>3.560760918716336E-2</v>
      </c>
      <c r="AS178" s="277">
        <v>3.4030777294857539E-2</v>
      </c>
      <c r="AT178" s="277">
        <f t="shared" si="194"/>
        <v>3.2487934006774521E-2</v>
      </c>
      <c r="AU178" s="277">
        <v>3.0945090718691511E-2</v>
      </c>
      <c r="AV178" s="277">
        <f t="shared" si="182"/>
        <v>2.7296719512688028E-2</v>
      </c>
      <c r="AW178" s="277">
        <f t="shared" si="183"/>
        <v>2.3648348306684545E-2</v>
      </c>
      <c r="AX178" s="277">
        <v>1.9999977100681063E-2</v>
      </c>
      <c r="AY178" s="277">
        <f t="shared" si="195"/>
        <v>1.6358429024605364E-2</v>
      </c>
      <c r="AZ178" s="277">
        <v>1.2716880948529664E-2</v>
      </c>
      <c r="BA178" s="277">
        <f t="shared" si="185"/>
        <v>1.0681360467138924E-2</v>
      </c>
      <c r="BB178" s="277">
        <f t="shared" si="186"/>
        <v>8.6458399857481834E-3</v>
      </c>
      <c r="BC178" s="277">
        <f t="shared" si="187"/>
        <v>6.6103195043574429E-3</v>
      </c>
      <c r="BD178" s="277">
        <f t="shared" si="188"/>
        <v>4.5747990229667024E-3</v>
      </c>
      <c r="BE178" s="277">
        <v>2.5392785415759614E-3</v>
      </c>
      <c r="BF178" s="277">
        <f t="shared" si="189"/>
        <v>2.0324648125772792E-3</v>
      </c>
      <c r="BG178" s="277">
        <f t="shared" si="190"/>
        <v>1.5256510835785966E-3</v>
      </c>
      <c r="BH178" s="277">
        <f t="shared" si="191"/>
        <v>1.0188373545799139E-3</v>
      </c>
      <c r="BI178" s="277">
        <f t="shared" si="192"/>
        <v>5.1202362558123169E-4</v>
      </c>
      <c r="BJ178" s="277">
        <v>5.20989658254912E-6</v>
      </c>
    </row>
    <row r="179" spans="1:62">
      <c r="A179" s="91" t="s">
        <v>306</v>
      </c>
      <c r="B179" s="83">
        <v>0</v>
      </c>
      <c r="C179" s="83">
        <v>0</v>
      </c>
      <c r="D179" s="83">
        <v>0</v>
      </c>
      <c r="E179" s="83">
        <v>0</v>
      </c>
      <c r="F179" s="83">
        <v>0</v>
      </c>
      <c r="G179" s="83">
        <v>0</v>
      </c>
      <c r="H179" s="83">
        <v>0</v>
      </c>
      <c r="I179" s="83">
        <v>0</v>
      </c>
      <c r="J179" s="83">
        <v>0</v>
      </c>
      <c r="K179" s="83">
        <v>0</v>
      </c>
      <c r="L179" s="83">
        <v>0</v>
      </c>
      <c r="M179" s="83">
        <v>0</v>
      </c>
      <c r="N179" s="83">
        <v>0</v>
      </c>
      <c r="O179" s="83">
        <v>0</v>
      </c>
      <c r="P179" s="83">
        <v>0</v>
      </c>
      <c r="Q179" s="83">
        <v>0</v>
      </c>
      <c r="R179" s="83">
        <v>0</v>
      </c>
      <c r="S179" s="83">
        <v>0</v>
      </c>
      <c r="T179" s="83">
        <v>0</v>
      </c>
      <c r="U179" s="83">
        <v>0</v>
      </c>
      <c r="V179" s="83">
        <v>0</v>
      </c>
      <c r="W179" s="83">
        <v>0</v>
      </c>
      <c r="X179" s="83">
        <v>0</v>
      </c>
      <c r="Y179" s="83">
        <v>0</v>
      </c>
      <c r="Z179" s="83">
        <v>0</v>
      </c>
      <c r="AA179" s="83">
        <v>0</v>
      </c>
      <c r="AB179" s="83">
        <v>0</v>
      </c>
      <c r="AC179" s="83">
        <v>0</v>
      </c>
      <c r="AD179" s="83">
        <v>0</v>
      </c>
      <c r="AE179" s="83">
        <v>0</v>
      </c>
      <c r="AF179" s="83">
        <v>0</v>
      </c>
      <c r="AG179" s="83">
        <v>0</v>
      </c>
      <c r="AH179" s="83">
        <v>0</v>
      </c>
      <c r="AI179" s="277">
        <v>0</v>
      </c>
      <c r="AJ179" s="277">
        <v>0</v>
      </c>
      <c r="AK179" s="277">
        <v>0</v>
      </c>
      <c r="AL179" s="277">
        <v>0</v>
      </c>
      <c r="AM179" s="382">
        <f t="shared" si="177"/>
        <v>0</v>
      </c>
      <c r="AN179" s="277">
        <v>0</v>
      </c>
      <c r="AO179" s="277">
        <f t="shared" si="193"/>
        <v>0</v>
      </c>
      <c r="AP179" s="277">
        <v>0</v>
      </c>
      <c r="AQ179" s="277">
        <f t="shared" si="179"/>
        <v>0</v>
      </c>
      <c r="AR179" s="277">
        <f t="shared" si="180"/>
        <v>0</v>
      </c>
      <c r="AS179" s="277">
        <v>0</v>
      </c>
      <c r="AT179" s="277">
        <f t="shared" si="194"/>
        <v>0</v>
      </c>
      <c r="AU179" s="277">
        <v>0</v>
      </c>
      <c r="AV179" s="277">
        <f t="shared" si="182"/>
        <v>0</v>
      </c>
      <c r="AW179" s="277">
        <f t="shared" si="183"/>
        <v>0</v>
      </c>
      <c r="AX179" s="277">
        <v>0</v>
      </c>
      <c r="AY179" s="277">
        <f t="shared" si="195"/>
        <v>0</v>
      </c>
      <c r="AZ179" s="277">
        <v>0</v>
      </c>
      <c r="BA179" s="277">
        <f t="shared" si="185"/>
        <v>0</v>
      </c>
      <c r="BB179" s="277">
        <f t="shared" si="186"/>
        <v>0</v>
      </c>
      <c r="BC179" s="277">
        <f t="shared" si="187"/>
        <v>0</v>
      </c>
      <c r="BD179" s="277">
        <f t="shared" si="188"/>
        <v>0</v>
      </c>
      <c r="BE179" s="277">
        <v>0</v>
      </c>
      <c r="BF179" s="277">
        <f t="shared" si="189"/>
        <v>0</v>
      </c>
      <c r="BG179" s="277">
        <f t="shared" si="190"/>
        <v>0</v>
      </c>
      <c r="BH179" s="277">
        <f t="shared" si="191"/>
        <v>0</v>
      </c>
      <c r="BI179" s="277">
        <f t="shared" si="192"/>
        <v>0</v>
      </c>
      <c r="BJ179" s="277">
        <v>0</v>
      </c>
    </row>
    <row r="180" spans="1:62">
      <c r="A180" s="91" t="s">
        <v>307</v>
      </c>
      <c r="B180" s="83">
        <v>26.57963192643572</v>
      </c>
      <c r="C180" s="83">
        <v>27.448034806680845</v>
      </c>
      <c r="D180" s="83">
        <v>28.613749496903772</v>
      </c>
      <c r="E180" s="83">
        <v>28.106830167885192</v>
      </c>
      <c r="F180" s="83">
        <v>28.905204017830091</v>
      </c>
      <c r="G180" s="83">
        <v>29.2196144988893</v>
      </c>
      <c r="H180" s="83">
        <v>29.380468160006792</v>
      </c>
      <c r="I180" s="83">
        <v>30.398895069739467</v>
      </c>
      <c r="J180" s="83">
        <v>30.770812760677678</v>
      </c>
      <c r="K180" s="83">
        <v>31.924166860561076</v>
      </c>
      <c r="L180" s="83">
        <v>32.107280558036862</v>
      </c>
      <c r="M180" s="83">
        <v>32.393925730266488</v>
      </c>
      <c r="N180" s="83">
        <v>32.626940366633356</v>
      </c>
      <c r="O180" s="83">
        <v>32.157239352915127</v>
      </c>
      <c r="P180" s="83">
        <v>33.381657267340472</v>
      </c>
      <c r="Q180" s="83">
        <v>33.139824055650159</v>
      </c>
      <c r="R180" s="83">
        <v>33.291138765193175</v>
      </c>
      <c r="S180" s="83">
        <v>32.998604172073804</v>
      </c>
      <c r="T180" s="83">
        <v>30.998332753777078</v>
      </c>
      <c r="U180" s="83">
        <v>29.563195024470023</v>
      </c>
      <c r="V180" s="83">
        <v>30.06815342526918</v>
      </c>
      <c r="W180" s="83">
        <v>30.867049563893797</v>
      </c>
      <c r="X180" s="83">
        <v>30.227936997800541</v>
      </c>
      <c r="Y180" s="83">
        <v>30.037770480608849</v>
      </c>
      <c r="Z180" s="83">
        <v>29.903433281810226</v>
      </c>
      <c r="AA180" s="83">
        <v>30.33843685606011</v>
      </c>
      <c r="AB180" s="83">
        <v>30.294597351316479</v>
      </c>
      <c r="AC180" s="83">
        <v>31.07089473631871</v>
      </c>
      <c r="AD180" s="83">
        <v>30.526434576282011</v>
      </c>
      <c r="AE180" s="83">
        <v>30.03122959225588</v>
      </c>
      <c r="AF180" s="83">
        <v>27.761792055337413</v>
      </c>
      <c r="AG180" s="83">
        <v>30.620840299831912</v>
      </c>
      <c r="AH180" s="83">
        <v>30.086323899646331</v>
      </c>
      <c r="AI180" s="284">
        <v>28.348926071057267</v>
      </c>
      <c r="AJ180" s="284">
        <v>27.81986201883004</v>
      </c>
      <c r="AK180" s="284">
        <v>26.674701516228147</v>
      </c>
      <c r="AL180" s="284">
        <v>25.928210911957912</v>
      </c>
      <c r="AM180" s="382">
        <f t="shared" si="177"/>
        <v>24.581112899952636</v>
      </c>
      <c r="AN180" s="284">
        <v>23.23401488794736</v>
      </c>
      <c r="AO180" s="284">
        <v>20.585939254113701</v>
      </c>
      <c r="AP180" s="284">
        <v>19.564610211224611</v>
      </c>
      <c r="AQ180" s="284">
        <v>24.706066191845743</v>
      </c>
      <c r="AR180" s="284">
        <v>23.323185637982277</v>
      </c>
      <c r="AS180" s="284">
        <v>15.613642480908837</v>
      </c>
      <c r="AT180" s="284">
        <v>20.585939254113701</v>
      </c>
      <c r="AU180" s="284">
        <v>12.986315399678897</v>
      </c>
      <c r="AV180" s="284">
        <v>24.706066191845743</v>
      </c>
      <c r="AW180" s="284">
        <v>23.323185637982277</v>
      </c>
      <c r="AX180" s="284">
        <v>9.2818603773586048</v>
      </c>
      <c r="AY180" s="284">
        <v>20.585939254113701</v>
      </c>
      <c r="AZ180" s="284">
        <v>6.8245633092031852</v>
      </c>
      <c r="BA180" s="284">
        <f t="shared" si="185"/>
        <v>5.9260110612035222</v>
      </c>
      <c r="BB180" s="284">
        <f t="shared" si="186"/>
        <v>5.0274588132038591</v>
      </c>
      <c r="BC180" s="284">
        <f t="shared" si="187"/>
        <v>4.1289065652041952</v>
      </c>
      <c r="BD180" s="284">
        <f t="shared" si="188"/>
        <v>3.2303543172045321</v>
      </c>
      <c r="BE180" s="284">
        <v>2.3318020692048691</v>
      </c>
      <c r="BF180" s="284">
        <f t="shared" si="189"/>
        <v>1.8779821116081576</v>
      </c>
      <c r="BG180" s="284">
        <f t="shared" si="190"/>
        <v>1.424162154011446</v>
      </c>
      <c r="BH180" s="284">
        <f t="shared" si="191"/>
        <v>0.97034219641473451</v>
      </c>
      <c r="BI180" s="284">
        <f t="shared" si="192"/>
        <v>0.51652223881802284</v>
      </c>
      <c r="BJ180" s="284">
        <v>6.2702281221311176E-2</v>
      </c>
    </row>
    <row r="181" spans="1:62">
      <c r="A181" s="91" t="s">
        <v>308</v>
      </c>
      <c r="B181" s="83">
        <v>5.3543577038096396E-3</v>
      </c>
      <c r="C181" s="83">
        <v>5.393276592237449E-3</v>
      </c>
      <c r="D181" s="83">
        <v>6.2544651687244327E-3</v>
      </c>
      <c r="E181" s="83">
        <v>6.1071171508089968E-3</v>
      </c>
      <c r="F181" s="83">
        <v>5.9593315882111595E-3</v>
      </c>
      <c r="G181" s="83">
        <v>5.7821808773990142E-3</v>
      </c>
      <c r="H181" s="83">
        <v>5.5692857239799231E-3</v>
      </c>
      <c r="I181" s="83">
        <v>5.5111186893429549E-3</v>
      </c>
      <c r="J181" s="83">
        <v>5.593842171985464E-3</v>
      </c>
      <c r="K181" s="83">
        <v>6.3215292241620754E-3</v>
      </c>
      <c r="L181" s="83">
        <v>6.5497053060660747E-3</v>
      </c>
      <c r="M181" s="83">
        <v>7.8599955483666262E-3</v>
      </c>
      <c r="N181" s="83">
        <v>9.039127254865123E-3</v>
      </c>
      <c r="O181" s="83">
        <v>9.7773379442672864E-3</v>
      </c>
      <c r="P181" s="83">
        <v>8.6771621919971877E-3</v>
      </c>
      <c r="Q181" s="83">
        <v>8.5464519032818157E-3</v>
      </c>
      <c r="R181" s="83">
        <v>9.3671691830859733E-3</v>
      </c>
      <c r="S181" s="83">
        <v>8.4321603420316731E-3</v>
      </c>
      <c r="T181" s="83">
        <v>7.3630009969853326E-3</v>
      </c>
      <c r="U181" s="83">
        <v>5.8471623056816193E-3</v>
      </c>
      <c r="V181" s="83">
        <v>5.4710687490810818E-3</v>
      </c>
      <c r="W181" s="83">
        <v>4.0766308479425065E-3</v>
      </c>
      <c r="X181" s="83">
        <v>3.7427252418874325E-3</v>
      </c>
      <c r="Y181" s="83">
        <v>3.141296078858497E-3</v>
      </c>
      <c r="Z181" s="83">
        <v>2.8561349247261144E-3</v>
      </c>
      <c r="AA181" s="83">
        <v>2.6377322167748557E-3</v>
      </c>
      <c r="AB181" s="83">
        <v>2.5155966790794521E-3</v>
      </c>
      <c r="AC181" s="83">
        <v>2.4482921796758618E-3</v>
      </c>
      <c r="AD181" s="83">
        <v>2.5391433125976728E-3</v>
      </c>
      <c r="AE181" s="83">
        <v>2.855715352032866E-3</v>
      </c>
      <c r="AF181" s="83">
        <v>2.2541603675954309E-3</v>
      </c>
      <c r="AG181" s="83">
        <v>1.5545603417080084E-3</v>
      </c>
      <c r="AH181" s="83">
        <v>1.7463295550807559E-3</v>
      </c>
      <c r="AI181" s="277">
        <v>2.6817288847230322E-3</v>
      </c>
      <c r="AJ181" s="277">
        <v>2.773907926238875E-3</v>
      </c>
      <c r="AK181" s="277">
        <v>4.9529744486356926E-3</v>
      </c>
      <c r="AL181" s="277">
        <v>4.1363631127835391E-3</v>
      </c>
      <c r="AM181" s="382">
        <f t="shared" si="177"/>
        <v>2.0681815563917696E-3</v>
      </c>
      <c r="AN181" s="277">
        <v>0</v>
      </c>
      <c r="AO181" s="277">
        <f t="shared" si="193"/>
        <v>0</v>
      </c>
      <c r="AP181" s="277">
        <v>0</v>
      </c>
      <c r="AQ181" s="277">
        <f>AP181+(AS181-AP181)/3</f>
        <v>0</v>
      </c>
      <c r="AR181" s="277">
        <f>AP181+(AS181-AP181)*2/3</f>
        <v>0</v>
      </c>
      <c r="AS181" s="277">
        <v>0</v>
      </c>
      <c r="AT181" s="277">
        <f t="shared" si="194"/>
        <v>0</v>
      </c>
      <c r="AU181" s="277">
        <v>0</v>
      </c>
      <c r="AV181" s="277">
        <f>AU181+(AX181-AU181)/3</f>
        <v>0</v>
      </c>
      <c r="AW181" s="277">
        <f>AU181+(AX181-AU181)*2/3</f>
        <v>0</v>
      </c>
      <c r="AX181" s="277">
        <v>0</v>
      </c>
      <c r="AY181" s="277">
        <f t="shared" si="195"/>
        <v>0</v>
      </c>
      <c r="AZ181" s="277">
        <v>0</v>
      </c>
      <c r="BA181" s="277">
        <f t="shared" si="185"/>
        <v>0</v>
      </c>
      <c r="BB181" s="277">
        <f t="shared" si="186"/>
        <v>0</v>
      </c>
      <c r="BC181" s="277">
        <f t="shared" si="187"/>
        <v>0</v>
      </c>
      <c r="BD181" s="277">
        <f t="shared" si="188"/>
        <v>0</v>
      </c>
      <c r="BE181" s="277">
        <v>0</v>
      </c>
      <c r="BF181" s="277">
        <f t="shared" si="189"/>
        <v>0</v>
      </c>
      <c r="BG181" s="277">
        <f t="shared" si="190"/>
        <v>0</v>
      </c>
      <c r="BH181" s="277">
        <f t="shared" si="191"/>
        <v>0</v>
      </c>
      <c r="BI181" s="277">
        <f t="shared" si="192"/>
        <v>0</v>
      </c>
      <c r="BJ181" s="277">
        <v>0</v>
      </c>
    </row>
    <row r="182" spans="1:62">
      <c r="A182" s="91" t="s">
        <v>309</v>
      </c>
      <c r="B182" s="83">
        <v>0</v>
      </c>
      <c r="C182" s="83">
        <v>0</v>
      </c>
      <c r="D182" s="83">
        <v>0</v>
      </c>
      <c r="E182" s="83">
        <v>0</v>
      </c>
      <c r="F182" s="83">
        <v>0</v>
      </c>
      <c r="G182" s="83">
        <v>0</v>
      </c>
      <c r="H182" s="83">
        <v>0</v>
      </c>
      <c r="I182" s="83">
        <v>0</v>
      </c>
      <c r="J182" s="83">
        <v>0</v>
      </c>
      <c r="K182" s="83">
        <v>0</v>
      </c>
      <c r="L182" s="83">
        <v>0</v>
      </c>
      <c r="M182" s="83">
        <v>0</v>
      </c>
      <c r="N182" s="83">
        <v>0</v>
      </c>
      <c r="O182" s="83">
        <v>0</v>
      </c>
      <c r="P182" s="83">
        <v>0</v>
      </c>
      <c r="Q182" s="83">
        <v>0</v>
      </c>
      <c r="R182" s="83">
        <v>0</v>
      </c>
      <c r="S182" s="83">
        <v>0</v>
      </c>
      <c r="T182" s="83">
        <v>0</v>
      </c>
      <c r="U182" s="83">
        <v>0</v>
      </c>
      <c r="V182" s="83">
        <v>0</v>
      </c>
      <c r="W182" s="83">
        <v>0</v>
      </c>
      <c r="X182" s="83">
        <v>0</v>
      </c>
      <c r="Y182" s="83">
        <v>0</v>
      </c>
      <c r="Z182" s="83">
        <v>0</v>
      </c>
      <c r="AA182" s="83">
        <v>0</v>
      </c>
      <c r="AB182" s="83">
        <v>0</v>
      </c>
      <c r="AC182" s="83">
        <v>0</v>
      </c>
      <c r="AD182" s="83">
        <v>0</v>
      </c>
      <c r="AE182" s="83">
        <v>0</v>
      </c>
      <c r="AF182" s="83">
        <v>0</v>
      </c>
      <c r="AG182" s="83">
        <v>0</v>
      </c>
      <c r="AH182" s="83">
        <v>0</v>
      </c>
      <c r="AI182" s="179">
        <v>0</v>
      </c>
      <c r="AJ182" s="179">
        <v>0</v>
      </c>
      <c r="AK182" s="179">
        <v>0</v>
      </c>
      <c r="AL182" s="179">
        <v>0</v>
      </c>
      <c r="AM182" s="382">
        <f t="shared" si="177"/>
        <v>0</v>
      </c>
      <c r="AN182" s="179">
        <v>0</v>
      </c>
      <c r="AO182" s="179">
        <v>0.83941556331752365</v>
      </c>
      <c r="AP182" s="179">
        <v>0</v>
      </c>
      <c r="AQ182" s="179">
        <v>0.62644141796070496</v>
      </c>
      <c r="AR182" s="179">
        <v>0.69743279974631123</v>
      </c>
      <c r="AS182" s="179">
        <v>0</v>
      </c>
      <c r="AT182" s="179">
        <v>0.83941556331752365</v>
      </c>
      <c r="AU182" s="179">
        <v>0</v>
      </c>
      <c r="AV182" s="179">
        <v>0.62644141796070496</v>
      </c>
      <c r="AW182" s="179">
        <v>0.69743279974631123</v>
      </c>
      <c r="AX182" s="179">
        <v>0</v>
      </c>
      <c r="AY182" s="179">
        <v>0.83941556331752365</v>
      </c>
      <c r="AZ182" s="179">
        <v>0</v>
      </c>
      <c r="BA182" s="179">
        <f t="shared" si="185"/>
        <v>0</v>
      </c>
      <c r="BB182" s="179">
        <f t="shared" si="186"/>
        <v>0</v>
      </c>
      <c r="BC182" s="179">
        <f t="shared" si="187"/>
        <v>0</v>
      </c>
      <c r="BD182" s="179">
        <f t="shared" si="188"/>
        <v>0</v>
      </c>
      <c r="BE182" s="179">
        <v>0</v>
      </c>
      <c r="BF182" s="179">
        <f t="shared" si="189"/>
        <v>0</v>
      </c>
      <c r="BG182" s="179">
        <f t="shared" si="190"/>
        <v>0</v>
      </c>
      <c r="BH182" s="179">
        <f t="shared" si="191"/>
        <v>0</v>
      </c>
      <c r="BI182" s="179">
        <f t="shared" si="192"/>
        <v>0</v>
      </c>
      <c r="BJ182" s="179">
        <v>0</v>
      </c>
    </row>
    <row r="183" spans="1:62">
      <c r="A183" s="91" t="s">
        <v>310</v>
      </c>
      <c r="B183" s="83">
        <v>0</v>
      </c>
      <c r="C183" s="83">
        <v>0</v>
      </c>
      <c r="D183" s="83">
        <v>0</v>
      </c>
      <c r="E183" s="83">
        <v>0</v>
      </c>
      <c r="F183" s="83">
        <v>0</v>
      </c>
      <c r="G183" s="83">
        <v>0</v>
      </c>
      <c r="H183" s="83">
        <v>0</v>
      </c>
      <c r="I183" s="83">
        <v>0</v>
      </c>
      <c r="J183" s="83">
        <v>0</v>
      </c>
      <c r="K183" s="83">
        <v>0</v>
      </c>
      <c r="L183" s="83">
        <v>0</v>
      </c>
      <c r="M183" s="83">
        <v>0</v>
      </c>
      <c r="N183" s="83">
        <v>0</v>
      </c>
      <c r="O183" s="83">
        <v>0</v>
      </c>
      <c r="P183" s="83">
        <v>0</v>
      </c>
      <c r="Q183" s="83">
        <v>0</v>
      </c>
      <c r="R183" s="83">
        <v>0</v>
      </c>
      <c r="S183" s="83">
        <v>0</v>
      </c>
      <c r="T183" s="83">
        <v>0</v>
      </c>
      <c r="U183" s="83">
        <v>0</v>
      </c>
      <c r="V183" s="83">
        <v>0</v>
      </c>
      <c r="W183" s="83">
        <v>0</v>
      </c>
      <c r="X183" s="83">
        <v>0</v>
      </c>
      <c r="Y183" s="83">
        <v>0</v>
      </c>
      <c r="Z183" s="83">
        <v>0</v>
      </c>
      <c r="AA183" s="83">
        <v>0</v>
      </c>
      <c r="AB183" s="83">
        <v>0</v>
      </c>
      <c r="AC183" s="83">
        <v>0</v>
      </c>
      <c r="AD183" s="83">
        <v>0</v>
      </c>
      <c r="AE183" s="83">
        <v>0</v>
      </c>
      <c r="AF183" s="83">
        <v>0</v>
      </c>
      <c r="AG183" s="83">
        <v>0</v>
      </c>
      <c r="AH183" s="83">
        <v>0</v>
      </c>
      <c r="AI183" s="83">
        <v>0</v>
      </c>
      <c r="AJ183" s="83">
        <v>0</v>
      </c>
      <c r="AK183" s="83">
        <v>0</v>
      </c>
      <c r="AL183" s="83">
        <v>0</v>
      </c>
      <c r="AM183" s="382">
        <f t="shared" si="177"/>
        <v>0</v>
      </c>
      <c r="AN183" s="83">
        <v>0</v>
      </c>
      <c r="AO183" s="83">
        <v>0</v>
      </c>
      <c r="AP183" s="83">
        <v>0</v>
      </c>
      <c r="AQ183" s="83">
        <v>0</v>
      </c>
      <c r="AR183" s="83">
        <v>0</v>
      </c>
      <c r="AS183" s="83">
        <v>0</v>
      </c>
      <c r="AT183" s="83">
        <v>0</v>
      </c>
      <c r="AU183" s="83">
        <v>0</v>
      </c>
      <c r="AV183" s="83">
        <v>0</v>
      </c>
      <c r="AW183" s="83">
        <v>0</v>
      </c>
      <c r="AX183" s="83">
        <v>0</v>
      </c>
      <c r="AY183" s="83">
        <v>0</v>
      </c>
      <c r="AZ183" s="83">
        <v>0</v>
      </c>
      <c r="BA183" s="83">
        <f t="shared" si="185"/>
        <v>0</v>
      </c>
      <c r="BB183" s="83">
        <f t="shared" si="186"/>
        <v>0</v>
      </c>
      <c r="BC183" s="83">
        <f t="shared" si="187"/>
        <v>0</v>
      </c>
      <c r="BD183" s="83">
        <f t="shared" si="188"/>
        <v>0</v>
      </c>
      <c r="BE183" s="83">
        <v>0</v>
      </c>
      <c r="BF183" s="83">
        <f t="shared" si="189"/>
        <v>0</v>
      </c>
      <c r="BG183" s="83">
        <f t="shared" si="190"/>
        <v>0</v>
      </c>
      <c r="BH183" s="83">
        <f t="shared" si="191"/>
        <v>0</v>
      </c>
      <c r="BI183" s="83">
        <f t="shared" si="192"/>
        <v>0</v>
      </c>
      <c r="BJ183" s="83">
        <v>0</v>
      </c>
    </row>
    <row r="184" spans="1:62">
      <c r="A184" s="91" t="s">
        <v>311</v>
      </c>
      <c r="B184" s="83">
        <v>2.0412783237173282</v>
      </c>
      <c r="C184" s="83">
        <v>2.1810523390984069</v>
      </c>
      <c r="D184" s="83">
        <v>2.2330773650904185</v>
      </c>
      <c r="E184" s="83">
        <v>2.3161576199928686</v>
      </c>
      <c r="F184" s="83">
        <v>2.2979256224020883</v>
      </c>
      <c r="G184" s="83">
        <v>2.2562568566572407</v>
      </c>
      <c r="H184" s="83">
        <v>2.2961714282400734</v>
      </c>
      <c r="I184" s="83">
        <v>2.3394781768334338</v>
      </c>
      <c r="J184" s="83">
        <v>2.3252930278889892</v>
      </c>
      <c r="K184" s="83">
        <v>2.2375192796684997</v>
      </c>
      <c r="L184" s="83">
        <v>2.2771207776865938</v>
      </c>
      <c r="M184" s="83">
        <v>2.2278125249897989</v>
      </c>
      <c r="N184" s="83">
        <v>2.2030023018651805</v>
      </c>
      <c r="O184" s="83">
        <v>2.2417489721811594</v>
      </c>
      <c r="P184" s="83">
        <v>2.2719147012689267</v>
      </c>
      <c r="Q184" s="83">
        <v>2.3246034377810676</v>
      </c>
      <c r="R184" s="83">
        <v>2.3562312076643273</v>
      </c>
      <c r="S184" s="83">
        <v>2.3948773642070091</v>
      </c>
      <c r="T184" s="83">
        <v>2.429187530233901</v>
      </c>
      <c r="U184" s="83">
        <v>2.4246765252977887</v>
      </c>
      <c r="V184" s="83">
        <v>2.4649485299404503</v>
      </c>
      <c r="W184" s="83">
        <v>2.4873563245255026</v>
      </c>
      <c r="X184" s="83">
        <v>2.425249755613796</v>
      </c>
      <c r="Y184" s="83">
        <v>2.482044693631094</v>
      </c>
      <c r="Z184" s="83">
        <v>2.4633000208413773</v>
      </c>
      <c r="AA184" s="83">
        <v>2.4967761802848063</v>
      </c>
      <c r="AB184" s="83">
        <v>2.4947099187295283</v>
      </c>
      <c r="AC184" s="83">
        <v>2.4358661783478368</v>
      </c>
      <c r="AD184" s="83">
        <v>2.4028463845530514</v>
      </c>
      <c r="AE184" s="181">
        <v>2.3599977315268066</v>
      </c>
      <c r="AF184" s="83">
        <v>1.6559257074132929</v>
      </c>
      <c r="AG184" s="83">
        <v>1.9670869063160143</v>
      </c>
      <c r="AH184" s="83">
        <v>2.0686402435406599</v>
      </c>
      <c r="AI184" s="179">
        <v>2.0734669200936371</v>
      </c>
      <c r="AJ184" s="179">
        <v>2.0173599707225498</v>
      </c>
      <c r="AK184" s="179">
        <v>1.9338947328230642</v>
      </c>
      <c r="AL184" s="179">
        <v>1.5540887723969965</v>
      </c>
      <c r="AM184" s="382">
        <f t="shared" si="177"/>
        <v>1.5852286655436516</v>
      </c>
      <c r="AN184" s="179">
        <v>1.6163685586903065</v>
      </c>
      <c r="AO184" s="179">
        <f>AK184+(AP184-AK184)*4/5</f>
        <v>1.5696201945513368</v>
      </c>
      <c r="AP184" s="179">
        <v>1.4785515599834049</v>
      </c>
      <c r="AQ184" s="179">
        <f>AP184+(AU184-AP184)*1/5</f>
        <v>1.3930607221738724</v>
      </c>
      <c r="AR184" s="179">
        <f>AP184+(AU184-AP184)*2/5</f>
        <v>1.3075698843643402</v>
      </c>
      <c r="AS184" s="179">
        <v>1.2225765294816975</v>
      </c>
      <c r="AT184" s="179">
        <f>AP184+(AU184-AP184)*4/5</f>
        <v>1.1365882087452754</v>
      </c>
      <c r="AU184" s="179">
        <v>1.051097370935743</v>
      </c>
      <c r="AV184" s="179">
        <f>AU184+(AZ184-AU184)*1/5</f>
        <v>0.97321301073045219</v>
      </c>
      <c r="AW184" s="179">
        <f>AU184+(AZ184-AU184)*2/5</f>
        <v>0.89532865052516131</v>
      </c>
      <c r="AX184" s="179">
        <v>0.8212925309111323</v>
      </c>
      <c r="AY184" s="179">
        <f>AU184+(AZ184-AU184)*4/5</f>
        <v>0.73955993011457966</v>
      </c>
      <c r="AZ184" s="179">
        <v>0.66167556990928889</v>
      </c>
      <c r="BA184" s="179">
        <f t="shared" si="185"/>
        <v>0.57156775742215005</v>
      </c>
      <c r="BB184" s="179">
        <f t="shared" si="186"/>
        <v>0.48145994493501115</v>
      </c>
      <c r="BC184" s="179">
        <f t="shared" si="187"/>
        <v>0.39135213244787226</v>
      </c>
      <c r="BD184" s="179">
        <f t="shared" si="188"/>
        <v>0.30124431996073342</v>
      </c>
      <c r="BE184" s="179">
        <v>0.21113650747359453</v>
      </c>
      <c r="BF184" s="179">
        <f t="shared" si="189"/>
        <v>0.16981403360478242</v>
      </c>
      <c r="BG184" s="179">
        <f t="shared" si="190"/>
        <v>0.12849155973597029</v>
      </c>
      <c r="BH184" s="179">
        <f t="shared" si="191"/>
        <v>8.7169085867158158E-2</v>
      </c>
      <c r="BI184" s="179">
        <f t="shared" si="192"/>
        <v>4.5846611998346054E-2</v>
      </c>
      <c r="BJ184" s="179">
        <v>4.524138129533924E-3</v>
      </c>
    </row>
    <row r="185" spans="1:62">
      <c r="A185" s="91" t="s">
        <v>312</v>
      </c>
      <c r="B185" s="83">
        <v>0</v>
      </c>
      <c r="C185" s="83">
        <v>0</v>
      </c>
      <c r="D185" s="83">
        <v>0</v>
      </c>
      <c r="E185" s="83">
        <v>0</v>
      </c>
      <c r="F185" s="83">
        <v>0</v>
      </c>
      <c r="G185" s="83">
        <v>0</v>
      </c>
      <c r="H185" s="83">
        <v>0</v>
      </c>
      <c r="I185" s="83">
        <v>0</v>
      </c>
      <c r="J185" s="83">
        <v>4.6160732110324474E-6</v>
      </c>
      <c r="K185" s="83">
        <v>2.2558940026136419E-5</v>
      </c>
      <c r="L185" s="83">
        <v>6.254038238418239E-5</v>
      </c>
      <c r="M185" s="83">
        <v>9.050988725202849E-5</v>
      </c>
      <c r="N185" s="83">
        <v>9.3601667427306375E-5</v>
      </c>
      <c r="O185" s="83">
        <v>1.0787570543268359E-4</v>
      </c>
      <c r="P185" s="83">
        <v>1.1768981246968574E-4</v>
      </c>
      <c r="Q185" s="83">
        <v>1.190656569253825E-4</v>
      </c>
      <c r="R185" s="83">
        <v>1.1405335722520581E-4</v>
      </c>
      <c r="S185" s="83">
        <v>1.037809342649278E-4</v>
      </c>
      <c r="T185" s="83">
        <v>8.7350013141026281E-5</v>
      </c>
      <c r="U185" s="83">
        <v>6.6697838620850391E-5</v>
      </c>
      <c r="V185" s="83">
        <v>4.9293358826229476E-5</v>
      </c>
      <c r="W185" s="83">
        <v>3.3359629488675145E-5</v>
      </c>
      <c r="X185" s="83">
        <v>3.6817698780828973E-5</v>
      </c>
      <c r="Y185" s="83">
        <v>3.8705234292318974E-5</v>
      </c>
      <c r="Z185" s="83">
        <v>3.844867434653681E-5</v>
      </c>
      <c r="AA185" s="83">
        <v>4.4338055656248227E-5</v>
      </c>
      <c r="AB185" s="83">
        <v>4.6066780777335583E-5</v>
      </c>
      <c r="AC185" s="83">
        <v>4.9483009377741246E-5</v>
      </c>
      <c r="AD185" s="83">
        <v>6.6171999474337766E-5</v>
      </c>
      <c r="AE185" s="83">
        <v>7.6896076365336096E-5</v>
      </c>
      <c r="AF185" s="83">
        <v>5.6347978298706402E-5</v>
      </c>
      <c r="AG185" s="83">
        <v>3.728110007755346E-5</v>
      </c>
      <c r="AH185" s="83">
        <v>4.4879740397535499E-5</v>
      </c>
      <c r="AI185" s="179">
        <v>7.4114729782249377E-5</v>
      </c>
      <c r="AJ185" s="179">
        <v>6.9645840961988226E-5</v>
      </c>
      <c r="AK185" s="179">
        <v>0</v>
      </c>
      <c r="AL185" s="179">
        <v>0</v>
      </c>
      <c r="AM185" s="382">
        <f t="shared" si="177"/>
        <v>0</v>
      </c>
      <c r="AN185" s="179">
        <v>0</v>
      </c>
      <c r="AO185" s="179">
        <v>1.31082570125279E-3</v>
      </c>
      <c r="AP185" s="179">
        <v>0</v>
      </c>
      <c r="AQ185" s="179">
        <v>1.3108257012527905E-3</v>
      </c>
      <c r="AR185" s="179">
        <v>1.3108257012527905E-3</v>
      </c>
      <c r="AS185" s="179">
        <v>0</v>
      </c>
      <c r="AT185" s="179">
        <v>1.31082570125279E-3</v>
      </c>
      <c r="AU185" s="179">
        <v>0</v>
      </c>
      <c r="AV185" s="179">
        <v>1.3108257012527905E-3</v>
      </c>
      <c r="AW185" s="179">
        <v>1.3108257012527905E-3</v>
      </c>
      <c r="AX185" s="179">
        <v>0</v>
      </c>
      <c r="AY185" s="179">
        <v>1.31082570125279E-3</v>
      </c>
      <c r="AZ185" s="179">
        <v>0</v>
      </c>
      <c r="BA185" s="179">
        <f t="shared" si="185"/>
        <v>0</v>
      </c>
      <c r="BB185" s="179">
        <f t="shared" si="186"/>
        <v>0</v>
      </c>
      <c r="BC185" s="179">
        <f t="shared" si="187"/>
        <v>0</v>
      </c>
      <c r="BD185" s="179">
        <f t="shared" si="188"/>
        <v>0</v>
      </c>
      <c r="BE185" s="179">
        <v>0</v>
      </c>
      <c r="BF185" s="179">
        <f t="shared" si="189"/>
        <v>0</v>
      </c>
      <c r="BG185" s="179">
        <f t="shared" si="190"/>
        <v>0</v>
      </c>
      <c r="BH185" s="179">
        <f t="shared" si="191"/>
        <v>0</v>
      </c>
      <c r="BI185" s="179">
        <f t="shared" si="192"/>
        <v>0</v>
      </c>
      <c r="BJ185" s="179">
        <v>0</v>
      </c>
    </row>
    <row r="186" spans="1:62">
      <c r="A186" s="91" t="s">
        <v>313</v>
      </c>
      <c r="B186" s="83">
        <v>3.8212773752478333E-4</v>
      </c>
      <c r="C186" s="83">
        <v>3.8326778036037014E-4</v>
      </c>
      <c r="D186" s="83">
        <v>3.8164428193461969E-4</v>
      </c>
      <c r="E186" s="83">
        <v>2.7202909515064207E-3</v>
      </c>
      <c r="F186" s="83">
        <v>1.5802957125363882E-3</v>
      </c>
      <c r="G186" s="83">
        <v>9.759142858684418E-4</v>
      </c>
      <c r="H186" s="83">
        <v>9.7354190356785841E-4</v>
      </c>
      <c r="I186" s="83">
        <v>7.5642337899841836E-4</v>
      </c>
      <c r="J186" s="83">
        <v>7.5389808549549092E-4</v>
      </c>
      <c r="K186" s="83">
        <v>1.4840092246817839E-3</v>
      </c>
      <c r="L186" s="83">
        <v>1.6500997395154562E-3</v>
      </c>
      <c r="M186" s="83">
        <v>2.0183055215531244E-2</v>
      </c>
      <c r="N186" s="83">
        <v>2.3468238365005056E-2</v>
      </c>
      <c r="O186" s="83">
        <v>3.2797850304223816E-2</v>
      </c>
      <c r="P186" s="83">
        <v>5.6690144757961886E-2</v>
      </c>
      <c r="Q186" s="83">
        <v>4.0081964346864833E-2</v>
      </c>
      <c r="R186" s="83">
        <v>5.408717051946995E-2</v>
      </c>
      <c r="S186" s="83">
        <v>6.1998025364696903E-2</v>
      </c>
      <c r="T186" s="83">
        <v>7.5849775901862079E-2</v>
      </c>
      <c r="U186" s="83">
        <v>7.5284880851384448E-2</v>
      </c>
      <c r="V186" s="83">
        <v>7.9546704086358444E-2</v>
      </c>
      <c r="W186" s="83">
        <v>0.18162414186813575</v>
      </c>
      <c r="X186" s="83">
        <v>0.20297175085895969</v>
      </c>
      <c r="Y186" s="83">
        <v>0.22955935313777612</v>
      </c>
      <c r="Z186" s="83">
        <v>0.24921360157149089</v>
      </c>
      <c r="AA186" s="83">
        <v>0.26221013480695715</v>
      </c>
      <c r="AB186" s="83">
        <v>0.27708650365333654</v>
      </c>
      <c r="AC186" s="83">
        <v>0.30251526039309334</v>
      </c>
      <c r="AD186" s="83">
        <v>0.34840538417225964</v>
      </c>
      <c r="AE186" s="83">
        <v>0.42573872185347073</v>
      </c>
      <c r="AF186" s="83">
        <v>0.51559805802043335</v>
      </c>
      <c r="AG186" s="83">
        <v>0.70183744515031032</v>
      </c>
      <c r="AH186" s="83">
        <v>0.8089896302019739</v>
      </c>
      <c r="AI186" s="179">
        <v>0.90338434084516306</v>
      </c>
      <c r="AJ186" s="179">
        <v>0.97719936316261269</v>
      </c>
      <c r="AK186" s="179">
        <v>0.98147416139032806</v>
      </c>
      <c r="AL186" s="179">
        <v>0.80297274425714871</v>
      </c>
      <c r="AM186" s="382">
        <f t="shared" si="177"/>
        <v>0.8421739399366589</v>
      </c>
      <c r="AN186" s="179">
        <v>0.88137513561616909</v>
      </c>
      <c r="AO186" s="179">
        <v>0.30723814384274684</v>
      </c>
      <c r="AP186" s="179">
        <v>0.90109107968244018</v>
      </c>
      <c r="AQ186" s="179">
        <v>0.30306142267305713</v>
      </c>
      <c r="AR186" s="179">
        <v>0.30703436432875364</v>
      </c>
      <c r="AS186" s="179">
        <v>0.69746782394546436</v>
      </c>
      <c r="AT186" s="179">
        <v>0.30723814384274684</v>
      </c>
      <c r="AU186" s="179">
        <v>0.56084747839675975</v>
      </c>
      <c r="AV186" s="179">
        <v>0.30306142267305713</v>
      </c>
      <c r="AW186" s="179">
        <v>0.30703436432875364</v>
      </c>
      <c r="AX186" s="179">
        <v>0.30251554399457109</v>
      </c>
      <c r="AY186" s="179">
        <v>0.30723814384274684</v>
      </c>
      <c r="AZ186" s="179">
        <v>0.13421182160218656</v>
      </c>
      <c r="BA186" s="179">
        <f t="shared" si="185"/>
        <v>0.11052660795329061</v>
      </c>
      <c r="BB186" s="179">
        <f t="shared" si="186"/>
        <v>8.6841394304394651E-2</v>
      </c>
      <c r="BC186" s="179">
        <f t="shared" si="187"/>
        <v>6.3156180655498689E-2</v>
      </c>
      <c r="BD186" s="179">
        <f t="shared" si="188"/>
        <v>3.9470967006602742E-2</v>
      </c>
      <c r="BE186" s="179">
        <v>1.578575335770678E-2</v>
      </c>
      <c r="BF186" s="179">
        <f t="shared" si="189"/>
        <v>1.267483605661459E-2</v>
      </c>
      <c r="BG186" s="179">
        <f t="shared" si="190"/>
        <v>9.563918755522401E-3</v>
      </c>
      <c r="BH186" s="179">
        <f t="shared" si="191"/>
        <v>6.4530014544302104E-3</v>
      </c>
      <c r="BI186" s="179">
        <f t="shared" si="192"/>
        <v>3.3420841533380215E-3</v>
      </c>
      <c r="BJ186" s="179">
        <v>2.3116685224583062E-4</v>
      </c>
    </row>
    <row r="187" spans="1:62">
      <c r="A187" s="91" t="s">
        <v>314</v>
      </c>
      <c r="B187" s="83">
        <v>0</v>
      </c>
      <c r="C187" s="83">
        <v>0</v>
      </c>
      <c r="D187" s="83">
        <v>0</v>
      </c>
      <c r="E187" s="83">
        <v>0</v>
      </c>
      <c r="F187" s="83">
        <v>0</v>
      </c>
      <c r="G187" s="83">
        <v>0</v>
      </c>
      <c r="H187" s="83">
        <v>0</v>
      </c>
      <c r="I187" s="83">
        <v>0</v>
      </c>
      <c r="J187" s="83">
        <v>0</v>
      </c>
      <c r="K187" s="83">
        <v>0</v>
      </c>
      <c r="L187" s="83">
        <v>0</v>
      </c>
      <c r="M187" s="83">
        <v>0</v>
      </c>
      <c r="N187" s="83">
        <v>0</v>
      </c>
      <c r="O187" s="83">
        <v>0</v>
      </c>
      <c r="P187" s="83">
        <v>0</v>
      </c>
      <c r="Q187" s="83">
        <v>0</v>
      </c>
      <c r="R187" s="83">
        <v>0</v>
      </c>
      <c r="S187" s="83">
        <v>0</v>
      </c>
      <c r="T187" s="83">
        <v>0</v>
      </c>
      <c r="U187" s="83">
        <v>0</v>
      </c>
      <c r="V187" s="83">
        <v>0</v>
      </c>
      <c r="W187" s="83">
        <v>0</v>
      </c>
      <c r="X187" s="83">
        <v>0</v>
      </c>
      <c r="Y187" s="83">
        <v>0</v>
      </c>
      <c r="Z187" s="83">
        <v>0</v>
      </c>
      <c r="AA187" s="83">
        <v>0</v>
      </c>
      <c r="AB187" s="83">
        <v>0</v>
      </c>
      <c r="AC187" s="83">
        <v>0</v>
      </c>
      <c r="AD187" s="83">
        <v>0</v>
      </c>
      <c r="AE187" s="83">
        <v>0</v>
      </c>
      <c r="AF187" s="83">
        <v>0</v>
      </c>
      <c r="AG187" s="83">
        <v>0</v>
      </c>
      <c r="AH187" s="83">
        <v>0</v>
      </c>
      <c r="AI187" s="179">
        <v>0</v>
      </c>
      <c r="AJ187" s="179">
        <v>0</v>
      </c>
      <c r="AK187" s="179">
        <v>0</v>
      </c>
      <c r="AL187" s="179">
        <v>0</v>
      </c>
      <c r="AM187" s="382">
        <f t="shared" si="177"/>
        <v>0</v>
      </c>
      <c r="AN187" s="179">
        <v>0</v>
      </c>
      <c r="AO187" s="179">
        <v>0</v>
      </c>
      <c r="AP187" s="179">
        <v>0</v>
      </c>
      <c r="AQ187" s="179">
        <v>0</v>
      </c>
      <c r="AR187" s="179">
        <v>0</v>
      </c>
      <c r="AS187" s="179">
        <v>0</v>
      </c>
      <c r="AT187" s="179">
        <v>0</v>
      </c>
      <c r="AU187" s="179">
        <v>0</v>
      </c>
      <c r="AV187" s="179">
        <v>0</v>
      </c>
      <c r="AW187" s="179">
        <v>0</v>
      </c>
      <c r="AX187" s="179">
        <v>0</v>
      </c>
      <c r="AY187" s="179">
        <v>0</v>
      </c>
      <c r="AZ187" s="179">
        <v>0</v>
      </c>
      <c r="BA187" s="179">
        <f t="shared" si="185"/>
        <v>0</v>
      </c>
      <c r="BB187" s="179">
        <f t="shared" si="186"/>
        <v>0</v>
      </c>
      <c r="BC187" s="179">
        <f t="shared" si="187"/>
        <v>0</v>
      </c>
      <c r="BD187" s="179">
        <f t="shared" si="188"/>
        <v>0</v>
      </c>
      <c r="BE187" s="179">
        <v>0</v>
      </c>
      <c r="BF187" s="179">
        <f t="shared" si="189"/>
        <v>0</v>
      </c>
      <c r="BG187" s="179">
        <f t="shared" si="190"/>
        <v>0</v>
      </c>
      <c r="BH187" s="179">
        <f t="shared" si="191"/>
        <v>0</v>
      </c>
      <c r="BI187" s="179">
        <f t="shared" si="192"/>
        <v>0</v>
      </c>
      <c r="BJ187" s="179">
        <v>0</v>
      </c>
    </row>
    <row r="188" spans="1:62">
      <c r="A188" s="91" t="s">
        <v>315</v>
      </c>
      <c r="B188" s="83">
        <v>0.74370705836049977</v>
      </c>
      <c r="C188" s="83">
        <v>0.75569571904116306</v>
      </c>
      <c r="D188" s="83">
        <v>0.77244877453902505</v>
      </c>
      <c r="E188" s="83">
        <v>0.96934893774313458</v>
      </c>
      <c r="F188" s="83">
        <v>0.84564055571755037</v>
      </c>
      <c r="G188" s="83">
        <v>0.73783828975167898</v>
      </c>
      <c r="H188" s="83">
        <v>0.73203380710429178</v>
      </c>
      <c r="I188" s="83">
        <v>0.8715410078668393</v>
      </c>
      <c r="J188" s="83">
        <v>1.0483390633128333</v>
      </c>
      <c r="K188" s="83">
        <v>1.0688243663141102</v>
      </c>
      <c r="L188" s="83">
        <v>1.1476550711458162</v>
      </c>
      <c r="M188" s="83">
        <v>1.2251895551027627</v>
      </c>
      <c r="N188" s="83">
        <v>1.3110716894733174</v>
      </c>
      <c r="O188" s="83">
        <v>1.2760865625891753</v>
      </c>
      <c r="P188" s="83">
        <v>1.322215755504567</v>
      </c>
      <c r="Q188" s="83">
        <v>1.3159772991322358</v>
      </c>
      <c r="R188" s="83">
        <v>1.2829240288595485</v>
      </c>
      <c r="S188" s="83">
        <v>1.2840938264527451</v>
      </c>
      <c r="T188" s="83">
        <v>1.3020965720237789</v>
      </c>
      <c r="U188" s="83">
        <v>1.3576906242164068</v>
      </c>
      <c r="V188" s="83">
        <v>1.3367281665967874</v>
      </c>
      <c r="W188" s="83">
        <v>1.3538052094371162</v>
      </c>
      <c r="X188" s="83">
        <v>1.3439132577598152</v>
      </c>
      <c r="Y188" s="83">
        <v>1.3474758317862867</v>
      </c>
      <c r="Z188" s="83">
        <v>1.3552965341309975</v>
      </c>
      <c r="AA188" s="83">
        <v>1.3718880967115086</v>
      </c>
      <c r="AB188" s="83">
        <v>1.3822934158915723</v>
      </c>
      <c r="AC188" s="83">
        <v>1.3734295100280844</v>
      </c>
      <c r="AD188" s="83">
        <v>1.3733266781155904</v>
      </c>
      <c r="AE188" s="83">
        <v>1.3736289664789754</v>
      </c>
      <c r="AF188" s="83">
        <v>1.1720703510900818</v>
      </c>
      <c r="AG188" s="83">
        <v>1.2104782709129642</v>
      </c>
      <c r="AH188" s="83">
        <v>1.3615039376882141</v>
      </c>
      <c r="AI188" s="277">
        <v>1.3282530723725741</v>
      </c>
      <c r="AJ188" s="277">
        <v>1.4592642988421707</v>
      </c>
      <c r="AK188" s="277">
        <v>1.5127604033864286</v>
      </c>
      <c r="AL188" s="277">
        <v>1.4356698946492576</v>
      </c>
      <c r="AM188" s="382">
        <f t="shared" si="177"/>
        <v>1.2276573903314032</v>
      </c>
      <c r="AN188" s="277">
        <v>1.0196448860135487</v>
      </c>
      <c r="AO188" s="277">
        <f>AN188+(AP188-AN188)/2</f>
        <v>0.94929281828189405</v>
      </c>
      <c r="AP188" s="277">
        <v>0.87894075055023924</v>
      </c>
      <c r="AQ188" s="277">
        <f>AP188+(AS188-AP188)/3</f>
        <v>0.80970561989597833</v>
      </c>
      <c r="AR188" s="277">
        <f>AP188+(AS188-AP188)*2/3</f>
        <v>0.74047048924171732</v>
      </c>
      <c r="AS188" s="277">
        <v>0.67123535858745642</v>
      </c>
      <c r="AT188" s="277">
        <f>AS188+(AU188-AS188)/2</f>
        <v>0.60206078807894348</v>
      </c>
      <c r="AU188" s="277">
        <v>0.53288621757043064</v>
      </c>
      <c r="AV188" s="277">
        <f>AU188+(AX188-AU188)/3</f>
        <v>0.49019183097457941</v>
      </c>
      <c r="AW188" s="277">
        <f>AU188+(AX188-AU188)*2/3</f>
        <v>0.44749744437872813</v>
      </c>
      <c r="AX188" s="277">
        <v>0.4048030577828769</v>
      </c>
      <c r="AY188" s="277">
        <f>AX188+(AZ188-AX188)/2</f>
        <v>0.36210886119736385</v>
      </c>
      <c r="AZ188" s="277">
        <v>0.31941466461185086</v>
      </c>
      <c r="BA188" s="277">
        <f t="shared" si="185"/>
        <v>0.28213343941626751</v>
      </c>
      <c r="BB188" s="277">
        <f t="shared" si="186"/>
        <v>0.24485221422068421</v>
      </c>
      <c r="BC188" s="277">
        <f t="shared" si="187"/>
        <v>0.20757098902510085</v>
      </c>
      <c r="BD188" s="277">
        <f t="shared" si="188"/>
        <v>0.17028976382951752</v>
      </c>
      <c r="BE188" s="277">
        <v>0.13300853863393419</v>
      </c>
      <c r="BF188" s="277">
        <f t="shared" si="189"/>
        <v>0.10709830408400806</v>
      </c>
      <c r="BG188" s="277">
        <f t="shared" si="190"/>
        <v>8.1188069534081905E-2</v>
      </c>
      <c r="BH188" s="277">
        <f t="shared" si="191"/>
        <v>5.5277834984155755E-2</v>
      </c>
      <c r="BI188" s="277">
        <f t="shared" si="192"/>
        <v>2.9367600434229618E-2</v>
      </c>
      <c r="BJ188" s="277">
        <v>3.4573658843034694E-3</v>
      </c>
    </row>
    <row r="189" spans="1:62">
      <c r="A189" s="91" t="s">
        <v>316</v>
      </c>
      <c r="B189" s="83">
        <v>0</v>
      </c>
      <c r="C189" s="83">
        <v>0</v>
      </c>
      <c r="D189" s="83">
        <v>4.6087027210829331E-3</v>
      </c>
      <c r="E189" s="83">
        <v>1.2843339531189824E-2</v>
      </c>
      <c r="F189" s="83">
        <v>2.0063428877568498E-2</v>
      </c>
      <c r="G189" s="83">
        <v>2.8284285618559116E-2</v>
      </c>
      <c r="H189" s="83">
        <v>3.656559798986786E-2</v>
      </c>
      <c r="I189" s="83">
        <v>4.452662772656444E-2</v>
      </c>
      <c r="J189" s="83">
        <v>5.0352488624852219E-2</v>
      </c>
      <c r="K189" s="83">
        <v>5.4380268109702888E-2</v>
      </c>
      <c r="L189" s="83">
        <v>5.8187839084558879E-2</v>
      </c>
      <c r="M189" s="83">
        <v>6.1786130878659404E-2</v>
      </c>
      <c r="N189" s="83">
        <v>6.3447079384380961E-2</v>
      </c>
      <c r="O189" s="83">
        <v>6.3883847502931163E-2</v>
      </c>
      <c r="P189" s="83">
        <v>6.2026098261315603E-2</v>
      </c>
      <c r="Q189" s="83">
        <v>5.9462369784145139E-2</v>
      </c>
      <c r="R189" s="83">
        <v>5.8055906477518036E-2</v>
      </c>
      <c r="S189" s="83">
        <v>5.7007374685190411E-2</v>
      </c>
      <c r="T189" s="83">
        <v>5.7943243266289426E-2</v>
      </c>
      <c r="U189" s="83">
        <v>6.2309844794055151E-2</v>
      </c>
      <c r="V189" s="83">
        <v>6.9340959533072524E-2</v>
      </c>
      <c r="W189" s="83">
        <v>7.65956948683858E-2</v>
      </c>
      <c r="X189" s="83">
        <v>8.1016216437369337E-2</v>
      </c>
      <c r="Y189" s="83">
        <v>8.0869046391713342E-2</v>
      </c>
      <c r="Z189" s="83">
        <v>7.9575493636724393E-2</v>
      </c>
      <c r="AA189" s="83">
        <v>7.8341293647188434E-2</v>
      </c>
      <c r="AB189" s="83">
        <v>7.338909948983105E-2</v>
      </c>
      <c r="AC189" s="83">
        <v>7.5821493931747613E-2</v>
      </c>
      <c r="AD189" s="83">
        <v>8.4391234341335955E-2</v>
      </c>
      <c r="AE189" s="83">
        <v>8.9392451469174808E-2</v>
      </c>
      <c r="AF189" s="83">
        <v>8.8247310653068664E-2</v>
      </c>
      <c r="AG189" s="83">
        <v>9.1429500955089352E-2</v>
      </c>
      <c r="AH189" s="83">
        <v>9.5803183355398822E-2</v>
      </c>
      <c r="AI189" s="277">
        <v>9.2127204924181208E-2</v>
      </c>
      <c r="AJ189" s="277">
        <v>9.3103298305291113E-2</v>
      </c>
      <c r="AK189" s="277">
        <v>9.5790193303572746E-2</v>
      </c>
      <c r="AL189" s="277">
        <v>9.1260562121810218E-2</v>
      </c>
      <c r="AM189" s="382">
        <f t="shared" si="177"/>
        <v>7.8369849828052368E-2</v>
      </c>
      <c r="AN189" s="277">
        <v>6.5479137534294518E-2</v>
      </c>
      <c r="AO189" s="277">
        <f>AN189+(AP189-AN189)/2</f>
        <v>6.0793586871357941E-2</v>
      </c>
      <c r="AP189" s="277">
        <v>5.610803620842137E-2</v>
      </c>
      <c r="AQ189" s="277">
        <f>AP189+(AS189-AP189)/3</f>
        <v>5.1661111586218708E-2</v>
      </c>
      <c r="AR189" s="277">
        <f>AP189+(AS189-AP189)*2/3</f>
        <v>4.7214186964016046E-2</v>
      </c>
      <c r="AS189" s="277">
        <v>4.2767262341813383E-2</v>
      </c>
      <c r="AT189" s="277">
        <f>AS189+(AU189-AS189)/2</f>
        <v>3.8320779361888824E-2</v>
      </c>
      <c r="AU189" s="277">
        <v>3.3874296381964271E-2</v>
      </c>
      <c r="AV189" s="277">
        <f>AU189+(AX189-AU189)/3</f>
        <v>3.1253885848007805E-2</v>
      </c>
      <c r="AW189" s="277">
        <f>AU189+(AX189-AU189)*2/3</f>
        <v>2.8633475314051336E-2</v>
      </c>
      <c r="AX189" s="277">
        <v>2.601306478009487E-2</v>
      </c>
      <c r="AY189" s="277">
        <f>AX189+(AZ189-AX189)/2</f>
        <v>2.339265894379013E-2</v>
      </c>
      <c r="AZ189" s="277">
        <v>2.077225310748539E-2</v>
      </c>
      <c r="BA189" s="277">
        <f t="shared" si="185"/>
        <v>1.8187447018831647E-2</v>
      </c>
      <c r="BB189" s="277">
        <f t="shared" si="186"/>
        <v>1.5602640930177908E-2</v>
      </c>
      <c r="BC189" s="277">
        <f t="shared" si="187"/>
        <v>1.3017834841524167E-2</v>
      </c>
      <c r="BD189" s="277">
        <f t="shared" si="188"/>
        <v>1.0433028752870426E-2</v>
      </c>
      <c r="BE189" s="277">
        <v>7.8482226642166853E-3</v>
      </c>
      <c r="BF189" s="277">
        <f t="shared" si="189"/>
        <v>6.2785781313733479E-3</v>
      </c>
      <c r="BG189" s="277">
        <f t="shared" si="190"/>
        <v>4.7089335985300114E-3</v>
      </c>
      <c r="BH189" s="277">
        <f t="shared" si="191"/>
        <v>3.139289065686674E-3</v>
      </c>
      <c r="BI189" s="277">
        <f t="shared" si="192"/>
        <v>1.5696445328433374E-3</v>
      </c>
      <c r="BJ189" s="277">
        <v>0</v>
      </c>
    </row>
    <row r="190" spans="1:62">
      <c r="A190" s="91" t="s">
        <v>317</v>
      </c>
      <c r="B190" s="83">
        <v>0</v>
      </c>
      <c r="C190" s="83">
        <v>0</v>
      </c>
      <c r="D190" s="83">
        <v>0</v>
      </c>
      <c r="E190" s="83">
        <v>0</v>
      </c>
      <c r="F190" s="83">
        <v>0</v>
      </c>
      <c r="G190" s="83">
        <v>0</v>
      </c>
      <c r="H190" s="83">
        <v>0</v>
      </c>
      <c r="I190" s="83">
        <v>0</v>
      </c>
      <c r="J190" s="83">
        <v>0</v>
      </c>
      <c r="K190" s="83">
        <v>0</v>
      </c>
      <c r="L190" s="83">
        <v>0</v>
      </c>
      <c r="M190" s="83">
        <v>0</v>
      </c>
      <c r="N190" s="83">
        <v>0</v>
      </c>
      <c r="O190" s="83">
        <v>0</v>
      </c>
      <c r="P190" s="83">
        <v>0</v>
      </c>
      <c r="Q190" s="83">
        <v>0</v>
      </c>
      <c r="R190" s="83">
        <v>0</v>
      </c>
      <c r="S190" s="83">
        <v>0</v>
      </c>
      <c r="T190" s="83">
        <v>0</v>
      </c>
      <c r="U190" s="83">
        <v>0</v>
      </c>
      <c r="V190" s="83">
        <v>0</v>
      </c>
      <c r="W190" s="83">
        <v>0</v>
      </c>
      <c r="X190" s="83">
        <v>0</v>
      </c>
      <c r="Y190" s="83">
        <v>0</v>
      </c>
      <c r="Z190" s="83">
        <v>0</v>
      </c>
      <c r="AA190" s="83">
        <v>0</v>
      </c>
      <c r="AB190" s="83">
        <v>0</v>
      </c>
      <c r="AC190" s="83">
        <v>0</v>
      </c>
      <c r="AD190" s="83">
        <v>0</v>
      </c>
      <c r="AE190" s="83">
        <v>0</v>
      </c>
      <c r="AF190" s="83">
        <v>0</v>
      </c>
      <c r="AG190" s="83">
        <v>0</v>
      </c>
      <c r="AH190" s="83">
        <v>0</v>
      </c>
      <c r="AI190" s="277">
        <v>0</v>
      </c>
      <c r="AJ190" s="277">
        <v>0</v>
      </c>
      <c r="AK190" s="277">
        <v>0</v>
      </c>
      <c r="AL190" s="277">
        <v>0</v>
      </c>
      <c r="AM190" s="382">
        <f t="shared" si="177"/>
        <v>0</v>
      </c>
      <c r="AN190" s="277">
        <v>0</v>
      </c>
      <c r="AO190" s="277">
        <f>AN190+(AP190-AN190)/2</f>
        <v>0</v>
      </c>
      <c r="AP190" s="277">
        <v>0</v>
      </c>
      <c r="AQ190" s="277">
        <f>AP190+(AS190-AP190)/3</f>
        <v>0</v>
      </c>
      <c r="AR190" s="277">
        <f>AP190+(AS190-AP190)*2/3</f>
        <v>0</v>
      </c>
      <c r="AS190" s="277">
        <v>0</v>
      </c>
      <c r="AT190" s="277">
        <f>AS190+(AU190-AS190)/2</f>
        <v>0</v>
      </c>
      <c r="AU190" s="277">
        <v>0</v>
      </c>
      <c r="AV190" s="277">
        <f>AU190+(AX190-AU190)/3</f>
        <v>0</v>
      </c>
      <c r="AW190" s="277">
        <f>AU190+(AX190-AU190)*2/3</f>
        <v>0</v>
      </c>
      <c r="AX190" s="277">
        <v>0</v>
      </c>
      <c r="AY190" s="277">
        <f>AX190+(AZ190-AX190)/2</f>
        <v>0</v>
      </c>
      <c r="AZ190" s="277">
        <v>0</v>
      </c>
      <c r="BA190" s="277">
        <f t="shared" si="185"/>
        <v>0</v>
      </c>
      <c r="BB190" s="277">
        <f t="shared" si="186"/>
        <v>0</v>
      </c>
      <c r="BC190" s="277">
        <f t="shared" si="187"/>
        <v>0</v>
      </c>
      <c r="BD190" s="277">
        <f t="shared" si="188"/>
        <v>0</v>
      </c>
      <c r="BE190" s="277">
        <v>0</v>
      </c>
      <c r="BF190" s="277">
        <f t="shared" si="189"/>
        <v>0</v>
      </c>
      <c r="BG190" s="277">
        <f t="shared" si="190"/>
        <v>0</v>
      </c>
      <c r="BH190" s="277">
        <f t="shared" si="191"/>
        <v>0</v>
      </c>
      <c r="BI190" s="277">
        <f t="shared" si="192"/>
        <v>0</v>
      </c>
      <c r="BJ190" s="277">
        <v>0</v>
      </c>
    </row>
    <row r="191" spans="1:62">
      <c r="A191" s="115" t="s">
        <v>318</v>
      </c>
      <c r="B191" s="117">
        <v>116.19939991511356</v>
      </c>
      <c r="C191" s="117">
        <v>118.6835147102894</v>
      </c>
      <c r="D191" s="117">
        <v>123.28553276664047</v>
      </c>
      <c r="E191" s="117">
        <v>123.42894606110464</v>
      </c>
      <c r="F191" s="117">
        <v>124.30317839361909</v>
      </c>
      <c r="G191" s="117">
        <v>125.66704159107351</v>
      </c>
      <c r="H191" s="117">
        <v>126.92360028700149</v>
      </c>
      <c r="I191" s="117">
        <v>129.3969917339746</v>
      </c>
      <c r="J191" s="117">
        <v>131.56476789559977</v>
      </c>
      <c r="K191" s="117">
        <v>133.6594470517656</v>
      </c>
      <c r="L191" s="117">
        <v>133.36732038737048</v>
      </c>
      <c r="M191" s="117">
        <v>136.7317749431615</v>
      </c>
      <c r="N191" s="117">
        <v>137.82964250037301</v>
      </c>
      <c r="O191" s="117">
        <v>137.93051400960428</v>
      </c>
      <c r="P191" s="117">
        <v>138.52449611654168</v>
      </c>
      <c r="Q191" s="117">
        <v>136.41965727611091</v>
      </c>
      <c r="R191" s="117">
        <v>136.62671738515547</v>
      </c>
      <c r="S191" s="117">
        <v>135.58746210121691</v>
      </c>
      <c r="T191" s="117">
        <v>129.19821214203543</v>
      </c>
      <c r="U191" s="117">
        <v>128.81456398390725</v>
      </c>
      <c r="V191" s="117">
        <v>129.90858221288369</v>
      </c>
      <c r="W191" s="117">
        <v>130.98058014795191</v>
      </c>
      <c r="X191" s="117">
        <v>129.32351877519955</v>
      </c>
      <c r="Y191" s="117">
        <v>129.15419293791632</v>
      </c>
      <c r="Z191" s="117">
        <v>129.0200723462851</v>
      </c>
      <c r="AA191" s="117">
        <v>130.426340721147</v>
      </c>
      <c r="AB191" s="117">
        <v>130.67739888232077</v>
      </c>
      <c r="AC191" s="117">
        <v>130.46493571322611</v>
      </c>
      <c r="AD191" s="117">
        <v>127.36140395245395</v>
      </c>
      <c r="AE191" s="117">
        <v>126.28494984845965</v>
      </c>
      <c r="AF191" s="117">
        <v>107.35123562346378</v>
      </c>
      <c r="AG191" s="117">
        <v>120.5581911916059</v>
      </c>
      <c r="AH191" s="117">
        <v>123.78138666089612</v>
      </c>
      <c r="AI191" s="285">
        <v>118.83871627455461</v>
      </c>
      <c r="AJ191" s="285">
        <v>117.34613037269725</v>
      </c>
      <c r="AK191" s="285">
        <v>114.92369693902033</v>
      </c>
      <c r="AL191" s="285">
        <v>110.88483893427905</v>
      </c>
      <c r="AM191" s="285">
        <f>SUM(AM170:AM190)</f>
        <v>103.31446367491542</v>
      </c>
      <c r="AN191" s="285">
        <v>95.744088415551772</v>
      </c>
      <c r="AO191" s="285">
        <f>SUM(AO170:AO190)</f>
        <v>89.705594422488915</v>
      </c>
      <c r="AP191" s="285">
        <v>84.736063899517248</v>
      </c>
      <c r="AQ191" s="285">
        <f>SUM(AQ170:AQ190)</f>
        <v>85.35867224647285</v>
      </c>
      <c r="AR191" s="285">
        <f>SUM(AR170:AR190)</f>
        <v>79.502185795732615</v>
      </c>
      <c r="AS191" s="285">
        <v>66.936259735437133</v>
      </c>
      <c r="AT191" s="285">
        <f>SUM(AT170:AT190)</f>
        <v>67.834087569735033</v>
      </c>
      <c r="AU191" s="285">
        <v>55.122878495939311</v>
      </c>
      <c r="AV191" s="285">
        <f>SUM(AV170:AV190)</f>
        <v>62.665777260572483</v>
      </c>
      <c r="AW191" s="285">
        <f>SUM(AW170:AW190)</f>
        <v>56.811042814678373</v>
      </c>
      <c r="AX191" s="285">
        <v>37.523485133392285</v>
      </c>
      <c r="AY191" s="285">
        <f>SUM(AY170:AY190)</f>
        <v>45.121542016103682</v>
      </c>
      <c r="AZ191" s="285">
        <v>25.798790617614454</v>
      </c>
      <c r="BA191" s="285">
        <f t="shared" si="185"/>
        <v>21.862790845325758</v>
      </c>
      <c r="BB191" s="285">
        <f t="shared" si="186"/>
        <v>17.926791073037062</v>
      </c>
      <c r="BC191" s="285">
        <f t="shared" si="187"/>
        <v>13.990791300748366</v>
      </c>
      <c r="BD191" s="285">
        <f t="shared" si="188"/>
        <v>10.054791528459671</v>
      </c>
      <c r="BE191" s="285">
        <v>6.1187917561709737</v>
      </c>
      <c r="BF191" s="285">
        <f t="shared" si="189"/>
        <v>4.9096933099481799</v>
      </c>
      <c r="BG191" s="285">
        <f t="shared" si="190"/>
        <v>3.7005948637253869</v>
      </c>
      <c r="BH191" s="285">
        <f t="shared" si="191"/>
        <v>2.491496417502594</v>
      </c>
      <c r="BI191" s="285">
        <f t="shared" si="192"/>
        <v>1.2823979712798002</v>
      </c>
      <c r="BJ191" s="285">
        <v>7.3299525057007348E-2</v>
      </c>
    </row>
    <row r="192" spans="1:62">
      <c r="A192" s="91" t="s">
        <v>45</v>
      </c>
      <c r="B192" s="83">
        <v>1.0939765562877675</v>
      </c>
      <c r="C192" s="83">
        <v>1.0596877388518826</v>
      </c>
      <c r="D192" s="83">
        <v>1.0090709131131945</v>
      </c>
      <c r="E192" s="83">
        <v>0.93368994144858974</v>
      </c>
      <c r="F192" s="83">
        <v>0.86701724087881282</v>
      </c>
      <c r="G192" s="83">
        <v>0.82837428789551359</v>
      </c>
      <c r="H192" s="83">
        <v>0.80224947461102969</v>
      </c>
      <c r="I192" s="83">
        <v>0.79462973740305509</v>
      </c>
      <c r="J192" s="83">
        <v>0.75625891789146904</v>
      </c>
      <c r="K192" s="83">
        <v>0.76403748446353237</v>
      </c>
      <c r="L192" s="83">
        <v>0.78167236444186539</v>
      </c>
      <c r="M192" s="83">
        <v>0.78610554038616287</v>
      </c>
      <c r="N192" s="83">
        <v>0.81230097493363307</v>
      </c>
      <c r="O192" s="83">
        <v>0.7738016930097299</v>
      </c>
      <c r="P192" s="83">
        <v>0.77374896710308227</v>
      </c>
      <c r="Q192" s="83">
        <v>0.70617495956704535</v>
      </c>
      <c r="R192" s="83">
        <v>0.67317386043258964</v>
      </c>
      <c r="S192" s="83">
        <v>0.61476026220820523</v>
      </c>
      <c r="T192" s="83">
        <v>0.62565612690531991</v>
      </c>
      <c r="U192" s="83">
        <v>0.57536355799883943</v>
      </c>
      <c r="V192" s="83">
        <v>0.55018471268609881</v>
      </c>
      <c r="W192" s="83">
        <v>0.54402835175115938</v>
      </c>
      <c r="X192" s="83">
        <v>0.53226719417350932</v>
      </c>
      <c r="Y192" s="83">
        <v>0.54169889015351524</v>
      </c>
      <c r="Z192" s="83">
        <v>0.51567521283972273</v>
      </c>
      <c r="AA192" s="83">
        <v>0.52106982510219924</v>
      </c>
      <c r="AB192" s="83">
        <v>0.50340646296273761</v>
      </c>
      <c r="AC192" s="83">
        <v>0.5174355038781413</v>
      </c>
      <c r="AD192" s="83">
        <v>0.48011633500578205</v>
      </c>
      <c r="AE192" s="83">
        <v>0.47962195253524964</v>
      </c>
      <c r="AF192" s="83">
        <v>0.39142579808300154</v>
      </c>
      <c r="AG192" s="83">
        <v>0.43839014516785785</v>
      </c>
      <c r="AH192" s="83">
        <v>0.46667777839046365</v>
      </c>
      <c r="AI192" s="277">
        <v>0.42537901853095927</v>
      </c>
      <c r="AJ192" s="277">
        <v>0.43927553675735204</v>
      </c>
      <c r="AK192" s="277">
        <v>0.43636789180410801</v>
      </c>
      <c r="AL192" s="277">
        <v>0.43438533467560353</v>
      </c>
      <c r="AM192" s="382">
        <f t="shared" ref="AM192:AM196" si="196">(AL192+AN192)/2</f>
        <v>0.42307979555309183</v>
      </c>
      <c r="AN192" s="277">
        <v>0.41177425643058019</v>
      </c>
      <c r="AO192" s="277">
        <f>AN192+(AP192-AN192)/2</f>
        <v>0.41213122598581381</v>
      </c>
      <c r="AP192" s="277">
        <v>0.41248819554104743</v>
      </c>
      <c r="AQ192" s="277">
        <f>AP192+(AS192-AP192)/3</f>
        <v>0.39098708786552028</v>
      </c>
      <c r="AR192" s="277">
        <f>AP192+(AS192-AP192)*2/3</f>
        <v>0.36948598018999312</v>
      </c>
      <c r="AS192" s="277">
        <v>0.34798487251446597</v>
      </c>
      <c r="AT192" s="277">
        <f>AS192+(AU192-AS192)/2</f>
        <v>0.34339904900567098</v>
      </c>
      <c r="AU192" s="277">
        <v>0.33881322549687598</v>
      </c>
      <c r="AV192" s="277">
        <f>AU192+(AX192-AU192)/3</f>
        <v>0.31476243603065573</v>
      </c>
      <c r="AW192" s="277">
        <f>AU192+(AX192-AU192)*2/3</f>
        <v>0.29071164656443554</v>
      </c>
      <c r="AX192" s="277">
        <v>0.2666608570982153</v>
      </c>
      <c r="AY192" s="277">
        <f>AX192+(AZ192-AX192)/2</f>
        <v>0.26091897365324535</v>
      </c>
      <c r="AZ192" s="277">
        <v>0.25517709020827539</v>
      </c>
      <c r="BA192" s="277">
        <f t="shared" si="185"/>
        <v>0.21947762759132594</v>
      </c>
      <c r="BB192" s="277">
        <f t="shared" si="186"/>
        <v>0.18377816497437652</v>
      </c>
      <c r="BC192" s="277">
        <f t="shared" si="187"/>
        <v>0.14807870235742709</v>
      </c>
      <c r="BD192" s="277">
        <f t="shared" si="188"/>
        <v>0.11237923974047764</v>
      </c>
      <c r="BE192" s="277">
        <v>7.667977712352822E-2</v>
      </c>
      <c r="BF192" s="277">
        <f t="shared" si="189"/>
        <v>6.2030682183850668E-2</v>
      </c>
      <c r="BG192" s="277">
        <f t="shared" si="190"/>
        <v>4.7381587244173115E-2</v>
      </c>
      <c r="BH192" s="277">
        <f t="shared" si="191"/>
        <v>3.2732492304495556E-2</v>
      </c>
      <c r="BI192" s="277">
        <f t="shared" si="192"/>
        <v>1.8083397364818003E-2</v>
      </c>
      <c r="BJ192" s="277">
        <v>3.4343024251404556E-3</v>
      </c>
    </row>
    <row r="193" spans="1:62">
      <c r="A193" s="91" t="s">
        <v>319</v>
      </c>
      <c r="B193" s="83">
        <v>0.12791712583233192</v>
      </c>
      <c r="C193" s="83">
        <v>0.14130860505608522</v>
      </c>
      <c r="D193" s="83">
        <v>0.1480203327454655</v>
      </c>
      <c r="E193" s="83">
        <v>9.5548326347520154E-2</v>
      </c>
      <c r="F193" s="83">
        <v>9.7157468181851656E-2</v>
      </c>
      <c r="G193" s="83">
        <v>9.6426912912678048E-2</v>
      </c>
      <c r="H193" s="83">
        <v>9.8196931631001738E-2</v>
      </c>
      <c r="I193" s="83">
        <v>9.4101864525992493E-2</v>
      </c>
      <c r="J193" s="83">
        <v>0.10341754060119328</v>
      </c>
      <c r="K193" s="83">
        <v>0.12248767648342021</v>
      </c>
      <c r="L193" s="83">
        <v>0.12304991410516466</v>
      </c>
      <c r="M193" s="83">
        <v>0.10641097706126532</v>
      </c>
      <c r="N193" s="83">
        <v>0.11509695156258475</v>
      </c>
      <c r="O193" s="83">
        <v>0.1182236439051351</v>
      </c>
      <c r="P193" s="83">
        <v>0.1219929829138741</v>
      </c>
      <c r="Q193" s="83">
        <v>0.13555227909999693</v>
      </c>
      <c r="R193" s="83">
        <v>0.1353086121361112</v>
      </c>
      <c r="S193" s="83">
        <v>0.12716129943849153</v>
      </c>
      <c r="T193" s="83">
        <v>0.12966325801406153</v>
      </c>
      <c r="U193" s="83">
        <v>0.13817454001038557</v>
      </c>
      <c r="V193" s="83">
        <v>0.1445126582925064</v>
      </c>
      <c r="W193" s="83">
        <v>0.14852682906433218</v>
      </c>
      <c r="X193" s="83">
        <v>0.14052380098093606</v>
      </c>
      <c r="Y193" s="83">
        <v>0.13943054808930255</v>
      </c>
      <c r="Z193" s="83">
        <v>0.13452622492650892</v>
      </c>
      <c r="AA193" s="83">
        <v>0.12663123188804531</v>
      </c>
      <c r="AB193" s="83">
        <v>0.11190819339924707</v>
      </c>
      <c r="AC193" s="83">
        <v>0.1074252273673635</v>
      </c>
      <c r="AD193" s="83">
        <v>0.11411951423114973</v>
      </c>
      <c r="AE193" s="83">
        <v>0.12450012736068522</v>
      </c>
      <c r="AF193" s="83">
        <v>0.11462308224369448</v>
      </c>
      <c r="AG193" s="83">
        <v>0.12145771985297027</v>
      </c>
      <c r="AH193" s="83">
        <v>0.10731224086779409</v>
      </c>
      <c r="AI193" s="277">
        <v>9.5839792291628478E-2</v>
      </c>
      <c r="AJ193" s="277">
        <v>9.3184520827205186E-2</v>
      </c>
      <c r="AK193" s="277">
        <v>9.2751760723659274E-2</v>
      </c>
      <c r="AL193" s="277">
        <v>9.7715055667294035E-2</v>
      </c>
      <c r="AM193" s="382">
        <f t="shared" si="196"/>
        <v>0.11224105149111638</v>
      </c>
      <c r="AN193" s="277">
        <v>0.12676704731493874</v>
      </c>
      <c r="AO193" s="277">
        <f>AN193+(AP193-AN193)/2</f>
        <v>0.13498355139706561</v>
      </c>
      <c r="AP193" s="277">
        <v>0.14320005547919248</v>
      </c>
      <c r="AQ193" s="277">
        <f>AP193+(AS193-AP193)/3</f>
        <v>0.14231386740643232</v>
      </c>
      <c r="AR193" s="277">
        <f>AP193+(AS193-AP193)*2/3</f>
        <v>0.14142767933367215</v>
      </c>
      <c r="AS193" s="277">
        <v>0.14054149126091198</v>
      </c>
      <c r="AT193" s="277">
        <f>AS193+(AU193-AS193)/2</f>
        <v>0.13965530318815178</v>
      </c>
      <c r="AU193" s="277">
        <v>0.13876911511539161</v>
      </c>
      <c r="AV193" s="277">
        <f>AU193+(AX193-AU193)/3</f>
        <v>0.13528070873676523</v>
      </c>
      <c r="AW193" s="277">
        <f>AU193+(AX193-AU193)*2/3</f>
        <v>0.13179230235813882</v>
      </c>
      <c r="AX193" s="277">
        <v>0.12830389597951244</v>
      </c>
      <c r="AY193" s="277">
        <f>AX193+(AZ193-AX193)/2</f>
        <v>0.12481548960088606</v>
      </c>
      <c r="AZ193" s="277">
        <v>0.12132708322225969</v>
      </c>
      <c r="BA193" s="277">
        <f t="shared" si="185"/>
        <v>0.11171921020748445</v>
      </c>
      <c r="BB193" s="277">
        <f t="shared" si="186"/>
        <v>0.10211133719270921</v>
      </c>
      <c r="BC193" s="277">
        <f t="shared" si="187"/>
        <v>9.2503464177933953E-2</v>
      </c>
      <c r="BD193" s="277">
        <f t="shared" si="188"/>
        <v>8.2895591163158713E-2</v>
      </c>
      <c r="BE193" s="277">
        <v>7.3287718148383474E-2</v>
      </c>
      <c r="BF193" s="277">
        <f t="shared" si="189"/>
        <v>5.9057551057314785E-2</v>
      </c>
      <c r="BG193" s="277">
        <f t="shared" si="190"/>
        <v>4.4827383966246095E-2</v>
      </c>
      <c r="BH193" s="277">
        <f t="shared" si="191"/>
        <v>3.0597216875177399E-2</v>
      </c>
      <c r="BI193" s="277">
        <f t="shared" si="192"/>
        <v>1.636704978410871E-2</v>
      </c>
      <c r="BJ193" s="277">
        <v>2.1368826930400252E-3</v>
      </c>
    </row>
    <row r="194" spans="1:62">
      <c r="A194" s="91" t="s">
        <v>320</v>
      </c>
      <c r="B194" s="83">
        <v>3.6897745445121024</v>
      </c>
      <c r="C194" s="83">
        <v>3.9171602109629045</v>
      </c>
      <c r="D194" s="83">
        <v>3.5333433724576677</v>
      </c>
      <c r="E194" s="83">
        <v>3.8380082899314671</v>
      </c>
      <c r="F194" s="83">
        <v>3.5743939432364282</v>
      </c>
      <c r="G194" s="83">
        <v>3.5365689216297649</v>
      </c>
      <c r="H194" s="83">
        <v>3.5222885814735463</v>
      </c>
      <c r="I194" s="83">
        <v>3.562934618190555</v>
      </c>
      <c r="J194" s="83">
        <v>3.5351173223632784</v>
      </c>
      <c r="K194" s="83">
        <v>3.6050582926513872</v>
      </c>
      <c r="L194" s="83">
        <v>3.7848881525700193</v>
      </c>
      <c r="M194" s="83">
        <v>3.7240214510470713</v>
      </c>
      <c r="N194" s="83">
        <v>3.6274445490947596</v>
      </c>
      <c r="O194" s="83">
        <v>3.664634583920193</v>
      </c>
      <c r="P194" s="83">
        <v>3.141923847316618</v>
      </c>
      <c r="Q194" s="83">
        <v>2.8593119276331658</v>
      </c>
      <c r="R194" s="83">
        <v>2.6840766859856542</v>
      </c>
      <c r="S194" s="83">
        <v>2.5446284274605673</v>
      </c>
      <c r="T194" s="83">
        <v>2.6305191706633293</v>
      </c>
      <c r="U194" s="83">
        <v>2.5850405638386924</v>
      </c>
      <c r="V194" s="83">
        <v>2.5637959034641495</v>
      </c>
      <c r="W194" s="83">
        <v>2.5630070222446326</v>
      </c>
      <c r="X194" s="83">
        <v>2.6935757947472081</v>
      </c>
      <c r="Y194" s="83">
        <v>2.493949952268852</v>
      </c>
      <c r="Z194" s="83">
        <v>2.3848642426767892</v>
      </c>
      <c r="AA194" s="83">
        <v>2.3839316228194618</v>
      </c>
      <c r="AB194" s="83">
        <v>2.4103881202093924</v>
      </c>
      <c r="AC194" s="83">
        <v>2.3771607069859</v>
      </c>
      <c r="AD194" s="83">
        <v>2.4154961480106962</v>
      </c>
      <c r="AE194" s="83">
        <v>2.1410694565340802</v>
      </c>
      <c r="AF194" s="83">
        <v>2.1398710827144112</v>
      </c>
      <c r="AG194" s="83">
        <v>2.3019645349337696</v>
      </c>
      <c r="AH194" s="83">
        <v>2.4702283365095261</v>
      </c>
      <c r="AI194" s="277">
        <v>2.152117425402611</v>
      </c>
      <c r="AJ194" s="277">
        <v>2.2419981572857148</v>
      </c>
      <c r="AK194" s="277">
        <v>2.0810111794421533</v>
      </c>
      <c r="AL194" s="277">
        <v>2.0782516249357941</v>
      </c>
      <c r="AM194" s="382">
        <f t="shared" si="196"/>
        <v>2.0841743426487884</v>
      </c>
      <c r="AN194" s="277">
        <v>2.0900970603617828</v>
      </c>
      <c r="AO194" s="277">
        <f>AN194+(AP194-AN194)/2</f>
        <v>2.0083902435361116</v>
      </c>
      <c r="AP194" s="277">
        <v>1.9266834267104409</v>
      </c>
      <c r="AQ194" s="277">
        <f>AP194+(AS194-AP194)/3</f>
        <v>1.8102659748983159</v>
      </c>
      <c r="AR194" s="277">
        <f>AP194+(AS194-AP194)*2/3</f>
        <v>1.693848523086191</v>
      </c>
      <c r="AS194" s="277">
        <v>1.577431071274066</v>
      </c>
      <c r="AT194" s="277">
        <f>AS194+(AU194-AS194)/2</f>
        <v>1.4654039022169454</v>
      </c>
      <c r="AU194" s="277">
        <v>1.3533767331598248</v>
      </c>
      <c r="AV194" s="277">
        <f>AU194+(AX194-AU194)/3</f>
        <v>1.2436057394542592</v>
      </c>
      <c r="AW194" s="277">
        <f>AU194+(AX194-AU194)*2/3</f>
        <v>1.1338347457486939</v>
      </c>
      <c r="AX194" s="277">
        <v>1.0240637520431284</v>
      </c>
      <c r="AY194" s="277">
        <f>AX194+(AZ194-AX194)/2</f>
        <v>0.9238710901314402</v>
      </c>
      <c r="AZ194" s="277">
        <v>0.82367842821975212</v>
      </c>
      <c r="BA194" s="277">
        <f t="shared" si="185"/>
        <v>0.72952590102696435</v>
      </c>
      <c r="BB194" s="277">
        <f t="shared" si="186"/>
        <v>0.63537337383417669</v>
      </c>
      <c r="BC194" s="277">
        <f t="shared" si="187"/>
        <v>0.54122084664138892</v>
      </c>
      <c r="BD194" s="277">
        <f t="shared" si="188"/>
        <v>0.44706831944860115</v>
      </c>
      <c r="BE194" s="277">
        <v>0.35291579225581343</v>
      </c>
      <c r="BF194" s="277">
        <f t="shared" si="189"/>
        <v>0.28620515814559977</v>
      </c>
      <c r="BG194" s="277">
        <f t="shared" si="190"/>
        <v>0.21949452403538616</v>
      </c>
      <c r="BH194" s="277">
        <f t="shared" si="191"/>
        <v>0.15278388992517256</v>
      </c>
      <c r="BI194" s="277">
        <f t="shared" si="192"/>
        <v>8.6073255814958893E-2</v>
      </c>
      <c r="BJ194" s="277">
        <v>1.9362621704745279E-2</v>
      </c>
    </row>
    <row r="195" spans="1:62">
      <c r="A195" s="91" t="s">
        <v>321</v>
      </c>
      <c r="B195" s="83">
        <v>0.6653569755192017</v>
      </c>
      <c r="C195" s="83">
        <v>0.68303665852212569</v>
      </c>
      <c r="D195" s="83">
        <v>0.70114549832635031</v>
      </c>
      <c r="E195" s="83">
        <v>0.73303826249145965</v>
      </c>
      <c r="F195" s="83">
        <v>0.74767058270505016</v>
      </c>
      <c r="G195" s="83">
        <v>0.78449898899248061</v>
      </c>
      <c r="H195" s="83">
        <v>0.8029147140143722</v>
      </c>
      <c r="I195" s="83">
        <v>0.82503487533463027</v>
      </c>
      <c r="J195" s="83">
        <v>0.87991216476147704</v>
      </c>
      <c r="K195" s="83">
        <v>0.90003074800899663</v>
      </c>
      <c r="L195" s="83">
        <v>0.83448859520607932</v>
      </c>
      <c r="M195" s="83">
        <v>0.89238243730453048</v>
      </c>
      <c r="N195" s="83">
        <v>0.95649051970620003</v>
      </c>
      <c r="O195" s="83">
        <v>0.97031933131795312</v>
      </c>
      <c r="P195" s="83">
        <v>0.99107984978502428</v>
      </c>
      <c r="Q195" s="83">
        <v>0.93839433173964082</v>
      </c>
      <c r="R195" s="83">
        <v>0.93002923239160162</v>
      </c>
      <c r="S195" s="83">
        <v>0.94643847841413586</v>
      </c>
      <c r="T195" s="83">
        <v>0.91338649997834831</v>
      </c>
      <c r="U195" s="83">
        <v>0.92821057903684889</v>
      </c>
      <c r="V195" s="83">
        <v>0.93586100768795533</v>
      </c>
      <c r="W195" s="83">
        <v>0.92412267791199765</v>
      </c>
      <c r="X195" s="83">
        <v>0.97784752742309766</v>
      </c>
      <c r="Y195" s="83">
        <v>0.98326199260346459</v>
      </c>
      <c r="Z195" s="83">
        <v>0.98555631888602946</v>
      </c>
      <c r="AA195" s="83">
        <v>0.9906206538370399</v>
      </c>
      <c r="AB195" s="83">
        <v>0.99529739513354276</v>
      </c>
      <c r="AC195" s="83">
        <v>0.99141642164768873</v>
      </c>
      <c r="AD195" s="83">
        <v>0.99267940375334685</v>
      </c>
      <c r="AE195" s="83">
        <v>1.0032219119044912</v>
      </c>
      <c r="AF195" s="83">
        <v>0.99997938960570198</v>
      </c>
      <c r="AG195" s="83">
        <v>1.0014424853592574</v>
      </c>
      <c r="AH195" s="83">
        <v>0.98469211878598939</v>
      </c>
      <c r="AI195" s="277">
        <v>0.98409533146887174</v>
      </c>
      <c r="AJ195" s="277">
        <v>0.99526322026692438</v>
      </c>
      <c r="AK195" s="277">
        <v>1.0414354203349594</v>
      </c>
      <c r="AL195" s="277">
        <v>1.0206980426602497</v>
      </c>
      <c r="AM195" s="382">
        <f t="shared" si="196"/>
        <v>0.96722295296120986</v>
      </c>
      <c r="AN195" s="277">
        <v>0.91374786326217006</v>
      </c>
      <c r="AO195" s="277">
        <f>AN195+(AP195-AN195)/2</f>
        <v>0.91333205111811278</v>
      </c>
      <c r="AP195" s="277">
        <v>0.91291623897405549</v>
      </c>
      <c r="AQ195" s="277">
        <f>AP195+(AS195-AP195)/3</f>
        <v>0.88384861763706912</v>
      </c>
      <c r="AR195" s="277">
        <f>AP195+(AS195-AP195)*2/3</f>
        <v>0.85478099630008275</v>
      </c>
      <c r="AS195" s="277">
        <v>0.82571337496309638</v>
      </c>
      <c r="AT195" s="277">
        <f>AS195+(AU195-AS195)/2</f>
        <v>0.79664575362611001</v>
      </c>
      <c r="AU195" s="277">
        <v>0.76757813228912364</v>
      </c>
      <c r="AV195" s="277">
        <f>AU195+(AX195-AU195)/3</f>
        <v>0.73332694452909042</v>
      </c>
      <c r="AW195" s="277">
        <f>AU195+(AX195-AU195)*2/3</f>
        <v>0.6990757567690572</v>
      </c>
      <c r="AX195" s="277">
        <v>0.66482456900902398</v>
      </c>
      <c r="AY195" s="277">
        <f>AX195+(AZ195-AX195)/2</f>
        <v>0.63057338124899087</v>
      </c>
      <c r="AZ195" s="277">
        <v>0.59632219348895776</v>
      </c>
      <c r="BA195" s="277">
        <f t="shared" si="185"/>
        <v>0.53995747539187833</v>
      </c>
      <c r="BB195" s="277">
        <f t="shared" si="186"/>
        <v>0.48359275729479878</v>
      </c>
      <c r="BC195" s="277">
        <f t="shared" si="187"/>
        <v>0.42722803919771929</v>
      </c>
      <c r="BD195" s="277">
        <f t="shared" si="188"/>
        <v>0.3708633211006398</v>
      </c>
      <c r="BE195" s="277">
        <v>0.31449860300356031</v>
      </c>
      <c r="BF195" s="277">
        <f t="shared" si="189"/>
        <v>0.25763442354587612</v>
      </c>
      <c r="BG195" s="277">
        <f t="shared" si="190"/>
        <v>0.20077024408819197</v>
      </c>
      <c r="BH195" s="277">
        <f t="shared" si="191"/>
        <v>0.14390606463050779</v>
      </c>
      <c r="BI195" s="277">
        <f t="shared" si="192"/>
        <v>8.704188517282363E-2</v>
      </c>
      <c r="BJ195" s="277">
        <v>3.0177705715139422E-2</v>
      </c>
    </row>
    <row r="196" spans="1:62">
      <c r="A196" s="91" t="s">
        <v>199</v>
      </c>
      <c r="B196" s="83">
        <v>3.6600527916625429</v>
      </c>
      <c r="C196" s="83">
        <v>3.7643189996657336</v>
      </c>
      <c r="D196" s="83">
        <v>3.733660598673322</v>
      </c>
      <c r="E196" s="83">
        <v>3.7415197012744086</v>
      </c>
      <c r="F196" s="83">
        <v>3.9191168520855779</v>
      </c>
      <c r="G196" s="83">
        <v>4.4975029756943634</v>
      </c>
      <c r="H196" s="83">
        <v>5.0128669000103541</v>
      </c>
      <c r="I196" s="83">
        <v>5.1634692245876321</v>
      </c>
      <c r="J196" s="83">
        <v>5.3583030121173563</v>
      </c>
      <c r="K196" s="83">
        <v>5.5298457598995538</v>
      </c>
      <c r="L196" s="83">
        <v>5.712534778149343</v>
      </c>
      <c r="M196" s="83">
        <v>5.3949378605623117</v>
      </c>
      <c r="N196" s="83">
        <v>5.2394551743453128</v>
      </c>
      <c r="O196" s="83">
        <v>4.7837253168595257</v>
      </c>
      <c r="P196" s="83">
        <v>4.8578098688810956</v>
      </c>
      <c r="Q196" s="83">
        <v>4.718331248822083</v>
      </c>
      <c r="R196" s="83">
        <v>4.5203623575994643</v>
      </c>
      <c r="S196" s="83">
        <v>4.4665643038107641</v>
      </c>
      <c r="T196" s="83">
        <v>4.5062133179038755</v>
      </c>
      <c r="U196" s="83">
        <v>4.4734877980311305</v>
      </c>
      <c r="V196" s="83">
        <v>4.4442189604016074</v>
      </c>
      <c r="W196" s="83">
        <v>4.6528102124570747</v>
      </c>
      <c r="X196" s="83">
        <v>4.6731797016437433</v>
      </c>
      <c r="Y196" s="83">
        <v>4.607579739973402</v>
      </c>
      <c r="Z196" s="83">
        <v>4.415673949419471</v>
      </c>
      <c r="AA196" s="83">
        <v>4.4097424139761499</v>
      </c>
      <c r="AB196" s="83">
        <v>4.549119820064865</v>
      </c>
      <c r="AC196" s="83">
        <v>4.6989252689700622</v>
      </c>
      <c r="AD196" s="83">
        <v>4.9370379691523318</v>
      </c>
      <c r="AE196" s="83">
        <v>5.0099337086987772</v>
      </c>
      <c r="AF196" s="83">
        <v>3.0759448906967433</v>
      </c>
      <c r="AG196" s="83">
        <v>3.7981031790485482</v>
      </c>
      <c r="AH196" s="83">
        <v>4.6151628431499443</v>
      </c>
      <c r="AI196" s="277">
        <v>4.3981133714625198</v>
      </c>
      <c r="AJ196" s="277">
        <v>4.2343385987271871</v>
      </c>
      <c r="AK196" s="277">
        <v>4.3336670977457175</v>
      </c>
      <c r="AL196" s="277">
        <v>4.32585566176824</v>
      </c>
      <c r="AM196" s="382">
        <f t="shared" si="196"/>
        <v>4.2770026610629017</v>
      </c>
      <c r="AN196" s="277">
        <v>4.2281496603575626</v>
      </c>
      <c r="AO196" s="277">
        <f>AN196+(AP196-AN196)/2</f>
        <v>4.1621572452194329</v>
      </c>
      <c r="AP196" s="277">
        <v>4.0961648300813032</v>
      </c>
      <c r="AQ196" s="277">
        <f>AP196+(AS196-AP196)/3</f>
        <v>3.8689607865936511</v>
      </c>
      <c r="AR196" s="277">
        <f>AP196+(AS196-AP196)*2/3</f>
        <v>3.6417567431059994</v>
      </c>
      <c r="AS196" s="277">
        <v>3.4145526996183473</v>
      </c>
      <c r="AT196" s="277">
        <f>AS196+(AU196-AS196)/2</f>
        <v>3.1873770795056418</v>
      </c>
      <c r="AU196" s="277">
        <v>2.9602014593929362</v>
      </c>
      <c r="AV196" s="277">
        <f>AU196+(AX196-AU196)/3</f>
        <v>2.7884606650231101</v>
      </c>
      <c r="AW196" s="277">
        <f>AU196+(AX196-AU196)*2/3</f>
        <v>2.6167198706532844</v>
      </c>
      <c r="AX196" s="277">
        <v>2.4449790762834582</v>
      </c>
      <c r="AY196" s="277">
        <f>AX196+(AZ196-AX196)/2</f>
        <v>2.2732387032001458</v>
      </c>
      <c r="AZ196" s="277">
        <v>2.1014983301168333</v>
      </c>
      <c r="BA196" s="277">
        <f t="shared" si="185"/>
        <v>1.9799337224934721</v>
      </c>
      <c r="BB196" s="277">
        <f t="shared" si="186"/>
        <v>1.8583691148701111</v>
      </c>
      <c r="BC196" s="277">
        <f t="shared" si="187"/>
        <v>1.73680450724675</v>
      </c>
      <c r="BD196" s="277">
        <f t="shared" si="188"/>
        <v>1.615239899623389</v>
      </c>
      <c r="BE196" s="277">
        <v>1.4936752920000278</v>
      </c>
      <c r="BF196" s="277">
        <f t="shared" si="189"/>
        <v>1.2939950754372191</v>
      </c>
      <c r="BG196" s="277">
        <f t="shared" si="190"/>
        <v>1.0943148588744105</v>
      </c>
      <c r="BH196" s="277">
        <f t="shared" si="191"/>
        <v>0.89463464231160195</v>
      </c>
      <c r="BI196" s="277">
        <f t="shared" si="192"/>
        <v>0.6949544257487934</v>
      </c>
      <c r="BJ196" s="277">
        <v>0.4952742091859848</v>
      </c>
    </row>
    <row r="197" spans="1:62">
      <c r="A197" s="115" t="s">
        <v>322</v>
      </c>
      <c r="B197" s="118">
        <v>9.237077993813946</v>
      </c>
      <c r="C197" s="118">
        <v>9.5655122130587316</v>
      </c>
      <c r="D197" s="118">
        <v>9.125240715316</v>
      </c>
      <c r="E197" s="116">
        <v>9.3418045214934438</v>
      </c>
      <c r="F197" s="116">
        <v>9.2053560870877202</v>
      </c>
      <c r="G197" s="116">
        <v>9.7433720871248006</v>
      </c>
      <c r="H197" s="116">
        <v>10.238516601740304</v>
      </c>
      <c r="I197" s="116">
        <v>10.440170320041865</v>
      </c>
      <c r="J197" s="116">
        <v>10.633008957734774</v>
      </c>
      <c r="K197" s="116">
        <v>10.921459961506891</v>
      </c>
      <c r="L197" s="116">
        <v>11.236633804472472</v>
      </c>
      <c r="M197" s="116">
        <v>10.903858266361343</v>
      </c>
      <c r="N197" s="116">
        <v>10.75078816964249</v>
      </c>
      <c r="O197" s="116">
        <v>10.310704569012536</v>
      </c>
      <c r="P197" s="116">
        <v>9.8865555159996941</v>
      </c>
      <c r="Q197" s="116">
        <v>9.3577647468619318</v>
      </c>
      <c r="R197" s="116">
        <v>8.9429507485454209</v>
      </c>
      <c r="S197" s="116">
        <v>8.699552771332165</v>
      </c>
      <c r="T197" s="116">
        <v>8.8054383734649342</v>
      </c>
      <c r="U197" s="116">
        <v>8.7002770389158961</v>
      </c>
      <c r="V197" s="116">
        <v>8.638573242532317</v>
      </c>
      <c r="W197" s="116">
        <v>8.8324950934291966</v>
      </c>
      <c r="X197" s="116">
        <v>9.0173940189684956</v>
      </c>
      <c r="Y197" s="116">
        <v>8.7659211230885354</v>
      </c>
      <c r="Z197" s="116">
        <v>8.436295948748521</v>
      </c>
      <c r="AA197" s="116">
        <v>8.4319957476228957</v>
      </c>
      <c r="AB197" s="116">
        <v>8.5701199917697846</v>
      </c>
      <c r="AC197" s="116">
        <v>8.6923631288491556</v>
      </c>
      <c r="AD197" s="116">
        <v>8.9394493701533069</v>
      </c>
      <c r="AE197" s="116">
        <v>8.7583471570332847</v>
      </c>
      <c r="AF197" s="116">
        <v>6.7218442433435523</v>
      </c>
      <c r="AG197" s="116">
        <v>7.6613580643624033</v>
      </c>
      <c r="AH197" s="116">
        <v>8.6440733177037181</v>
      </c>
      <c r="AI197" s="285">
        <v>8.0555449391565901</v>
      </c>
      <c r="AJ197" s="285">
        <v>8.0040600338643841</v>
      </c>
      <c r="AK197" s="285">
        <v>7.9852333500505974</v>
      </c>
      <c r="AL197" s="285">
        <v>7.9569057197071817</v>
      </c>
      <c r="AM197" s="285">
        <f>SUM(AM192:AM196)</f>
        <v>7.8637208037171078</v>
      </c>
      <c r="AN197" s="285">
        <v>7.7705358877270339</v>
      </c>
      <c r="AO197" s="285">
        <f>SUM(AO192:AO196)</f>
        <v>7.6309943172565369</v>
      </c>
      <c r="AP197" s="285">
        <v>7.4914527467860399</v>
      </c>
      <c r="AQ197" s="285">
        <f>SUM(AQ192:AQ196)</f>
        <v>7.096376334400988</v>
      </c>
      <c r="AR197" s="285">
        <f>SUM(AR192:AR196)</f>
        <v>6.7012999220159379</v>
      </c>
      <c r="AS197" s="285">
        <v>6.3062235096308878</v>
      </c>
      <c r="AT197" s="285">
        <f>SUM(AT192:AT196)</f>
        <v>5.93248108754252</v>
      </c>
      <c r="AU197" s="285">
        <v>5.5587386654541522</v>
      </c>
      <c r="AV197" s="285">
        <f>SUM(AV192:AV196)</f>
        <v>5.2154364937738809</v>
      </c>
      <c r="AW197" s="285">
        <f>SUM(AW192:AW196)</f>
        <v>4.8721343220936095</v>
      </c>
      <c r="AX197" s="285">
        <v>4.5288321504133382</v>
      </c>
      <c r="AY197" s="285">
        <f>SUM(AY192:AY196)</f>
        <v>4.2134176378347084</v>
      </c>
      <c r="AZ197" s="285">
        <v>3.8980031252560785</v>
      </c>
      <c r="BA197" s="285">
        <f t="shared" si="185"/>
        <v>3.5806139367111256</v>
      </c>
      <c r="BB197" s="285">
        <f t="shared" si="186"/>
        <v>3.2632247481661727</v>
      </c>
      <c r="BC197" s="285">
        <f t="shared" si="187"/>
        <v>2.9458355596212193</v>
      </c>
      <c r="BD197" s="285">
        <f t="shared" si="188"/>
        <v>2.6284463710762664</v>
      </c>
      <c r="BE197" s="285">
        <v>2.3110571825313135</v>
      </c>
      <c r="BF197" s="285">
        <f t="shared" si="189"/>
        <v>1.9589228903698608</v>
      </c>
      <c r="BG197" s="285">
        <f t="shared" si="190"/>
        <v>1.606788598208408</v>
      </c>
      <c r="BH197" s="285">
        <f t="shared" si="191"/>
        <v>1.2546543060469555</v>
      </c>
      <c r="BI197" s="285">
        <f t="shared" si="192"/>
        <v>0.90252001388550274</v>
      </c>
      <c r="BJ197" s="285">
        <v>0.55038572172404998</v>
      </c>
    </row>
    <row r="198" spans="1:62">
      <c r="A198" s="119" t="s">
        <v>323</v>
      </c>
      <c r="B198" s="121">
        <v>125.4364779089275</v>
      </c>
      <c r="C198" s="121">
        <v>128.24902692334814</v>
      </c>
      <c r="D198" s="121">
        <v>132.41077348195648</v>
      </c>
      <c r="E198" s="120">
        <v>132.77075058259808</v>
      </c>
      <c r="F198" s="120">
        <v>133.5085344807068</v>
      </c>
      <c r="G198" s="120">
        <v>135.41041367819832</v>
      </c>
      <c r="H198" s="120">
        <v>137.16211688874179</v>
      </c>
      <c r="I198" s="120">
        <v>139.83716205401646</v>
      </c>
      <c r="J198" s="120">
        <v>142.19777685333455</v>
      </c>
      <c r="K198" s="120">
        <v>144.58090701327248</v>
      </c>
      <c r="L198" s="120">
        <v>144.60395419184294</v>
      </c>
      <c r="M198" s="120">
        <v>147.63563320952284</v>
      </c>
      <c r="N198" s="120">
        <v>148.58043067001552</v>
      </c>
      <c r="O198" s="120">
        <v>148.24121857861681</v>
      </c>
      <c r="P198" s="120">
        <v>148.41105163254139</v>
      </c>
      <c r="Q198" s="120">
        <v>145.77742202297284</v>
      </c>
      <c r="R198" s="120">
        <v>145.5696681337009</v>
      </c>
      <c r="S198" s="120">
        <v>144.28701487254909</v>
      </c>
      <c r="T198" s="120">
        <v>138.00365051550037</v>
      </c>
      <c r="U198" s="120">
        <v>137.51484102282313</v>
      </c>
      <c r="V198" s="120">
        <v>138.547155455416</v>
      </c>
      <c r="W198" s="120">
        <v>139.81307524138111</v>
      </c>
      <c r="X198" s="120">
        <v>138.34091279416805</v>
      </c>
      <c r="Y198" s="120">
        <v>137.92011406100485</v>
      </c>
      <c r="Z198" s="120">
        <v>137.45636829503363</v>
      </c>
      <c r="AA198" s="120">
        <v>138.85833646876989</v>
      </c>
      <c r="AB198" s="120">
        <v>139.24751887409056</v>
      </c>
      <c r="AC198" s="120">
        <v>139.15729884207528</v>
      </c>
      <c r="AD198" s="120">
        <v>136.30085332260725</v>
      </c>
      <c r="AE198" s="120">
        <v>135.04329700549295</v>
      </c>
      <c r="AF198" s="120">
        <v>114.07307986680733</v>
      </c>
      <c r="AG198" s="120">
        <v>128.2195492559683</v>
      </c>
      <c r="AH198" s="120">
        <v>132.42545997859983</v>
      </c>
      <c r="AI198" s="286">
        <v>126.8942612137112</v>
      </c>
      <c r="AJ198" s="286">
        <v>125.35019040656164</v>
      </c>
      <c r="AK198" s="286">
        <v>122.90893028907092</v>
      </c>
      <c r="AL198" s="286">
        <v>118.84174465398623</v>
      </c>
      <c r="AM198" s="286">
        <f>+AM191+AM197</f>
        <v>111.17818447863252</v>
      </c>
      <c r="AN198" s="286">
        <v>103.51462430327881</v>
      </c>
      <c r="AO198" s="286">
        <f>+AO191+AO197</f>
        <v>97.336588739745451</v>
      </c>
      <c r="AP198" s="286">
        <v>92.227516646303286</v>
      </c>
      <c r="AQ198" s="286">
        <f>+AQ191+AQ197</f>
        <v>92.455048580873836</v>
      </c>
      <c r="AR198" s="286">
        <f>+AR191+AR197</f>
        <v>86.203485717748549</v>
      </c>
      <c r="AS198" s="286">
        <v>73.242483245068016</v>
      </c>
      <c r="AT198" s="286">
        <f>+AT191+AT197</f>
        <v>73.76656865727756</v>
      </c>
      <c r="AU198" s="286">
        <v>60.681617161393461</v>
      </c>
      <c r="AV198" s="286">
        <f>+AV191+AV197</f>
        <v>67.881213754346362</v>
      </c>
      <c r="AW198" s="286">
        <f>+AW191+AW197</f>
        <v>61.683177136771981</v>
      </c>
      <c r="AX198" s="286">
        <v>42.052317283805621</v>
      </c>
      <c r="AY198" s="286">
        <f>+AY191+AY197</f>
        <v>49.334959653938391</v>
      </c>
      <c r="AZ198" s="286">
        <v>29.696793742870533</v>
      </c>
      <c r="BA198" s="286">
        <f t="shared" si="185"/>
        <v>25.443404782036882</v>
      </c>
      <c r="BB198" s="286">
        <f t="shared" si="186"/>
        <v>21.190015821203232</v>
      </c>
      <c r="BC198" s="286">
        <f t="shared" si="187"/>
        <v>16.936626860369586</v>
      </c>
      <c r="BD198" s="286">
        <f t="shared" si="188"/>
        <v>12.683237899535936</v>
      </c>
      <c r="BE198" s="286">
        <v>8.4298489387022872</v>
      </c>
      <c r="BF198" s="286">
        <f t="shared" si="189"/>
        <v>6.8686162003180407</v>
      </c>
      <c r="BG198" s="286">
        <f t="shared" si="190"/>
        <v>5.307383461933795</v>
      </c>
      <c r="BH198" s="286">
        <f t="shared" si="191"/>
        <v>3.7461507235495493</v>
      </c>
      <c r="BI198" s="286">
        <f t="shared" si="192"/>
        <v>2.1849179851653027</v>
      </c>
      <c r="BJ198" s="286">
        <v>0.6236852467810573</v>
      </c>
    </row>
    <row r="199" spans="1:62">
      <c r="A199" s="94"/>
      <c r="B199" s="122"/>
      <c r="C199" s="122"/>
      <c r="D199" s="122"/>
      <c r="E199" s="122"/>
      <c r="F199" s="122"/>
      <c r="G199" s="122"/>
      <c r="H199" s="122"/>
      <c r="I199" s="122"/>
      <c r="J199" s="122"/>
      <c r="K199" s="122"/>
      <c r="L199" s="122"/>
      <c r="M199" s="122"/>
      <c r="N199" s="122"/>
      <c r="O199" s="122"/>
      <c r="P199" s="122"/>
      <c r="Q199" s="122"/>
      <c r="R199" s="122"/>
      <c r="S199" s="122"/>
      <c r="T199" s="122"/>
      <c r="U199" s="122"/>
      <c r="V199" s="122"/>
      <c r="W199" s="140"/>
      <c r="X199" s="140"/>
      <c r="Y199" s="140"/>
      <c r="Z199" s="140"/>
      <c r="AA199" s="140"/>
      <c r="AB199" s="140"/>
      <c r="AC199" s="140"/>
      <c r="AD199" s="140"/>
      <c r="AE199" s="140"/>
      <c r="AF199" s="122"/>
      <c r="AG199" s="122"/>
      <c r="AH199" s="122"/>
    </row>
    <row r="200" spans="1:62">
      <c r="A200" s="123" t="s">
        <v>324</v>
      </c>
      <c r="B200" s="124">
        <v>8.6863288173855385E-2</v>
      </c>
      <c r="C200" s="124">
        <v>8.3088842413065744E-2</v>
      </c>
      <c r="D200" s="124">
        <v>9.2405503828624794E-2</v>
      </c>
      <c r="E200" s="124">
        <v>6.7941242522861281E-2</v>
      </c>
      <c r="F200" s="124">
        <v>7.5949134151493375E-2</v>
      </c>
      <c r="G200" s="124">
        <v>8.3091045062642713E-2</v>
      </c>
      <c r="H200" s="124">
        <v>7.811534852333113E-2</v>
      </c>
      <c r="I200" s="124">
        <v>7.5799059986364659E-2</v>
      </c>
      <c r="J200" s="124">
        <v>8.251177301610324E-2</v>
      </c>
      <c r="K200" s="124">
        <v>8.1242787131490621E-2</v>
      </c>
      <c r="L200" s="124">
        <v>9.2698765978919878E-2</v>
      </c>
      <c r="M200" s="124">
        <v>9.2407105219071625E-2</v>
      </c>
      <c r="N200" s="124">
        <v>8.9615575198129113E-2</v>
      </c>
      <c r="O200" s="124">
        <v>8.432781425964414E-2</v>
      </c>
      <c r="P200" s="124">
        <v>9.2354227664721247E-2</v>
      </c>
      <c r="Q200" s="124">
        <v>9.3954773377045817E-2</v>
      </c>
      <c r="R200" s="124">
        <v>9.6276916825023692E-2</v>
      </c>
      <c r="S200" s="124">
        <v>9.1970538100480753E-2</v>
      </c>
      <c r="T200" s="124">
        <v>8.7689694117229849E-2</v>
      </c>
      <c r="U200" s="124">
        <v>7.626630581136791E-2</v>
      </c>
      <c r="V200" s="124">
        <v>8.7732572137220077E-2</v>
      </c>
      <c r="W200" s="124">
        <v>7.9079208267806719E-2</v>
      </c>
      <c r="X200" s="124">
        <v>7.6660885621289782E-2</v>
      </c>
      <c r="Y200" s="124">
        <v>7.8563265920538861E-2</v>
      </c>
      <c r="Z200" s="124">
        <v>7.7604728548556337E-2</v>
      </c>
      <c r="AA200" s="124">
        <v>7.5246305667962782E-2</v>
      </c>
      <c r="AB200" s="124">
        <v>7.2774805910419099E-2</v>
      </c>
      <c r="AC200" s="124">
        <v>7.3820720502072779E-2</v>
      </c>
      <c r="AD200" s="124">
        <v>6.4714600393567814E-2</v>
      </c>
      <c r="AE200" s="124">
        <v>7.0821321743478605E-2</v>
      </c>
      <c r="AF200" s="124">
        <v>5.8461950500334897E-2</v>
      </c>
      <c r="AG200" s="124">
        <v>5.9058764084463138E-2</v>
      </c>
      <c r="AH200" s="124">
        <v>5.8119265248137132E-2</v>
      </c>
      <c r="AI200" s="277">
        <v>5.0359210043892204E-2</v>
      </c>
      <c r="AJ200" s="277">
        <v>5.5203243171319812E-2</v>
      </c>
      <c r="AK200" s="277">
        <v>5.4946872681684619E-2</v>
      </c>
      <c r="AL200" s="277">
        <v>5.8166224456621507E-2</v>
      </c>
      <c r="AM200" s="382">
        <f t="shared" ref="AM200:AM203" si="197">(AL200+AN200)/2</f>
        <v>6.349351051037902E-2</v>
      </c>
      <c r="AN200" s="277">
        <v>6.8820796564136547E-2</v>
      </c>
      <c r="AO200" s="277">
        <f>AN200+(AP200-AN200)/2</f>
        <v>7.328291185157737E-2</v>
      </c>
      <c r="AP200" s="277">
        <v>7.7745027139018208E-2</v>
      </c>
      <c r="AQ200" s="277">
        <f>AP200+(AS200-AP200)/3</f>
        <v>7.7267434776453384E-2</v>
      </c>
      <c r="AR200" s="277">
        <f>AP200+(AS200-AP200)*2/3</f>
        <v>7.6789842413888573E-2</v>
      </c>
      <c r="AS200" s="277">
        <v>7.6312250051323749E-2</v>
      </c>
      <c r="AT200" s="277">
        <f>AS200+(AU200-AS200)/2</f>
        <v>7.5834657688758925E-2</v>
      </c>
      <c r="AU200" s="277">
        <v>7.53570653261941E-2</v>
      </c>
      <c r="AV200" s="277">
        <f>AU200+(AX200-AU200)/3</f>
        <v>7.3470203438733506E-2</v>
      </c>
      <c r="AW200" s="277">
        <f>AU200+(AX200-AU200)*2/3</f>
        <v>7.1583341551272897E-2</v>
      </c>
      <c r="AX200" s="277">
        <v>6.9696479663812302E-2</v>
      </c>
      <c r="AY200" s="277">
        <f>AX200+(AZ200-AX200)/2</f>
        <v>6.7809617776351694E-2</v>
      </c>
      <c r="AZ200" s="277">
        <v>6.5922755888891071E-2</v>
      </c>
      <c r="BA200" s="277">
        <f>AZ200+(BE200-AZ200)*1/5</f>
        <v>6.0722500049099307E-2</v>
      </c>
      <c r="BB200" s="277">
        <f>AZ200+(BE200-AZ200)*2/5</f>
        <v>5.5522244209307542E-2</v>
      </c>
      <c r="BC200" s="277">
        <f>AZ200+(BE200-AZ200)*3/5</f>
        <v>5.0321988369515777E-2</v>
      </c>
      <c r="BD200" s="277">
        <f>AZ200+(BE200-AZ200)*4/5</f>
        <v>4.5121732529724012E-2</v>
      </c>
      <c r="BE200" s="277">
        <v>3.9921476689932248E-2</v>
      </c>
      <c r="BF200" s="277">
        <f>BE200+(BJ200-BE200)*1/5</f>
        <v>3.2221496677867584E-2</v>
      </c>
      <c r="BG200" s="277">
        <f>BE200+(BJ200-BE200)*2/5</f>
        <v>2.452151666580292E-2</v>
      </c>
      <c r="BH200" s="277">
        <f>BE200+(BJ200-BE200)*3/5</f>
        <v>1.6821536653738256E-2</v>
      </c>
      <c r="BI200" s="277">
        <f>BE200+(BJ200-BE200)*4/5</f>
        <v>9.1215566416735921E-3</v>
      </c>
      <c r="BJ200" s="277">
        <v>1.4215766296089287E-3</v>
      </c>
    </row>
    <row r="201" spans="1:62">
      <c r="A201" s="123" t="s">
        <v>325</v>
      </c>
      <c r="B201" s="124">
        <v>6.0523063434346867</v>
      </c>
      <c r="C201" s="124">
        <v>6.2852446638542956</v>
      </c>
      <c r="D201" s="124">
        <v>6.2387488984136388</v>
      </c>
      <c r="E201" s="124">
        <v>5.8972119450653295</v>
      </c>
      <c r="F201" s="124">
        <v>5.2143553940377929</v>
      </c>
      <c r="G201" s="124">
        <v>5.4093149173756991</v>
      </c>
      <c r="H201" s="124">
        <v>5.7529128827918665</v>
      </c>
      <c r="I201" s="124">
        <v>6.4812310941900071</v>
      </c>
      <c r="J201" s="124">
        <v>7.3964262997012433</v>
      </c>
      <c r="K201" s="124">
        <v>7.5478605311593823</v>
      </c>
      <c r="L201" s="124">
        <v>7.6006175693636679</v>
      </c>
      <c r="M201" s="124">
        <v>6.3204097517486044</v>
      </c>
      <c r="N201" s="124">
        <v>6.1340265704342452</v>
      </c>
      <c r="O201" s="124">
        <v>6.8069410059176656</v>
      </c>
      <c r="P201" s="124">
        <v>8.378701277203854</v>
      </c>
      <c r="Q201" s="124">
        <v>7.7910054586965671</v>
      </c>
      <c r="R201" s="124">
        <v>8.1919923141908999</v>
      </c>
      <c r="S201" s="124">
        <v>8.5175281952071771</v>
      </c>
      <c r="T201" s="124">
        <v>7.1384661353158148</v>
      </c>
      <c r="U201" s="124">
        <v>7.2278611440248017</v>
      </c>
      <c r="V201" s="124">
        <v>6.9595758330091471</v>
      </c>
      <c r="W201" s="124">
        <v>7.5023604033220836</v>
      </c>
      <c r="X201" s="124">
        <v>7.0227791821212264</v>
      </c>
      <c r="Y201" s="124">
        <v>6.3746809394928805</v>
      </c>
      <c r="Z201" s="124">
        <v>5.3904349007347081</v>
      </c>
      <c r="AA201" s="124">
        <v>4.7019790872061247</v>
      </c>
      <c r="AB201" s="124">
        <v>4.3513794046646952</v>
      </c>
      <c r="AC201" s="124">
        <v>4.8353262560186892</v>
      </c>
      <c r="AD201" s="124">
        <v>5.4878234897451161</v>
      </c>
      <c r="AE201" s="124">
        <v>4.8441695100140079</v>
      </c>
      <c r="AF201" s="124">
        <v>2.5863144826350895</v>
      </c>
      <c r="AG201" s="124">
        <v>2.9553893480285227</v>
      </c>
      <c r="AH201" s="124">
        <v>3.8067922092706969</v>
      </c>
      <c r="AI201" s="277">
        <v>3.7270643595168074</v>
      </c>
      <c r="AJ201" s="277">
        <v>4.0923633830581094</v>
      </c>
      <c r="AK201" s="277">
        <v>3.1649402364797568</v>
      </c>
      <c r="AL201" s="277">
        <v>3.0856214638714996</v>
      </c>
      <c r="AM201" s="382">
        <f t="shared" si="197"/>
        <v>2.916146514896373</v>
      </c>
      <c r="AN201" s="277">
        <v>2.7466715659212459</v>
      </c>
      <c r="AO201" s="277">
        <f>AN201+(AP201-AN201)/2</f>
        <v>2.4663901261813956</v>
      </c>
      <c r="AP201" s="277">
        <v>2.1861086864415449</v>
      </c>
      <c r="AQ201" s="277">
        <f>AP201+(AS201-AP201)/3</f>
        <v>2.0751077162632043</v>
      </c>
      <c r="AR201" s="277">
        <f>AP201+(AS201-AP201)*2/3</f>
        <v>1.9641067460848636</v>
      </c>
      <c r="AS201" s="277">
        <v>1.8531057759065228</v>
      </c>
      <c r="AT201" s="277">
        <f>AS201+(AU201-AS201)/2</f>
        <v>1.7394252262937833</v>
      </c>
      <c r="AU201" s="277">
        <v>1.6257446766810437</v>
      </c>
      <c r="AV201" s="277">
        <f>AU201+(AX201-AU201)/3</f>
        <v>1.4855607352432874</v>
      </c>
      <c r="AW201" s="277">
        <f>AU201+(AX201-AU201)*2/3</f>
        <v>1.3453767938055308</v>
      </c>
      <c r="AX201" s="277">
        <v>1.2051928523677744</v>
      </c>
      <c r="AY201" s="277">
        <f>AX201+(AZ201-AX201)/2</f>
        <v>1.0644816614232722</v>
      </c>
      <c r="AZ201" s="277">
        <v>0.92377047047876981</v>
      </c>
      <c r="BA201" s="277">
        <f>AZ201+(BE201-AZ201)*1/5</f>
        <v>0.84867889843399003</v>
      </c>
      <c r="BB201" s="277">
        <f>AZ201+(BE201-AZ201)*2/5</f>
        <v>0.77358732638921035</v>
      </c>
      <c r="BC201" s="277">
        <f>AZ201+(BE201-AZ201)*3/5</f>
        <v>0.69849575434443056</v>
      </c>
      <c r="BD201" s="277">
        <f>AZ201+(BE201-AZ201)*4/5</f>
        <v>0.62340418229965078</v>
      </c>
      <c r="BE201" s="277">
        <v>0.54831261025487099</v>
      </c>
      <c r="BF201" s="277">
        <f>BE201+(BJ201-BE201)*1/5</f>
        <v>0.48050932561372806</v>
      </c>
      <c r="BG201" s="277">
        <f>BE201+(BJ201-BE201)*2/5</f>
        <v>0.41270604097258518</v>
      </c>
      <c r="BH201" s="277">
        <f>BE201+(BJ201-BE201)*3/5</f>
        <v>0.34490275633144224</v>
      </c>
      <c r="BI201" s="277">
        <f>BE201+(BJ201-BE201)*4/5</f>
        <v>0.27709947169029936</v>
      </c>
      <c r="BJ201" s="277">
        <v>0.20929618704915642</v>
      </c>
    </row>
    <row r="202" spans="1:62">
      <c r="A202" s="123" t="s">
        <v>326</v>
      </c>
      <c r="B202" s="124">
        <v>9.4263430225234259</v>
      </c>
      <c r="C202" s="124">
        <v>9.0742985298718626</v>
      </c>
      <c r="D202" s="124">
        <v>10.497228452126405</v>
      </c>
      <c r="E202" s="124">
        <v>10.796498528797827</v>
      </c>
      <c r="F202" s="124">
        <v>11.190873847365456</v>
      </c>
      <c r="G202" s="124">
        <v>11.285204015668858</v>
      </c>
      <c r="H202" s="124">
        <v>12.018206284017174</v>
      </c>
      <c r="I202" s="124">
        <v>12.34532396064732</v>
      </c>
      <c r="J202" s="124">
        <v>13.075572920641989</v>
      </c>
      <c r="K202" s="124">
        <v>14.395022730927323</v>
      </c>
      <c r="L202" s="124">
        <v>14.875016980807827</v>
      </c>
      <c r="M202" s="124">
        <v>14.91949562182478</v>
      </c>
      <c r="N202" s="124">
        <v>14.974497063172461</v>
      </c>
      <c r="O202" s="124">
        <v>15.075985581771887</v>
      </c>
      <c r="P202" s="124">
        <v>16.069481596056448</v>
      </c>
      <c r="Q202" s="124">
        <v>16.273689239202003</v>
      </c>
      <c r="R202" s="124">
        <v>17.105682689282094</v>
      </c>
      <c r="S202" s="124">
        <v>17.714131017614527</v>
      </c>
      <c r="T202" s="124">
        <v>17.898195119214392</v>
      </c>
      <c r="U202" s="124">
        <v>16.430051840430277</v>
      </c>
      <c r="V202" s="124">
        <v>16.485516905434253</v>
      </c>
      <c r="W202" s="124">
        <v>17.159511930622909</v>
      </c>
      <c r="X202" s="124">
        <v>16.731334095270558</v>
      </c>
      <c r="Y202" s="124">
        <v>16.623552791236367</v>
      </c>
      <c r="Z202" s="124">
        <v>16.817636479774425</v>
      </c>
      <c r="AA202" s="124">
        <v>17.778028372025137</v>
      </c>
      <c r="AB202" s="124">
        <v>17.480202507829908</v>
      </c>
      <c r="AC202" s="124">
        <v>17.762992766815703</v>
      </c>
      <c r="AD202" s="124">
        <v>18.352847480180944</v>
      </c>
      <c r="AE202" s="124">
        <v>19.220431347809868</v>
      </c>
      <c r="AF202" s="124">
        <v>8.2470836590225911</v>
      </c>
      <c r="AG202" s="124">
        <v>9.036909238205606</v>
      </c>
      <c r="AH202" s="124">
        <v>14.382188503752587</v>
      </c>
      <c r="AI202" s="277">
        <v>16.696745035587199</v>
      </c>
      <c r="AJ202" s="277">
        <v>18.107248408721237</v>
      </c>
      <c r="AK202" s="277">
        <v>19.43914854480515</v>
      </c>
      <c r="AL202" s="277">
        <v>19.530635216359624</v>
      </c>
      <c r="AM202" s="382">
        <f t="shared" si="197"/>
        <v>19.243415920703264</v>
      </c>
      <c r="AN202" s="277">
        <v>18.9561966250469</v>
      </c>
      <c r="AO202" s="277">
        <f>AN202+(AP202-AN202)/2</f>
        <v>18.766723854628445</v>
      </c>
      <c r="AP202" s="277">
        <v>18.577251084209987</v>
      </c>
      <c r="AQ202" s="277">
        <f>AP202+(AS202-AP202)/3</f>
        <v>17.808124641667746</v>
      </c>
      <c r="AR202" s="277">
        <f>AP202+(AS202-AP202)*2/3</f>
        <v>17.038998199125508</v>
      </c>
      <c r="AS202" s="277">
        <v>16.269871756583267</v>
      </c>
      <c r="AT202" s="277">
        <f>AS202+(AU202-AS202)/2</f>
        <v>15.500831326953339</v>
      </c>
      <c r="AU202" s="277">
        <v>14.73179089732341</v>
      </c>
      <c r="AV202" s="277">
        <f>AU202+(AX202-AU202)/3</f>
        <v>13.990465200506454</v>
      </c>
      <c r="AW202" s="277">
        <f>AU202+(AX202-AU202)*2/3</f>
        <v>13.249139503689499</v>
      </c>
      <c r="AX202" s="277">
        <v>12.507813806872543</v>
      </c>
      <c r="AY202" s="277">
        <f>AX202+(AZ202-AX202)/2</f>
        <v>11.766492354476268</v>
      </c>
      <c r="AZ202" s="277">
        <v>11.025170902079994</v>
      </c>
      <c r="BA202" s="277">
        <f>AZ202+(BE202-AZ202)*1/5</f>
        <v>10.317636956040301</v>
      </c>
      <c r="BB202" s="277">
        <f>AZ202+(BE202-AZ202)*2/5</f>
        <v>9.6101030100006088</v>
      </c>
      <c r="BC202" s="277">
        <f>AZ202+(BE202-AZ202)*3/5</f>
        <v>8.9025690639609145</v>
      </c>
      <c r="BD202" s="277">
        <f>AZ202+(BE202-AZ202)*4/5</f>
        <v>8.195035117921222</v>
      </c>
      <c r="BE202" s="277">
        <v>7.4875011718815294</v>
      </c>
      <c r="BF202" s="277">
        <f>BE202+(BJ202-BE202)*1/5</f>
        <v>6.4622188175830573</v>
      </c>
      <c r="BG202" s="277">
        <f>BE202+(BJ202-BE202)*2/5</f>
        <v>5.4369364632845851</v>
      </c>
      <c r="BH202" s="277">
        <f>BE202+(BJ202-BE202)*3/5</f>
        <v>4.4116541089861121</v>
      </c>
      <c r="BI202" s="277">
        <f>BE202+(BJ202-BE202)*4/5</f>
        <v>3.38637175468764</v>
      </c>
      <c r="BJ202" s="277">
        <v>2.3610894003891678</v>
      </c>
    </row>
    <row r="203" spans="1:62">
      <c r="A203" s="125" t="s">
        <v>327</v>
      </c>
      <c r="B203" s="126">
        <v>6.6780000000000019E-4</v>
      </c>
      <c r="C203" s="126">
        <v>1.1412899999999999E-3</v>
      </c>
      <c r="D203" s="126">
        <v>9.756000000000004E-4</v>
      </c>
      <c r="E203" s="126">
        <v>9.3739499999999994E-4</v>
      </c>
      <c r="F203" s="126">
        <v>8.6202000000000013E-4</v>
      </c>
      <c r="G203" s="126">
        <v>1.3300650000000003E-3</v>
      </c>
      <c r="H203" s="126">
        <v>1.4490899999999994E-3</v>
      </c>
      <c r="I203" s="126">
        <v>1.7677349999999999E-3</v>
      </c>
      <c r="J203" s="126">
        <v>1.5145650000000003E-3</v>
      </c>
      <c r="K203" s="126">
        <v>1.3842000000000001E-3</v>
      </c>
      <c r="L203" s="126">
        <v>1.9543949999999994E-3</v>
      </c>
      <c r="M203" s="126">
        <v>1.3231799999999998E-3</v>
      </c>
      <c r="N203" s="126">
        <v>1.8962999999999999E-3</v>
      </c>
      <c r="O203" s="126">
        <v>8.123850000000001E-4</v>
      </c>
      <c r="P203" s="126">
        <v>6.4178999999999983E-4</v>
      </c>
      <c r="Q203" s="126">
        <v>1.0696499999999999E-3</v>
      </c>
      <c r="R203" s="126">
        <v>1.0696499999999999E-3</v>
      </c>
      <c r="S203" s="126">
        <v>1.2835799999999999E-3</v>
      </c>
      <c r="T203" s="126">
        <v>1.2835799999999999E-3</v>
      </c>
      <c r="U203" s="126">
        <v>1.4975099999999996E-3</v>
      </c>
      <c r="V203" s="126">
        <v>1.2835799999999999E-3</v>
      </c>
      <c r="W203" s="126">
        <v>1.2164400000000001E-3</v>
      </c>
      <c r="X203" s="126">
        <v>1.6994474999999999E-3</v>
      </c>
      <c r="Y203" s="126">
        <v>1.0576575E-3</v>
      </c>
      <c r="Z203" s="126">
        <v>1.6323075000000003E-3</v>
      </c>
      <c r="AA203" s="126">
        <v>1.6692075E-3</v>
      </c>
      <c r="AB203" s="126">
        <v>1.7545950000000005E-3</v>
      </c>
      <c r="AC203" s="126">
        <v>1.5958125000000002E-3</v>
      </c>
      <c r="AD203" s="126">
        <v>1.6140600000000001E-3</v>
      </c>
      <c r="AE203" s="126">
        <v>1.1310525E-3</v>
      </c>
      <c r="AF203" s="126">
        <v>8.437274999999998E-4</v>
      </c>
      <c r="AG203" s="126">
        <v>8.8062749999999988E-4</v>
      </c>
      <c r="AH203" s="126">
        <v>7.7033249999999994E-4</v>
      </c>
      <c r="AI203" s="277">
        <v>4.8300749999999993E-4</v>
      </c>
      <c r="AJ203" s="277">
        <v>3.0415499999999996E-4</v>
      </c>
      <c r="AK203" s="277">
        <v>3.0415499999999996E-4</v>
      </c>
      <c r="AL203" s="277">
        <v>2.4406255103119536E-4</v>
      </c>
      <c r="AM203" s="382">
        <f t="shared" si="197"/>
        <v>1.2203127551559768E-4</v>
      </c>
      <c r="AN203" s="277">
        <v>0</v>
      </c>
      <c r="AO203" s="277">
        <f>AN203+(AP203-AN203)/2</f>
        <v>0</v>
      </c>
      <c r="AP203" s="277">
        <v>0</v>
      </c>
      <c r="AQ203" s="277">
        <f>AP203+(AS203-AP203)/3</f>
        <v>0</v>
      </c>
      <c r="AR203" s="277">
        <f>AP203+(AS203-AP203)*2/3</f>
        <v>0</v>
      </c>
      <c r="AS203" s="277">
        <v>0</v>
      </c>
      <c r="AT203" s="277">
        <f>AS203+(AU203-AS203)/2</f>
        <v>0</v>
      </c>
      <c r="AU203" s="277">
        <v>0</v>
      </c>
      <c r="AV203" s="277">
        <f>AU203+(AX203-AU203)/3</f>
        <v>0</v>
      </c>
      <c r="AW203" s="277">
        <f>AU203+(AX203-AU203)*2/3</f>
        <v>0</v>
      </c>
      <c r="AX203" s="277">
        <v>0</v>
      </c>
      <c r="AY203" s="277">
        <f>AX203+(AZ203-AX203)/2</f>
        <v>0</v>
      </c>
      <c r="AZ203" s="277">
        <v>0</v>
      </c>
      <c r="BA203" s="277">
        <f>AZ203+(BE203-AZ203)*1/5</f>
        <v>0</v>
      </c>
      <c r="BB203" s="277">
        <f>AZ203+(BE203-AZ203)*2/5</f>
        <v>0</v>
      </c>
      <c r="BC203" s="277">
        <f>AZ203+(BE203-AZ203)*3/5</f>
        <v>0</v>
      </c>
      <c r="BD203" s="277">
        <f>AZ203+(BE203-AZ203)*4/5</f>
        <v>0</v>
      </c>
      <c r="BE203" s="277">
        <v>0</v>
      </c>
      <c r="BF203" s="277">
        <f>BE203+(BJ203-BE203)*1/5</f>
        <v>0</v>
      </c>
      <c r="BG203" s="277">
        <f>BE203+(BJ203-BE203)*2/5</f>
        <v>0</v>
      </c>
      <c r="BH203" s="277">
        <f>BE203+(BJ203-BE203)*3/5</f>
        <v>0</v>
      </c>
      <c r="BI203" s="277">
        <f>BE203+(BJ203-BE203)*4/5</f>
        <v>0</v>
      </c>
      <c r="BJ203" s="277">
        <v>0</v>
      </c>
    </row>
    <row r="204" spans="1:62">
      <c r="A204" s="127" t="s">
        <v>328</v>
      </c>
      <c r="B204" s="129">
        <v>15.566180454131969</v>
      </c>
      <c r="C204" s="129">
        <v>15.443773326139222</v>
      </c>
      <c r="D204" s="129">
        <v>16.82935845436867</v>
      </c>
      <c r="E204" s="129">
        <v>16.762589111386021</v>
      </c>
      <c r="F204" s="128">
        <v>16.482040395554741</v>
      </c>
      <c r="G204" s="128">
        <v>16.778940043107202</v>
      </c>
      <c r="H204" s="128">
        <v>17.850683605332371</v>
      </c>
      <c r="I204" s="128">
        <v>18.904121849823692</v>
      </c>
      <c r="J204" s="128">
        <v>20.556025558359337</v>
      </c>
      <c r="K204" s="128">
        <v>22.025510249218197</v>
      </c>
      <c r="L204" s="128">
        <v>22.570287711150414</v>
      </c>
      <c r="M204" s="128">
        <v>21.333635658792456</v>
      </c>
      <c r="N204" s="128">
        <v>21.200035508804834</v>
      </c>
      <c r="O204" s="128">
        <v>21.968066786949198</v>
      </c>
      <c r="P204" s="128">
        <v>24.541178890925021</v>
      </c>
      <c r="Q204" s="128">
        <v>24.159719121275618</v>
      </c>
      <c r="R204" s="128">
        <v>25.39502157029802</v>
      </c>
      <c r="S204" s="128">
        <v>26.324913330922186</v>
      </c>
      <c r="T204" s="128">
        <v>25.125634528647435</v>
      </c>
      <c r="U204" s="128">
        <v>23.735676800266447</v>
      </c>
      <c r="V204" s="128">
        <v>23.534108890580619</v>
      </c>
      <c r="W204" s="128">
        <v>24.742167982212798</v>
      </c>
      <c r="X204" s="128">
        <v>23.832473610513073</v>
      </c>
      <c r="Y204" s="128">
        <v>23.077854654149785</v>
      </c>
      <c r="Z204" s="128">
        <v>22.287308416557689</v>
      </c>
      <c r="AA204" s="128">
        <v>22.556922972399224</v>
      </c>
      <c r="AB204" s="128">
        <v>21.906111313405024</v>
      </c>
      <c r="AC204" s="128">
        <v>22.673735555836465</v>
      </c>
      <c r="AD204" s="128">
        <v>23.906999630319632</v>
      </c>
      <c r="AE204" s="128">
        <v>24.136553232067353</v>
      </c>
      <c r="AF204" s="128">
        <v>10.892703819658015</v>
      </c>
      <c r="AG204" s="128">
        <v>12.052237977818592</v>
      </c>
      <c r="AH204" s="128">
        <v>18.247870310771422</v>
      </c>
      <c r="AI204" s="287">
        <v>20.4746516126479</v>
      </c>
      <c r="AJ204" s="287">
        <v>22.255119189950666</v>
      </c>
      <c r="AK204" s="287">
        <v>22.659339808966589</v>
      </c>
      <c r="AL204" s="287">
        <v>22.674666967238775</v>
      </c>
      <c r="AM204" s="287">
        <f>SUM(AM200:AM203)</f>
        <v>22.223177977385532</v>
      </c>
      <c r="AN204" s="287">
        <v>21.771688987532283</v>
      </c>
      <c r="AO204" s="287">
        <f>SUM(AO200:AO203)</f>
        <v>21.306396892661418</v>
      </c>
      <c r="AP204" s="287">
        <v>20.84110479779055</v>
      </c>
      <c r="AQ204" s="287">
        <f>SUM(AQ200:AQ203)</f>
        <v>19.960499792707402</v>
      </c>
      <c r="AR204" s="287">
        <f>SUM(AR200:AR203)</f>
        <v>19.079894787624262</v>
      </c>
      <c r="AS204" s="287">
        <v>18.199289782541115</v>
      </c>
      <c r="AT204" s="287">
        <f>SUM(AT200:AT203)</f>
        <v>17.31609121093588</v>
      </c>
      <c r="AU204" s="287">
        <v>16.43289263933065</v>
      </c>
      <c r="AV204" s="287">
        <f>SUM(AV200:AV203)</f>
        <v>15.549496139188475</v>
      </c>
      <c r="AW204" s="287">
        <f>SUM(AW200:AW203)</f>
        <v>14.666099639046303</v>
      </c>
      <c r="AX204" s="287">
        <v>13.782703138904129</v>
      </c>
      <c r="AY204" s="287">
        <f>SUM(AY200:AY203)</f>
        <v>12.898783633675892</v>
      </c>
      <c r="AZ204" s="287">
        <v>12.014864128447655</v>
      </c>
      <c r="BA204" s="287">
        <f>AZ204+(BE204-AZ204)*1/5</f>
        <v>11.22703835452339</v>
      </c>
      <c r="BB204" s="287">
        <f>AZ204+(BE204-AZ204)*2/5</f>
        <v>10.439212580599126</v>
      </c>
      <c r="BC204" s="287">
        <f>AZ204+(BE204-AZ204)*3/5</f>
        <v>9.6513868066748607</v>
      </c>
      <c r="BD204" s="287">
        <f>AZ204+(BE204-AZ204)*4/5</f>
        <v>8.8635610327505976</v>
      </c>
      <c r="BE204" s="287">
        <v>8.0757352588263327</v>
      </c>
      <c r="BF204" s="287">
        <f>BE204+(BJ204-BE204)*1/5</f>
        <v>6.9749496398746533</v>
      </c>
      <c r="BG204" s="287">
        <f>BE204+(BJ204-BE204)*2/5</f>
        <v>5.8741640209229731</v>
      </c>
      <c r="BH204" s="287">
        <f>BE204+(BJ204-BE204)*3/5</f>
        <v>4.7733784019712928</v>
      </c>
      <c r="BI204" s="287">
        <f>BE204+(BJ204-BE204)*4/5</f>
        <v>3.6725927830196134</v>
      </c>
      <c r="BJ204" s="287">
        <v>2.5718071640679332</v>
      </c>
    </row>
    <row r="205" spans="1:62" ht="15">
      <c r="A205" s="501"/>
      <c r="B205" s="501"/>
      <c r="C205" s="501"/>
      <c r="D205" s="501"/>
      <c r="E205" s="501"/>
      <c r="F205" s="501"/>
      <c r="G205" s="501"/>
      <c r="H205" s="501"/>
      <c r="I205" s="501"/>
      <c r="J205" s="501"/>
      <c r="K205" s="501"/>
      <c r="L205" s="501"/>
      <c r="M205" s="501"/>
      <c r="N205" s="501"/>
      <c r="O205" s="501"/>
      <c r="P205" s="501"/>
      <c r="Q205" s="501"/>
      <c r="R205" s="501"/>
      <c r="S205" s="501"/>
      <c r="T205" s="501"/>
      <c r="U205" s="501"/>
      <c r="V205" s="501"/>
      <c r="W205" s="501"/>
      <c r="X205" s="501"/>
      <c r="Y205" s="501"/>
      <c r="Z205" s="501"/>
      <c r="AA205" s="501"/>
      <c r="AB205" s="501"/>
      <c r="AC205" s="61"/>
      <c r="AD205" s="61"/>
      <c r="AE205" s="61"/>
      <c r="AF205" s="61"/>
      <c r="AG205" s="61"/>
      <c r="AH205" s="61"/>
    </row>
    <row r="206" spans="1:62">
      <c r="A206" s="130" t="s">
        <v>329</v>
      </c>
      <c r="B206" s="131"/>
      <c r="C206" s="131"/>
      <c r="D206" s="131"/>
      <c r="E206" s="131"/>
      <c r="F206" s="131"/>
      <c r="G206" s="131"/>
      <c r="H206" s="131"/>
      <c r="I206" s="131"/>
      <c r="J206" s="131"/>
      <c r="K206" s="131"/>
      <c r="L206" s="131"/>
      <c r="M206" s="131"/>
      <c r="N206" s="131"/>
      <c r="O206" s="131"/>
      <c r="P206" s="131"/>
      <c r="Q206" s="131"/>
      <c r="R206" s="131"/>
      <c r="S206" s="131"/>
      <c r="T206" s="131"/>
      <c r="U206" s="131"/>
      <c r="V206" s="131"/>
      <c r="W206" s="131"/>
      <c r="X206" s="131"/>
      <c r="Y206" s="131"/>
      <c r="Z206" s="131"/>
      <c r="AA206" s="131"/>
      <c r="AB206" s="131"/>
      <c r="AC206" s="131"/>
      <c r="AD206" s="131"/>
      <c r="AE206" s="131"/>
      <c r="AF206" s="131"/>
      <c r="AG206" s="131"/>
      <c r="AH206" s="131"/>
      <c r="AI206" s="131"/>
      <c r="AJ206" s="131"/>
      <c r="AK206" s="505" t="s">
        <v>262</v>
      </c>
      <c r="AL206" s="505"/>
      <c r="AM206" s="505"/>
      <c r="AN206" s="505"/>
      <c r="AO206" s="505"/>
      <c r="AP206" s="505"/>
      <c r="AQ206" s="505"/>
      <c r="AR206" s="505"/>
      <c r="AS206" s="505"/>
      <c r="AT206" s="505"/>
      <c r="AU206" s="505"/>
      <c r="AV206" s="505"/>
      <c r="AW206" s="505"/>
      <c r="AX206" s="505"/>
      <c r="AY206" s="505"/>
      <c r="AZ206" s="505"/>
      <c r="BA206" s="505"/>
      <c r="BB206" s="505"/>
      <c r="BC206" s="505"/>
      <c r="BD206" s="505"/>
      <c r="BE206" s="505"/>
      <c r="BF206" s="505"/>
      <c r="BG206" s="505"/>
      <c r="BH206" s="505"/>
      <c r="BI206" s="505"/>
      <c r="BJ206" s="505"/>
    </row>
    <row r="207" spans="1:62" ht="26.4">
      <c r="A207" s="66" t="s">
        <v>263</v>
      </c>
      <c r="B207" s="67">
        <v>1990</v>
      </c>
      <c r="C207" s="67">
        <v>1991</v>
      </c>
      <c r="D207" s="67">
        <v>1992</v>
      </c>
      <c r="E207" s="67">
        <v>1993</v>
      </c>
      <c r="F207" s="67">
        <v>1994</v>
      </c>
      <c r="G207" s="67">
        <v>1995</v>
      </c>
      <c r="H207" s="67">
        <v>1996</v>
      </c>
      <c r="I207" s="67">
        <v>1997</v>
      </c>
      <c r="J207" s="67">
        <v>1998</v>
      </c>
      <c r="K207" s="67">
        <v>1999</v>
      </c>
      <c r="L207" s="67">
        <v>2000</v>
      </c>
      <c r="M207" s="67">
        <v>2001</v>
      </c>
      <c r="N207" s="67">
        <v>2002</v>
      </c>
      <c r="O207" s="67">
        <v>2003</v>
      </c>
      <c r="P207" s="67">
        <v>2004</v>
      </c>
      <c r="Q207" s="67">
        <v>2005</v>
      </c>
      <c r="R207" s="67">
        <v>2006</v>
      </c>
      <c r="S207" s="67">
        <v>2007</v>
      </c>
      <c r="T207" s="67">
        <v>2008</v>
      </c>
      <c r="U207" s="67">
        <v>2009</v>
      </c>
      <c r="V207" s="67">
        <v>2010</v>
      </c>
      <c r="W207" s="67">
        <v>2011</v>
      </c>
      <c r="X207" s="67">
        <v>2012</v>
      </c>
      <c r="Y207" s="67">
        <v>2013</v>
      </c>
      <c r="Z207" s="67">
        <v>2014</v>
      </c>
      <c r="AA207" s="67">
        <v>2015</v>
      </c>
      <c r="AB207" s="67">
        <v>2016</v>
      </c>
      <c r="AC207" s="67">
        <v>2017</v>
      </c>
      <c r="AD207" s="67">
        <v>2018</v>
      </c>
      <c r="AE207" s="67">
        <v>2019</v>
      </c>
      <c r="AF207" s="68">
        <v>2020</v>
      </c>
      <c r="AG207" s="68">
        <v>2021</v>
      </c>
      <c r="AH207" s="68">
        <v>2022</v>
      </c>
      <c r="AI207" s="67">
        <v>2023</v>
      </c>
      <c r="AJ207" s="67">
        <v>2024</v>
      </c>
      <c r="AK207" s="67">
        <v>2025</v>
      </c>
      <c r="AL207" s="67">
        <v>2026</v>
      </c>
      <c r="AM207" s="142">
        <v>2027</v>
      </c>
      <c r="AN207" s="67">
        <v>2028</v>
      </c>
      <c r="AO207" s="142">
        <v>2029</v>
      </c>
      <c r="AP207" s="67">
        <v>2030</v>
      </c>
      <c r="AQ207" s="142">
        <v>2031</v>
      </c>
      <c r="AR207" s="142">
        <v>2032</v>
      </c>
      <c r="AS207" s="67">
        <v>2033</v>
      </c>
      <c r="AT207" s="142">
        <v>2034</v>
      </c>
      <c r="AU207" s="67">
        <v>2035</v>
      </c>
      <c r="AV207" s="142">
        <v>2036</v>
      </c>
      <c r="AW207" s="142">
        <v>2037</v>
      </c>
      <c r="AX207" s="67">
        <v>2038</v>
      </c>
      <c r="AY207" s="142">
        <v>2039</v>
      </c>
      <c r="AZ207" s="67">
        <v>2040</v>
      </c>
      <c r="BA207" s="142">
        <v>2041</v>
      </c>
      <c r="BB207" s="142">
        <v>2042</v>
      </c>
      <c r="BC207" s="142">
        <v>2043</v>
      </c>
      <c r="BD207" s="142">
        <v>2044</v>
      </c>
      <c r="BE207" s="67">
        <v>2045</v>
      </c>
      <c r="BF207" s="142">
        <v>2046</v>
      </c>
      <c r="BG207" s="142">
        <v>2047</v>
      </c>
      <c r="BH207" s="142">
        <v>2048</v>
      </c>
      <c r="BI207" s="142">
        <v>2049</v>
      </c>
      <c r="BJ207" s="67">
        <v>2050</v>
      </c>
    </row>
    <row r="208" spans="1:62">
      <c r="A208" s="91" t="s">
        <v>85</v>
      </c>
      <c r="B208" s="83">
        <v>-54.848311238025637</v>
      </c>
      <c r="C208" s="83">
        <v>-58.194432286249388</v>
      </c>
      <c r="D208" s="83">
        <v>-58.361494073616541</v>
      </c>
      <c r="E208" s="83">
        <v>-61.71760471665241</v>
      </c>
      <c r="F208" s="83">
        <v>-61.976792040407652</v>
      </c>
      <c r="G208" s="83">
        <v>-63.539923088293079</v>
      </c>
      <c r="H208" s="83">
        <v>-68.233003747515895</v>
      </c>
      <c r="I208" s="83">
        <v>-67.724437359179149</v>
      </c>
      <c r="J208" s="83">
        <v>-68.791413972326794</v>
      </c>
      <c r="K208" s="83">
        <v>-71.280248437244438</v>
      </c>
      <c r="L208" s="83">
        <v>-56.124879208741994</v>
      </c>
      <c r="M208" s="83">
        <v>-64.404970268820932</v>
      </c>
      <c r="N208" s="83">
        <v>-71.184401342655889</v>
      </c>
      <c r="O208" s="83">
        <v>-73.776089289479444</v>
      </c>
      <c r="P208" s="83">
        <v>-76.22711979037588</v>
      </c>
      <c r="Q208" s="83">
        <v>-76.828003895960634</v>
      </c>
      <c r="R208" s="83">
        <v>-79.008072507522584</v>
      </c>
      <c r="S208" s="83">
        <v>-79.448585766822788</v>
      </c>
      <c r="T208" s="83">
        <v>-80.873629599117862</v>
      </c>
      <c r="U208" s="83">
        <v>-74.451970238719127</v>
      </c>
      <c r="V208" s="83">
        <v>-73.778495118652117</v>
      </c>
      <c r="W208" s="83">
        <v>-73.53114127696233</v>
      </c>
      <c r="X208" s="83">
        <v>-75.482347051218227</v>
      </c>
      <c r="Y208" s="83">
        <v>-78.67358008086525</v>
      </c>
      <c r="Z208" s="83">
        <v>-70.671291097683081</v>
      </c>
      <c r="AA208" s="83">
        <v>-67.849164663217408</v>
      </c>
      <c r="AB208" s="83">
        <v>-60.702047629692117</v>
      </c>
      <c r="AC208" s="83">
        <v>-55.701571777545198</v>
      </c>
      <c r="AD208" s="83">
        <v>-58.998572384173578</v>
      </c>
      <c r="AE208" s="83">
        <v>-65.367092931754058</v>
      </c>
      <c r="AF208" s="83">
        <v>-68.399594139976543</v>
      </c>
      <c r="AG208" s="83">
        <v>-60.871283755519158</v>
      </c>
      <c r="AH208" s="83">
        <v>-59.365853625032848</v>
      </c>
      <c r="AI208" s="277">
        <v>-63.170041442553689</v>
      </c>
      <c r="AJ208" s="277">
        <v>-64.510982514242073</v>
      </c>
      <c r="AK208" s="277">
        <v>-63.891850283068372</v>
      </c>
      <c r="AL208" s="277">
        <v>-54.433304340774946</v>
      </c>
      <c r="AM208" s="382">
        <f t="shared" ref="AM208:AM215" si="198">(AL208+AN208)/2</f>
        <v>-47.769625968836174</v>
      </c>
      <c r="AN208" s="277">
        <v>-41.105947596897401</v>
      </c>
      <c r="AO208" s="277">
        <f t="shared" ref="AO208:AO215" si="199">AN208+(AP208-AN208)/2</f>
        <v>-38.087959011943255</v>
      </c>
      <c r="AP208" s="277">
        <v>-35.069970426989109</v>
      </c>
      <c r="AQ208" s="277">
        <f t="shared" ref="AQ208:AQ215" si="200">AP208+(AS208-AP208)/3</f>
        <v>-34.512551129122265</v>
      </c>
      <c r="AR208" s="277">
        <f t="shared" ref="AR208:AR215" si="201">AP208+(AS208-AP208)*2/3</f>
        <v>-33.955131831255414</v>
      </c>
      <c r="AS208" s="277">
        <v>-33.397712533388571</v>
      </c>
      <c r="AT208" s="277">
        <f t="shared" ref="AT208:AT215" si="202">AS208+(AU208-AS208)/2</f>
        <v>-32.47572271626386</v>
      </c>
      <c r="AU208" s="277">
        <v>-31.553732899139145</v>
      </c>
      <c r="AV208" s="277">
        <f t="shared" ref="AV208:AV215" si="203">AU208+(AX208-AU208)/3</f>
        <v>-30.068997090661497</v>
      </c>
      <c r="AW208" s="277">
        <f t="shared" ref="AW208:AW215" si="204">AU208+(AX208-AU208)*2/3</f>
        <v>-28.584261282183849</v>
      </c>
      <c r="AX208" s="277">
        <v>-27.099525473706201</v>
      </c>
      <c r="AY208" s="277">
        <f t="shared" ref="AY208:AY215" si="205">AX208+(AZ208-AX208)/2</f>
        <v>-26.659395962238932</v>
      </c>
      <c r="AZ208" s="277">
        <v>-26.219266450771663</v>
      </c>
      <c r="BA208" s="277">
        <f t="shared" ref="BA208:BA215" si="206">AZ208+(BE208-AZ208)*1/5</f>
        <v>-25.121501818828811</v>
      </c>
      <c r="BB208" s="277">
        <f t="shared" ref="BB208:BB215" si="207">AZ208+(BE208-AZ208)*2/5</f>
        <v>-24.02373718688596</v>
      </c>
      <c r="BC208" s="277">
        <f t="shared" ref="BC208:BC215" si="208">AZ208+(BE208-AZ208)*3/5</f>
        <v>-22.925972554943108</v>
      </c>
      <c r="BD208" s="277">
        <f t="shared" ref="BD208:BD215" si="209">AZ208+(BE208-AZ208)*4/5</f>
        <v>-21.828207923000257</v>
      </c>
      <c r="BE208" s="277">
        <v>-20.730443291057405</v>
      </c>
      <c r="BF208" s="277">
        <f t="shared" ref="BF208:BF215" si="210">BE208+(BJ208-BE208)*1/5</f>
        <v>-19.912396790010892</v>
      </c>
      <c r="BG208" s="277">
        <f t="shared" ref="BG208:BG215" si="211">BE208+(BJ208-BE208)*2/5</f>
        <v>-19.094350288964378</v>
      </c>
      <c r="BH208" s="277">
        <f t="shared" ref="BH208:BH215" si="212">BE208+(BJ208-BE208)*3/5</f>
        <v>-18.276303787917865</v>
      </c>
      <c r="BI208" s="277">
        <f t="shared" ref="BI208:BI215" si="213">BE208+(BJ208-BE208)*4/5</f>
        <v>-17.458257286871351</v>
      </c>
      <c r="BJ208" s="277">
        <v>-16.640210785824838</v>
      </c>
    </row>
    <row r="209" spans="1:63">
      <c r="A209" s="91" t="s">
        <v>330</v>
      </c>
      <c r="B209" s="83">
        <v>24.028913654670667</v>
      </c>
      <c r="C209" s="83">
        <v>27.005469467373299</v>
      </c>
      <c r="D209" s="83">
        <v>26.88218323746085</v>
      </c>
      <c r="E209" s="83">
        <v>26.502409305226905</v>
      </c>
      <c r="F209" s="83">
        <v>26.281402949225011</v>
      </c>
      <c r="G209" s="83">
        <v>25.080928643424453</v>
      </c>
      <c r="H209" s="83">
        <v>24.354378624727207</v>
      </c>
      <c r="I209" s="83">
        <v>23.401776446749391</v>
      </c>
      <c r="J209" s="83">
        <v>22.76969839030474</v>
      </c>
      <c r="K209" s="83">
        <v>21.636351706216765</v>
      </c>
      <c r="L209" s="83">
        <v>20.103985890723262</v>
      </c>
      <c r="M209" s="83">
        <v>17.17289233657732</v>
      </c>
      <c r="N209" s="83">
        <v>15.455422000665298</v>
      </c>
      <c r="O209" s="83">
        <v>13.965749729171897</v>
      </c>
      <c r="P209" s="83">
        <v>14.253103953967543</v>
      </c>
      <c r="Q209" s="83">
        <v>15.198259103726187</v>
      </c>
      <c r="R209" s="83">
        <v>16.87373084003373</v>
      </c>
      <c r="S209" s="83">
        <v>18.176525455781416</v>
      </c>
      <c r="T209" s="83">
        <v>19.254675970796981</v>
      </c>
      <c r="U209" s="83">
        <v>18.794604812090448</v>
      </c>
      <c r="V209" s="83">
        <v>17.514636517089031</v>
      </c>
      <c r="W209" s="83">
        <v>17.016786491039831</v>
      </c>
      <c r="X209" s="83">
        <v>15.660359448469842</v>
      </c>
      <c r="Y209" s="83">
        <v>14.594958429870598</v>
      </c>
      <c r="Z209" s="83">
        <v>14.08083593363904</v>
      </c>
      <c r="AA209" s="83">
        <v>13.800453316206157</v>
      </c>
      <c r="AB209" s="83">
        <v>11.829184225556601</v>
      </c>
      <c r="AC209" s="83">
        <v>11.211725453144401</v>
      </c>
      <c r="AD209" s="83">
        <v>10.41135616233392</v>
      </c>
      <c r="AE209" s="83">
        <v>12.936025529013277</v>
      </c>
      <c r="AF209" s="83">
        <v>12.005247607935843</v>
      </c>
      <c r="AG209" s="83">
        <v>12.589378453045722</v>
      </c>
      <c r="AH209" s="83">
        <v>12.28327935259982</v>
      </c>
      <c r="AI209" s="277">
        <v>12.950890126133627</v>
      </c>
      <c r="AJ209" s="277">
        <v>11.666741343683022</v>
      </c>
      <c r="AK209" s="277">
        <v>11.666741343683022</v>
      </c>
      <c r="AL209" s="277">
        <v>10.6916939179513</v>
      </c>
      <c r="AM209" s="382">
        <f t="shared" si="198"/>
        <v>11.434916532632013</v>
      </c>
      <c r="AN209" s="277">
        <v>12.178139147312724</v>
      </c>
      <c r="AO209" s="277">
        <f t="shared" si="199"/>
        <v>12.059355946933239</v>
      </c>
      <c r="AP209" s="277">
        <v>11.940572746553755</v>
      </c>
      <c r="AQ209" s="277">
        <f t="shared" si="200"/>
        <v>11.712437223388411</v>
      </c>
      <c r="AR209" s="277">
        <f t="shared" si="201"/>
        <v>11.484301700223066</v>
      </c>
      <c r="AS209" s="277">
        <v>11.256166177057722</v>
      </c>
      <c r="AT209" s="277">
        <f t="shared" si="202"/>
        <v>11.018475968178489</v>
      </c>
      <c r="AU209" s="277">
        <v>10.780785759299254</v>
      </c>
      <c r="AV209" s="277">
        <f t="shared" si="203"/>
        <v>10.598475005902355</v>
      </c>
      <c r="AW209" s="277">
        <f t="shared" si="204"/>
        <v>10.416164252505457</v>
      </c>
      <c r="AX209" s="277">
        <v>10.233853499108557</v>
      </c>
      <c r="AY209" s="277">
        <f t="shared" si="205"/>
        <v>10.136839412000464</v>
      </c>
      <c r="AZ209" s="277">
        <v>10.039825324892371</v>
      </c>
      <c r="BA209" s="277">
        <f t="shared" si="206"/>
        <v>9.8252809290287662</v>
      </c>
      <c r="BB209" s="277">
        <f t="shared" si="207"/>
        <v>9.6107365331651593</v>
      </c>
      <c r="BC209" s="277">
        <f t="shared" si="208"/>
        <v>9.3961921373015542</v>
      </c>
      <c r="BD209" s="277">
        <f t="shared" si="209"/>
        <v>9.1816477414379474</v>
      </c>
      <c r="BE209" s="277">
        <v>8.9671033455743423</v>
      </c>
      <c r="BF209" s="277">
        <f t="shared" si="210"/>
        <v>8.9214674938339371</v>
      </c>
      <c r="BG209" s="277">
        <f t="shared" si="211"/>
        <v>8.8758316420935319</v>
      </c>
      <c r="BH209" s="277">
        <f t="shared" si="212"/>
        <v>8.8301957903531267</v>
      </c>
      <c r="BI209" s="277">
        <f t="shared" si="213"/>
        <v>8.7845599386127216</v>
      </c>
      <c r="BJ209" s="277">
        <v>8.7389240868723164</v>
      </c>
    </row>
    <row r="210" spans="1:63">
      <c r="A210" s="91" t="s">
        <v>331</v>
      </c>
      <c r="B210" s="83">
        <v>-8.6496718509139505</v>
      </c>
      <c r="C210" s="83">
        <v>-11.052217750239096</v>
      </c>
      <c r="D210" s="83">
        <v>-11.257670787483745</v>
      </c>
      <c r="E210" s="83">
        <v>-11.33855331346002</v>
      </c>
      <c r="F210" s="83">
        <v>-11.273594575718649</v>
      </c>
      <c r="G210" s="83">
        <v>-11.149305065252141</v>
      </c>
      <c r="H210" s="83">
        <v>-10.974678800743554</v>
      </c>
      <c r="I210" s="83">
        <v>-10.529703136373371</v>
      </c>
      <c r="J210" s="83">
        <v>-9.9940840036210936</v>
      </c>
      <c r="K210" s="83">
        <v>-9.4572165900260075</v>
      </c>
      <c r="L210" s="83">
        <v>-9.0177602218205326</v>
      </c>
      <c r="M210" s="83">
        <v>-9.2168609260247898</v>
      </c>
      <c r="N210" s="83">
        <v>-9.1388306994513488</v>
      </c>
      <c r="O210" s="83">
        <v>-9.0418398250943905</v>
      </c>
      <c r="P210" s="83">
        <v>-8.8643870379308041</v>
      </c>
      <c r="Q210" s="83">
        <v>-8.5205793181084779</v>
      </c>
      <c r="R210" s="83">
        <v>-8.1783248787862064</v>
      </c>
      <c r="S210" s="83">
        <v>-7.6851760270577154</v>
      </c>
      <c r="T210" s="83">
        <v>-7.3486897128603452</v>
      </c>
      <c r="U210" s="83">
        <v>-6.7859346713128961</v>
      </c>
      <c r="V210" s="83">
        <v>-6.7336959811932928</v>
      </c>
      <c r="W210" s="83">
        <v>-6.7898065332817019</v>
      </c>
      <c r="X210" s="83">
        <v>-6.8963453772577772</v>
      </c>
      <c r="Y210" s="83">
        <v>-6.9461517377958275</v>
      </c>
      <c r="Z210" s="83">
        <v>-6.95054914382448</v>
      </c>
      <c r="AA210" s="83">
        <v>-6.7483413985424834</v>
      </c>
      <c r="AB210" s="83">
        <v>-6.5499186586105056</v>
      </c>
      <c r="AC210" s="83">
        <v>-5.4819979044754383</v>
      </c>
      <c r="AD210" s="83">
        <v>-15.275920606874072</v>
      </c>
      <c r="AE210" s="83">
        <v>-7.3526744571642091</v>
      </c>
      <c r="AF210" s="83">
        <v>-8.1303978600214073</v>
      </c>
      <c r="AG210" s="83">
        <v>-6.4959468039614849</v>
      </c>
      <c r="AH210" s="83">
        <v>-6.0165872663074529</v>
      </c>
      <c r="AI210" s="277">
        <v>-6.1818056100121401</v>
      </c>
      <c r="AJ210" s="277">
        <v>-5.7005452129143155</v>
      </c>
      <c r="AK210" s="277">
        <v>-5.7005452129143155</v>
      </c>
      <c r="AL210" s="277">
        <v>-6.4473878842541525</v>
      </c>
      <c r="AM210" s="382">
        <f t="shared" si="198"/>
        <v>-7.8507454727816448</v>
      </c>
      <c r="AN210" s="277">
        <v>-9.254103061309138</v>
      </c>
      <c r="AO210" s="277">
        <f t="shared" si="199"/>
        <v>-9.3537389875822008</v>
      </c>
      <c r="AP210" s="277">
        <v>-9.4533749138552636</v>
      </c>
      <c r="AQ210" s="277">
        <f t="shared" si="200"/>
        <v>-9.3664695498381771</v>
      </c>
      <c r="AR210" s="277">
        <f t="shared" si="201"/>
        <v>-9.2795641858210924</v>
      </c>
      <c r="AS210" s="277">
        <v>-9.192658821804006</v>
      </c>
      <c r="AT210" s="277">
        <f t="shared" si="202"/>
        <v>-9.4857725088403058</v>
      </c>
      <c r="AU210" s="277">
        <v>-9.7788861958766056</v>
      </c>
      <c r="AV210" s="277">
        <f t="shared" si="203"/>
        <v>-10.007967020229087</v>
      </c>
      <c r="AW210" s="277">
        <f t="shared" si="204"/>
        <v>-10.237047844581566</v>
      </c>
      <c r="AX210" s="277">
        <v>-10.466128668934047</v>
      </c>
      <c r="AY210" s="277">
        <f t="shared" si="205"/>
        <v>-10.524459164350315</v>
      </c>
      <c r="AZ210" s="277">
        <v>-10.582789659766583</v>
      </c>
      <c r="BA210" s="277">
        <f t="shared" si="206"/>
        <v>-10.627734260032314</v>
      </c>
      <c r="BB210" s="277">
        <f t="shared" si="207"/>
        <v>-10.672678860298046</v>
      </c>
      <c r="BC210" s="277">
        <f t="shared" si="208"/>
        <v>-10.717623460563779</v>
      </c>
      <c r="BD210" s="277">
        <f t="shared" si="209"/>
        <v>-10.76256806082951</v>
      </c>
      <c r="BE210" s="277">
        <v>-10.807512661095242</v>
      </c>
      <c r="BF210" s="277">
        <f t="shared" si="210"/>
        <v>-10.821053167364145</v>
      </c>
      <c r="BG210" s="277">
        <f t="shared" si="211"/>
        <v>-10.834593673633046</v>
      </c>
      <c r="BH210" s="277">
        <f t="shared" si="212"/>
        <v>-10.848134179901949</v>
      </c>
      <c r="BI210" s="277">
        <f t="shared" si="213"/>
        <v>-10.861674686170851</v>
      </c>
      <c r="BJ210" s="277">
        <v>-10.875215192439754</v>
      </c>
    </row>
    <row r="211" spans="1:63">
      <c r="A211" s="91" t="s">
        <v>87</v>
      </c>
      <c r="B211" s="83">
        <v>0.48309678090409647</v>
      </c>
      <c r="C211" s="83">
        <v>0.48898093804709736</v>
      </c>
      <c r="D211" s="83">
        <v>0.5281556159805616</v>
      </c>
      <c r="E211" s="83">
        <v>0.56630652421765582</v>
      </c>
      <c r="F211" s="83">
        <v>0.5984313137459133</v>
      </c>
      <c r="G211" s="83">
        <v>0.62532961412469101</v>
      </c>
      <c r="H211" s="83">
        <v>0.61833976824563752</v>
      </c>
      <c r="I211" s="83">
        <v>0.63260147416311452</v>
      </c>
      <c r="J211" s="83">
        <v>0.64457616772055226</v>
      </c>
      <c r="K211" s="83">
        <v>0.65319622697017166</v>
      </c>
      <c r="L211" s="83">
        <v>0.66553791098815596</v>
      </c>
      <c r="M211" s="83">
        <v>0.63824565881633166</v>
      </c>
      <c r="N211" s="83">
        <v>0.62539988361717891</v>
      </c>
      <c r="O211" s="83">
        <v>0.61429781056138566</v>
      </c>
      <c r="P211" s="83">
        <v>0.60631841990131352</v>
      </c>
      <c r="Q211" s="83">
        <v>0.59993848433429686</v>
      </c>
      <c r="R211" s="83">
        <v>0.59147002333715049</v>
      </c>
      <c r="S211" s="83">
        <v>0.57536714148427148</v>
      </c>
      <c r="T211" s="83">
        <v>0.55061069002060248</v>
      </c>
      <c r="U211" s="83">
        <v>0.69314932826216435</v>
      </c>
      <c r="V211" s="83">
        <v>0.71471870707769114</v>
      </c>
      <c r="W211" s="83">
        <v>0.69017173756201855</v>
      </c>
      <c r="X211" s="83">
        <v>0.75321433948320982</v>
      </c>
      <c r="Y211" s="83">
        <v>0.73982933621748448</v>
      </c>
      <c r="Z211" s="83">
        <v>0.72674749827161822</v>
      </c>
      <c r="AA211" s="83">
        <v>0.72697310813978988</v>
      </c>
      <c r="AB211" s="83">
        <v>0.83607094417995276</v>
      </c>
      <c r="AC211" s="83">
        <v>0.79882757023578244</v>
      </c>
      <c r="AD211" s="83">
        <v>0.76419856635775762</v>
      </c>
      <c r="AE211" s="83">
        <v>0.85376470439566621</v>
      </c>
      <c r="AF211" s="83">
        <v>0.83476441227374176</v>
      </c>
      <c r="AG211" s="83">
        <v>0.83150261506850032</v>
      </c>
      <c r="AH211" s="83">
        <v>0.84990138937061732</v>
      </c>
      <c r="AI211" s="277">
        <v>0.84125984281236454</v>
      </c>
      <c r="AJ211" s="277">
        <v>0.84080296868992976</v>
      </c>
      <c r="AK211" s="277">
        <v>0.84080296868992965</v>
      </c>
      <c r="AL211" s="277">
        <v>0.70247202735205172</v>
      </c>
      <c r="AM211" s="382">
        <f t="shared" si="198"/>
        <v>0.51443596354777776</v>
      </c>
      <c r="AN211" s="277">
        <v>0.32639989974350375</v>
      </c>
      <c r="AO211" s="277">
        <f t="shared" si="199"/>
        <v>0.36078977248238708</v>
      </c>
      <c r="AP211" s="277">
        <v>0.39517964522127041</v>
      </c>
      <c r="AQ211" s="277">
        <f t="shared" si="200"/>
        <v>0.3815359528140525</v>
      </c>
      <c r="AR211" s="277">
        <f t="shared" si="201"/>
        <v>0.36789226040683465</v>
      </c>
      <c r="AS211" s="277">
        <v>0.35424856799961674</v>
      </c>
      <c r="AT211" s="277">
        <f t="shared" si="202"/>
        <v>0.35945626697460958</v>
      </c>
      <c r="AU211" s="277">
        <v>0.36466396594960243</v>
      </c>
      <c r="AV211" s="277">
        <f t="shared" si="203"/>
        <v>0.35935212089627727</v>
      </c>
      <c r="AW211" s="277">
        <f t="shared" si="204"/>
        <v>0.35404027584295211</v>
      </c>
      <c r="AX211" s="277">
        <v>0.34872843078962695</v>
      </c>
      <c r="AY211" s="277">
        <f t="shared" si="205"/>
        <v>0.35218480116593498</v>
      </c>
      <c r="AZ211" s="277">
        <v>0.35564117154224301</v>
      </c>
      <c r="BA211" s="277">
        <f t="shared" si="206"/>
        <v>0.35538234977582728</v>
      </c>
      <c r="BB211" s="277">
        <f t="shared" si="207"/>
        <v>0.35512352800941149</v>
      </c>
      <c r="BC211" s="277">
        <f t="shared" si="208"/>
        <v>0.35486470624299576</v>
      </c>
      <c r="BD211" s="277">
        <f t="shared" si="209"/>
        <v>0.35460588447657998</v>
      </c>
      <c r="BE211" s="277">
        <v>0.35434706271016425</v>
      </c>
      <c r="BF211" s="277">
        <f t="shared" si="210"/>
        <v>0.35308111708217466</v>
      </c>
      <c r="BG211" s="277">
        <f t="shared" si="211"/>
        <v>0.35181517145418506</v>
      </c>
      <c r="BH211" s="277">
        <f t="shared" si="212"/>
        <v>0.35054922582619552</v>
      </c>
      <c r="BI211" s="277">
        <f t="shared" si="213"/>
        <v>0.34928328019820593</v>
      </c>
      <c r="BJ211" s="277">
        <v>0.34801733457021633</v>
      </c>
    </row>
    <row r="212" spans="1:63">
      <c r="A212" s="91" t="s">
        <v>88</v>
      </c>
      <c r="B212" s="83">
        <v>4.3472094188405439</v>
      </c>
      <c r="C212" s="83">
        <v>4.9811602140082307</v>
      </c>
      <c r="D212" s="83">
        <v>4.9877853052388925</v>
      </c>
      <c r="E212" s="83">
        <v>4.7495997556008938</v>
      </c>
      <c r="F212" s="83">
        <v>4.442734872702812</v>
      </c>
      <c r="G212" s="83">
        <v>4.0907764844871748</v>
      </c>
      <c r="H212" s="83">
        <v>4.1055017281472619</v>
      </c>
      <c r="I212" s="83">
        <v>4.0932929531081266</v>
      </c>
      <c r="J212" s="83">
        <v>4.1258991344900906</v>
      </c>
      <c r="K212" s="83">
        <v>4.1628232380608976</v>
      </c>
      <c r="L212" s="83">
        <v>4.1689704199410089</v>
      </c>
      <c r="M212" s="83">
        <v>4.9812871853866989</v>
      </c>
      <c r="N212" s="83">
        <v>5.0314477023782729</v>
      </c>
      <c r="O212" s="83">
        <v>5.0436268509026139</v>
      </c>
      <c r="P212" s="83">
        <v>5.0613910561258075</v>
      </c>
      <c r="Q212" s="83">
        <v>5.1183465873308052</v>
      </c>
      <c r="R212" s="83">
        <v>5.1392134434540244</v>
      </c>
      <c r="S212" s="83">
        <v>5.0017130628510538</v>
      </c>
      <c r="T212" s="83">
        <v>4.9067992549214283</v>
      </c>
      <c r="U212" s="83">
        <v>5.4083836237670759</v>
      </c>
      <c r="V212" s="83">
        <v>5.3058197093524493</v>
      </c>
      <c r="W212" s="83">
        <v>5.6677073257384141</v>
      </c>
      <c r="X212" s="83">
        <v>5.6200289613413386</v>
      </c>
      <c r="Y212" s="83">
        <v>5.5165063226127931</v>
      </c>
      <c r="Z212" s="83">
        <v>5.2437493728254507</v>
      </c>
      <c r="AA212" s="83">
        <v>5.0193784953594243</v>
      </c>
      <c r="AB212" s="83">
        <v>4.9861272121651536</v>
      </c>
      <c r="AC212" s="83">
        <v>4.5841717546746779</v>
      </c>
      <c r="AD212" s="83">
        <v>4.4654360951817047</v>
      </c>
      <c r="AE212" s="83">
        <v>4.7457662605053956</v>
      </c>
      <c r="AF212" s="83">
        <v>4.7711790577897792</v>
      </c>
      <c r="AG212" s="83">
        <v>4.8578397581456585</v>
      </c>
      <c r="AH212" s="83">
        <v>4.8090657017771239</v>
      </c>
      <c r="AI212" s="277">
        <v>4.831917926333678</v>
      </c>
      <c r="AJ212" s="277">
        <v>4.9760615770502596</v>
      </c>
      <c r="AK212" s="277">
        <v>4.9760615770502596</v>
      </c>
      <c r="AL212" s="277">
        <v>4.3030236090175329</v>
      </c>
      <c r="AM212" s="382">
        <f t="shared" si="198"/>
        <v>3.807008055430011</v>
      </c>
      <c r="AN212" s="277">
        <v>3.3109925018424891</v>
      </c>
      <c r="AO212" s="277">
        <f t="shared" si="199"/>
        <v>3.2043862097147251</v>
      </c>
      <c r="AP212" s="277">
        <v>3.0977799175869611</v>
      </c>
      <c r="AQ212" s="277">
        <f t="shared" si="200"/>
        <v>2.9961856787346886</v>
      </c>
      <c r="AR212" s="277">
        <f t="shared" si="201"/>
        <v>2.894591439882416</v>
      </c>
      <c r="AS212" s="277">
        <v>2.7929972010301434</v>
      </c>
      <c r="AT212" s="277">
        <f t="shared" si="202"/>
        <v>2.7626916973618845</v>
      </c>
      <c r="AU212" s="277">
        <v>2.7323861936936256</v>
      </c>
      <c r="AV212" s="277">
        <f t="shared" si="203"/>
        <v>2.7064877089770421</v>
      </c>
      <c r="AW212" s="277">
        <f t="shared" si="204"/>
        <v>2.6805892242604581</v>
      </c>
      <c r="AX212" s="277">
        <v>2.6546907395438746</v>
      </c>
      <c r="AY212" s="277">
        <f t="shared" si="205"/>
        <v>2.5870793861735302</v>
      </c>
      <c r="AZ212" s="277">
        <v>2.5194680328031858</v>
      </c>
      <c r="BA212" s="277">
        <f t="shared" si="206"/>
        <v>2.584520866680557</v>
      </c>
      <c r="BB212" s="277">
        <f t="shared" si="207"/>
        <v>2.6495737005579283</v>
      </c>
      <c r="BC212" s="277">
        <f t="shared" si="208"/>
        <v>2.7146265344352996</v>
      </c>
      <c r="BD212" s="277">
        <f t="shared" si="209"/>
        <v>2.7796793683126708</v>
      </c>
      <c r="BE212" s="277">
        <v>2.8447322021900421</v>
      </c>
      <c r="BF212" s="277">
        <f t="shared" si="210"/>
        <v>2.8184856050146876</v>
      </c>
      <c r="BG212" s="277">
        <f t="shared" si="211"/>
        <v>2.7922390078393331</v>
      </c>
      <c r="BH212" s="277">
        <f t="shared" si="212"/>
        <v>2.7659924106639782</v>
      </c>
      <c r="BI212" s="277">
        <f t="shared" si="213"/>
        <v>2.7397458134886237</v>
      </c>
      <c r="BJ212" s="277">
        <v>2.7134992163132692</v>
      </c>
    </row>
    <row r="213" spans="1:63">
      <c r="A213" s="91" t="s">
        <v>332</v>
      </c>
      <c r="B213" s="83">
        <v>3.7174626225810005E-2</v>
      </c>
      <c r="C213" s="83">
        <v>3.178154846416667E-2</v>
      </c>
      <c r="D213" s="83">
        <v>3.2764555729143337E-2</v>
      </c>
      <c r="E213" s="83">
        <v>3.3229984697220001E-2</v>
      </c>
      <c r="F213" s="83">
        <v>3.3396523680620002E-2</v>
      </c>
      <c r="G213" s="83">
        <v>3.2173001933039999E-2</v>
      </c>
      <c r="H213" s="83">
        <v>3.179323585135E-2</v>
      </c>
      <c r="I213" s="83">
        <v>3.0747132969970004E-2</v>
      </c>
      <c r="J213" s="83">
        <v>2.9343195719226663E-2</v>
      </c>
      <c r="K213" s="83">
        <v>2.9346452679466666E-2</v>
      </c>
      <c r="L213" s="83">
        <v>2.8856775568663329E-2</v>
      </c>
      <c r="M213" s="83">
        <v>2.3907842435886669E-2</v>
      </c>
      <c r="N213" s="83">
        <v>2.1915679613783334E-2</v>
      </c>
      <c r="O213" s="83">
        <v>2.0365037135046667E-2</v>
      </c>
      <c r="P213" s="83">
        <v>1.9560242963759997E-2</v>
      </c>
      <c r="Q213" s="83">
        <v>1.7898064352283336E-2</v>
      </c>
      <c r="R213" s="83">
        <v>1.6862063035503333E-2</v>
      </c>
      <c r="S213" s="83">
        <v>1.5646650745043334E-2</v>
      </c>
      <c r="T213" s="83">
        <v>1.4500912680270001E-2</v>
      </c>
      <c r="U213" s="83">
        <v>1.992502591447667E-2</v>
      </c>
      <c r="V213" s="83">
        <v>2.4007469547933331E-2</v>
      </c>
      <c r="W213" s="83">
        <v>2.4026521988480001E-2</v>
      </c>
      <c r="X213" s="83">
        <v>2.5218533482309999E-2</v>
      </c>
      <c r="Y213" s="83">
        <v>3.1562621765093328E-2</v>
      </c>
      <c r="Z213" s="83">
        <v>3.9082781511659996E-2</v>
      </c>
      <c r="AA213" s="83">
        <v>3.9778478419003331E-2</v>
      </c>
      <c r="AB213" s="83">
        <v>4.2204112194866666E-2</v>
      </c>
      <c r="AC213" s="83">
        <v>4.7355857443733329E-2</v>
      </c>
      <c r="AD213" s="83">
        <v>5.3792656784553326E-2</v>
      </c>
      <c r="AE213" s="83">
        <v>8.6263250143100018E-2</v>
      </c>
      <c r="AF213" s="83">
        <v>0.10268967923966332</v>
      </c>
      <c r="AG213" s="83">
        <v>0.11323013500705334</v>
      </c>
      <c r="AH213" s="83">
        <v>0.11973940992484332</v>
      </c>
      <c r="AI213" s="277">
        <v>0.12451883759315666</v>
      </c>
      <c r="AJ213" s="277">
        <v>0.13031406038953</v>
      </c>
      <c r="AK213" s="277">
        <v>0.13031406038953</v>
      </c>
      <c r="AL213" s="277">
        <v>0.10761069390425372</v>
      </c>
      <c r="AM213" s="382">
        <f t="shared" si="198"/>
        <v>0.10296742874805179</v>
      </c>
      <c r="AN213" s="277">
        <v>9.8324163591849867E-2</v>
      </c>
      <c r="AO213" s="277">
        <f t="shared" si="199"/>
        <v>9.5721370424662167E-2</v>
      </c>
      <c r="AP213" s="277">
        <v>9.311857725747448E-2</v>
      </c>
      <c r="AQ213" s="277">
        <f t="shared" si="200"/>
        <v>8.9594763098118466E-2</v>
      </c>
      <c r="AR213" s="277">
        <f t="shared" si="201"/>
        <v>8.6070948938762437E-2</v>
      </c>
      <c r="AS213" s="277">
        <v>8.2547134779406423E-2</v>
      </c>
      <c r="AT213" s="277">
        <f t="shared" si="202"/>
        <v>7.626176399986645E-2</v>
      </c>
      <c r="AU213" s="277">
        <v>6.9976393220326477E-2</v>
      </c>
      <c r="AV213" s="277">
        <f t="shared" si="203"/>
        <v>6.7170379841604011E-2</v>
      </c>
      <c r="AW213" s="277">
        <f t="shared" si="204"/>
        <v>6.4364366462881531E-2</v>
      </c>
      <c r="AX213" s="277">
        <v>6.1558353084159065E-2</v>
      </c>
      <c r="AY213" s="277">
        <f t="shared" si="205"/>
        <v>5.8958114215991966E-2</v>
      </c>
      <c r="AZ213" s="277">
        <v>5.6357875347824875E-2</v>
      </c>
      <c r="BA213" s="277">
        <f t="shared" si="206"/>
        <v>5.7174146811874653E-2</v>
      </c>
      <c r="BB213" s="277">
        <f t="shared" si="207"/>
        <v>5.7990418275924438E-2</v>
      </c>
      <c r="BC213" s="277">
        <f t="shared" si="208"/>
        <v>5.8806689739974216E-2</v>
      </c>
      <c r="BD213" s="277">
        <f t="shared" si="209"/>
        <v>5.9622961204024001E-2</v>
      </c>
      <c r="BE213" s="277">
        <v>6.0439232668073779E-2</v>
      </c>
      <c r="BF213" s="277">
        <f t="shared" si="210"/>
        <v>5.783179925465308E-2</v>
      </c>
      <c r="BG213" s="277">
        <f t="shared" si="211"/>
        <v>5.522436584123238E-2</v>
      </c>
      <c r="BH213" s="277">
        <f t="shared" si="212"/>
        <v>5.261693242781168E-2</v>
      </c>
      <c r="BI213" s="277">
        <f t="shared" si="213"/>
        <v>5.0009499014390987E-2</v>
      </c>
      <c r="BJ213" s="277">
        <v>4.7402065600970288E-2</v>
      </c>
    </row>
    <row r="214" spans="1:63">
      <c r="A214" s="91" t="s">
        <v>170</v>
      </c>
      <c r="B214" s="83">
        <v>-4.6685730401325554</v>
      </c>
      <c r="C214" s="83">
        <v>-4.3139521509973173</v>
      </c>
      <c r="D214" s="83">
        <v>-3.851138419091984</v>
      </c>
      <c r="E214" s="83">
        <v>-2.5830076307867276</v>
      </c>
      <c r="F214" s="83">
        <v>-3.5166447180681204</v>
      </c>
      <c r="G214" s="83">
        <v>-3.8987314734556131</v>
      </c>
      <c r="H214" s="83">
        <v>-3.2985700008545935</v>
      </c>
      <c r="I214" s="83">
        <v>-3.9208807129951855</v>
      </c>
      <c r="J214" s="83">
        <v>-4.4985114773911175</v>
      </c>
      <c r="K214" s="83">
        <v>-4.6234188494159127</v>
      </c>
      <c r="L214" s="83">
        <v>-5.2916484533828303</v>
      </c>
      <c r="M214" s="83">
        <v>-4.9516751725347188</v>
      </c>
      <c r="N214" s="83">
        <v>-3.72469391413492</v>
      </c>
      <c r="O214" s="83">
        <v>-3.5758854721520712</v>
      </c>
      <c r="P214" s="83">
        <v>-4.2256159338177195</v>
      </c>
      <c r="Q214" s="83">
        <v>-4.8498078133430784</v>
      </c>
      <c r="R214" s="83">
        <v>-4.9952728034337639</v>
      </c>
      <c r="S214" s="83">
        <v>-5.4363084584389494</v>
      </c>
      <c r="T214" s="83">
        <v>-4.0994276312628015</v>
      </c>
      <c r="U214" s="83">
        <v>-1.8983671400244548</v>
      </c>
      <c r="V214" s="83">
        <v>-3.7376577654070462</v>
      </c>
      <c r="W214" s="83">
        <v>-4.0563771317218471</v>
      </c>
      <c r="X214" s="83">
        <v>-3.3442834762272158</v>
      </c>
      <c r="Y214" s="83">
        <v>-2.7935012970267765</v>
      </c>
      <c r="Z214" s="83">
        <v>-2.5272630617119591</v>
      </c>
      <c r="AA214" s="83">
        <v>-1.9348014379480474</v>
      </c>
      <c r="AB214" s="83">
        <v>-1.5635605361728147</v>
      </c>
      <c r="AC214" s="83">
        <v>-1.5863197192580178</v>
      </c>
      <c r="AD214" s="83">
        <v>-1.4702807415731365</v>
      </c>
      <c r="AE214" s="83">
        <v>-1.1272279182888361</v>
      </c>
      <c r="AF214" s="83">
        <v>0.21377743304613878</v>
      </c>
      <c r="AG214" s="83">
        <v>-2.244998432588567</v>
      </c>
      <c r="AH214" s="83">
        <v>-1.7174321335481277</v>
      </c>
      <c r="AI214" s="277">
        <v>0.16662499719805432</v>
      </c>
      <c r="AJ214" s="277">
        <v>0.37426852776719255</v>
      </c>
      <c r="AK214" s="277">
        <v>0.37426852776719255</v>
      </c>
      <c r="AL214" s="277">
        <v>-0.75706578486318665</v>
      </c>
      <c r="AM214" s="382">
        <f t="shared" si="198"/>
        <v>-2.1880660532991216</v>
      </c>
      <c r="AN214" s="277">
        <v>-3.6190663217350569</v>
      </c>
      <c r="AO214" s="277">
        <f t="shared" si="199"/>
        <v>-3.9078519352744694</v>
      </c>
      <c r="AP214" s="277">
        <v>-4.1966375488138823</v>
      </c>
      <c r="AQ214" s="277">
        <f t="shared" si="200"/>
        <v>-4.4019307630240103</v>
      </c>
      <c r="AR214" s="277">
        <f t="shared" si="201"/>
        <v>-4.6072239772341392</v>
      </c>
      <c r="AS214" s="277">
        <v>-4.8125171914442673</v>
      </c>
      <c r="AT214" s="277">
        <f t="shared" si="202"/>
        <v>-5.0179406919575866</v>
      </c>
      <c r="AU214" s="277">
        <v>-5.223364192470906</v>
      </c>
      <c r="AV214" s="277">
        <f t="shared" si="203"/>
        <v>-5.4203992133952337</v>
      </c>
      <c r="AW214" s="277">
        <f t="shared" si="204"/>
        <v>-5.6174342343195622</v>
      </c>
      <c r="AX214" s="277">
        <v>-5.8144692552438899</v>
      </c>
      <c r="AY214" s="277">
        <f t="shared" si="205"/>
        <v>-6.0037970403633594</v>
      </c>
      <c r="AZ214" s="277">
        <v>-6.1931248254828279</v>
      </c>
      <c r="BA214" s="277">
        <f t="shared" si="206"/>
        <v>-6.3744864193568969</v>
      </c>
      <c r="BB214" s="277">
        <f t="shared" si="207"/>
        <v>-6.5558480132309658</v>
      </c>
      <c r="BC214" s="277">
        <f t="shared" si="208"/>
        <v>-6.7372096071050338</v>
      </c>
      <c r="BD214" s="277">
        <f t="shared" si="209"/>
        <v>-6.9185712009791027</v>
      </c>
      <c r="BE214" s="277">
        <v>-7.0999327948531716</v>
      </c>
      <c r="BF214" s="277">
        <f t="shared" si="210"/>
        <v>-7.2627184365029711</v>
      </c>
      <c r="BG214" s="277">
        <f t="shared" si="211"/>
        <v>-7.4255040781527706</v>
      </c>
      <c r="BH214" s="277">
        <f t="shared" si="212"/>
        <v>-7.5882897198025709</v>
      </c>
      <c r="BI214" s="277">
        <f t="shared" si="213"/>
        <v>-7.7510753614523704</v>
      </c>
      <c r="BJ214" s="277">
        <v>-7.9138610031021699</v>
      </c>
    </row>
    <row r="215" spans="1:63">
      <c r="A215" s="91" t="s">
        <v>333</v>
      </c>
      <c r="B215" s="83">
        <v>0</v>
      </c>
      <c r="C215" s="83">
        <v>0</v>
      </c>
      <c r="D215" s="83">
        <v>0</v>
      </c>
      <c r="E215" s="83">
        <v>0</v>
      </c>
      <c r="F215" s="83">
        <v>3.7664266666666668</v>
      </c>
      <c r="G215" s="83">
        <v>4.2387370000000004</v>
      </c>
      <c r="H215" s="83">
        <v>3.2963580000000006</v>
      </c>
      <c r="I215" s="83">
        <v>2.5967243333333334</v>
      </c>
      <c r="J215" s="83">
        <v>2.0741570000000005</v>
      </c>
      <c r="K215" s="83">
        <v>1.6811896666666666</v>
      </c>
      <c r="L215" s="83">
        <v>1.3834846666666669</v>
      </c>
      <c r="M215" s="83">
        <v>1.1560966666666666</v>
      </c>
      <c r="N215" s="83">
        <v>0.98093466666666662</v>
      </c>
      <c r="O215" s="83">
        <v>0.84469400000000006</v>
      </c>
      <c r="P215" s="83">
        <v>0.73778533333333329</v>
      </c>
      <c r="Q215" s="83">
        <v>0.65306966666666666</v>
      </c>
      <c r="R215" s="83">
        <v>0.58528733333333327</v>
      </c>
      <c r="S215" s="83">
        <v>0.53052433333333315</v>
      </c>
      <c r="T215" s="83">
        <v>0.48593266666666662</v>
      </c>
      <c r="U215" s="83">
        <v>0.44926033333333337</v>
      </c>
      <c r="V215" s="83">
        <v>0.41890333333333329</v>
      </c>
      <c r="W215" s="83">
        <v>0.39356666666666662</v>
      </c>
      <c r="X215" s="83">
        <v>0.37231633333333336</v>
      </c>
      <c r="Y215" s="83">
        <v>0.35438166666666665</v>
      </c>
      <c r="Z215" s="83">
        <v>0.33913333333333334</v>
      </c>
      <c r="AA215" s="83">
        <v>0.32614633333333332</v>
      </c>
      <c r="AB215" s="83">
        <v>0.31504766666666673</v>
      </c>
      <c r="AC215" s="83">
        <v>0.30553833333333336</v>
      </c>
      <c r="AD215" s="83">
        <v>0.29733766666666672</v>
      </c>
      <c r="AE215" s="83">
        <v>0.29027266666666662</v>
      </c>
      <c r="AF215" s="83">
        <v>0.2841703333333333</v>
      </c>
      <c r="AG215" s="83">
        <v>0.27889433333333336</v>
      </c>
      <c r="AH215" s="83">
        <v>0.27430466666666664</v>
      </c>
      <c r="AI215" s="277">
        <v>0.27035433333333331</v>
      </c>
      <c r="AJ215" s="277">
        <v>0.26690266666666668</v>
      </c>
      <c r="AK215" s="277">
        <v>0.26690266666666668</v>
      </c>
      <c r="AL215" s="277">
        <v>0.26350577777777778</v>
      </c>
      <c r="AM215" s="382">
        <f t="shared" si="198"/>
        <v>0.26010888888888889</v>
      </c>
      <c r="AN215" s="277">
        <v>0.256712</v>
      </c>
      <c r="AO215" s="277">
        <f t="shared" si="199"/>
        <v>0.25521199999999999</v>
      </c>
      <c r="AP215" s="277">
        <v>0.25371199999999994</v>
      </c>
      <c r="AQ215" s="277">
        <f t="shared" si="200"/>
        <v>0.25293108298561762</v>
      </c>
      <c r="AR215" s="277">
        <f t="shared" si="201"/>
        <v>0.25215016597123535</v>
      </c>
      <c r="AS215" s="277">
        <v>0.25136924895685303</v>
      </c>
      <c r="AT215" s="277">
        <f t="shared" si="202"/>
        <v>0.25045165047350315</v>
      </c>
      <c r="AU215" s="277">
        <v>0.24953405199015327</v>
      </c>
      <c r="AV215" s="277">
        <f t="shared" si="203"/>
        <v>0.24888001612162605</v>
      </c>
      <c r="AW215" s="277">
        <f t="shared" si="204"/>
        <v>0.24822598025309883</v>
      </c>
      <c r="AX215" s="277">
        <v>0.24757194438457161</v>
      </c>
      <c r="AY215" s="277">
        <f t="shared" si="205"/>
        <v>0.24710939195444226</v>
      </c>
      <c r="AZ215" s="277">
        <v>0.24664683952431291</v>
      </c>
      <c r="BA215" s="277">
        <f t="shared" si="206"/>
        <v>0.24635575640536556</v>
      </c>
      <c r="BB215" s="277">
        <f t="shared" si="207"/>
        <v>0.24606467328641821</v>
      </c>
      <c r="BC215" s="277">
        <f t="shared" si="208"/>
        <v>0.24577359016747083</v>
      </c>
      <c r="BD215" s="277">
        <f t="shared" si="209"/>
        <v>0.24548250704852348</v>
      </c>
      <c r="BE215" s="277">
        <v>0.24519142392957613</v>
      </c>
      <c r="BF215" s="277">
        <f t="shared" si="210"/>
        <v>0.24504469177332061</v>
      </c>
      <c r="BG215" s="277">
        <f t="shared" si="211"/>
        <v>0.24489795961706509</v>
      </c>
      <c r="BH215" s="277">
        <f t="shared" si="212"/>
        <v>0.24475122746080955</v>
      </c>
      <c r="BI215" s="277">
        <f t="shared" si="213"/>
        <v>0.24460449530455403</v>
      </c>
      <c r="BJ215" s="277">
        <v>0.24445776314829851</v>
      </c>
    </row>
    <row r="216" spans="1:63">
      <c r="A216" s="132" t="s">
        <v>334</v>
      </c>
      <c r="B216" s="133">
        <v>-39.270161648431021</v>
      </c>
      <c r="C216" s="133">
        <v>-41.053210019593003</v>
      </c>
      <c r="D216" s="133">
        <v>-41.03941456578282</v>
      </c>
      <c r="E216" s="133">
        <v>-43.787620091156477</v>
      </c>
      <c r="F216" s="133">
        <v>-41.644639008173392</v>
      </c>
      <c r="G216" s="133">
        <v>-44.520014883031479</v>
      </c>
      <c r="H216" s="133">
        <v>-50.09988119214259</v>
      </c>
      <c r="I216" s="133">
        <v>-51.419878868223762</v>
      </c>
      <c r="J216" s="133">
        <v>-53.640335565104401</v>
      </c>
      <c r="K216" s="133">
        <v>-57.197976586092388</v>
      </c>
      <c r="L216" s="133">
        <v>-44.083452220057602</v>
      </c>
      <c r="M216" s="133">
        <v>-54.601076677497545</v>
      </c>
      <c r="N216" s="133">
        <v>-61.932806023300955</v>
      </c>
      <c r="O216" s="133">
        <v>-65.905081158954971</v>
      </c>
      <c r="P216" s="133">
        <v>-68.638963755832648</v>
      </c>
      <c r="Q216" s="133">
        <v>-68.610879121001943</v>
      </c>
      <c r="R216" s="133">
        <v>-68.975106486548825</v>
      </c>
      <c r="S216" s="133">
        <v>-68.270293608124334</v>
      </c>
      <c r="T216" s="133">
        <v>-67.109227448155053</v>
      </c>
      <c r="U216" s="133">
        <v>-57.770948926688973</v>
      </c>
      <c r="V216" s="133">
        <v>-60.271763128852015</v>
      </c>
      <c r="W216" s="133">
        <v>-60.585066198970466</v>
      </c>
      <c r="X216" s="133">
        <v>-63.291838288593198</v>
      </c>
      <c r="Y216" s="133">
        <v>-67.175994738555218</v>
      </c>
      <c r="Z216" s="133">
        <v>-59.719554383638418</v>
      </c>
      <c r="AA216" s="133">
        <v>-56.619577768250231</v>
      </c>
      <c r="AB216" s="133">
        <v>-50.806892663712205</v>
      </c>
      <c r="AC216" s="133">
        <v>-45.822270432446729</v>
      </c>
      <c r="AD216" s="133">
        <v>-59.75265258529619</v>
      </c>
      <c r="AE216" s="133">
        <v>-54.934902896483003</v>
      </c>
      <c r="AF216" s="133">
        <v>-58.318163476379446</v>
      </c>
      <c r="AG216" s="133">
        <v>-50.941383697468943</v>
      </c>
      <c r="AH216" s="133">
        <v>-48.763582504549369</v>
      </c>
      <c r="AI216" s="288">
        <v>-50.166280989161613</v>
      </c>
      <c r="AJ216" s="288">
        <v>-51.956436582909788</v>
      </c>
      <c r="AK216" s="288">
        <v>-51.337304351736087</v>
      </c>
      <c r="AL216" s="288">
        <f>SUM(AL208:AL215)</f>
        <v>-45.569451983889373</v>
      </c>
      <c r="AM216" s="288">
        <f t="shared" ref="AM216:BJ216" si="214">SUM(AM208:AM215)</f>
        <v>-41.689000625670211</v>
      </c>
      <c r="AN216" s="288">
        <f t="shared" si="214"/>
        <v>-37.808549267451021</v>
      </c>
      <c r="AO216" s="288">
        <f t="shared" si="214"/>
        <v>-35.37408463524492</v>
      </c>
      <c r="AP216" s="288">
        <f t="shared" si="214"/>
        <v>-32.93962000303879</v>
      </c>
      <c r="AQ216" s="288">
        <f t="shared" si="214"/>
        <v>-32.848266740963567</v>
      </c>
      <c r="AR216" s="288">
        <f t="shared" si="214"/>
        <v>-32.756913478888336</v>
      </c>
      <c r="AS216" s="288">
        <f t="shared" si="214"/>
        <v>-32.665560216813098</v>
      </c>
      <c r="AT216" s="288">
        <f t="shared" si="214"/>
        <v>-32.512098570073398</v>
      </c>
      <c r="AU216" s="288">
        <f t="shared" si="214"/>
        <v>-32.358636923333698</v>
      </c>
      <c r="AV216" s="288">
        <f t="shared" si="214"/>
        <v>-31.516998092546913</v>
      </c>
      <c r="AW216" s="288">
        <f t="shared" si="214"/>
        <v>-30.675359261760132</v>
      </c>
      <c r="AX216" s="288">
        <f t="shared" si="214"/>
        <v>-29.833720430973351</v>
      </c>
      <c r="AY216" s="288">
        <f t="shared" si="214"/>
        <v>-29.80548106144224</v>
      </c>
      <c r="AZ216" s="288">
        <f t="shared" si="214"/>
        <v>-29.77724169191114</v>
      </c>
      <c r="BA216" s="288">
        <f t="shared" si="214"/>
        <v>-29.055008449515633</v>
      </c>
      <c r="BB216" s="288">
        <f t="shared" si="214"/>
        <v>-28.332775207120129</v>
      </c>
      <c r="BC216" s="288">
        <f t="shared" si="214"/>
        <v>-27.610541964724625</v>
      </c>
      <c r="BD216" s="288">
        <f t="shared" si="214"/>
        <v>-26.888308722329121</v>
      </c>
      <c r="BE216" s="288">
        <f t="shared" si="214"/>
        <v>-26.166075479933621</v>
      </c>
      <c r="BF216" s="288">
        <f t="shared" si="214"/>
        <v>-25.600257686919235</v>
      </c>
      <c r="BG216" s="288">
        <f t="shared" si="214"/>
        <v>-25.034439893904842</v>
      </c>
      <c r="BH216" s="288">
        <f t="shared" si="214"/>
        <v>-24.46862210089046</v>
      </c>
      <c r="BI216" s="288">
        <f t="shared" si="214"/>
        <v>-23.902804307876071</v>
      </c>
      <c r="BJ216" s="288">
        <f t="shared" si="214"/>
        <v>-23.336986514861692</v>
      </c>
    </row>
    <row r="218" spans="1:63">
      <c r="A218" s="371" t="s">
        <v>611</v>
      </c>
      <c r="B218" s="372"/>
      <c r="C218" s="372"/>
      <c r="D218" s="372"/>
      <c r="E218" s="372"/>
      <c r="F218" s="372"/>
      <c r="G218" s="372"/>
      <c r="H218" s="372"/>
      <c r="I218" s="372"/>
      <c r="J218" s="372"/>
      <c r="K218" s="372"/>
      <c r="L218" s="372"/>
      <c r="M218" s="372"/>
      <c r="N218" s="372"/>
      <c r="O218" s="372"/>
      <c r="P218" s="372"/>
      <c r="Q218" s="372"/>
      <c r="R218" s="372"/>
      <c r="S218" s="372"/>
      <c r="T218" s="372"/>
      <c r="U218" s="372"/>
      <c r="V218" s="372"/>
      <c r="W218" s="372"/>
      <c r="X218" s="372"/>
      <c r="Y218" s="372"/>
      <c r="Z218" s="372"/>
      <c r="AA218" s="372"/>
      <c r="AB218" s="372"/>
      <c r="AC218" s="372"/>
      <c r="AD218" s="372"/>
      <c r="AE218" s="372"/>
      <c r="AF218" s="372"/>
      <c r="AG218" s="372"/>
      <c r="AH218" s="372"/>
      <c r="AI218" s="372"/>
      <c r="AJ218" s="372"/>
      <c r="AK218" s="410">
        <v>-12.176610996022815</v>
      </c>
      <c r="AL218" s="404">
        <v>-12.176610996022815</v>
      </c>
      <c r="AM218" s="411">
        <f t="shared" ref="AM218" si="215">(AL218+AN218)/2</f>
        <v>-12.140591973117633</v>
      </c>
      <c r="AN218" s="410">
        <v>-12.104572950212454</v>
      </c>
      <c r="AO218" s="404">
        <f>AN218+(AP218-AN218)/2</f>
        <v>-12.10380935554134</v>
      </c>
      <c r="AP218" s="410">
        <v>-12.103045760870225</v>
      </c>
      <c r="AQ218" s="404">
        <f>AP218+(AS218-AP218)/3</f>
        <v>-12.122221664211619</v>
      </c>
      <c r="AR218" s="404">
        <f>AP218+(AS218-AP218)*2/3</f>
        <v>-12.141397567553012</v>
      </c>
      <c r="AS218" s="410">
        <v>-12.160573470894406</v>
      </c>
      <c r="AT218" s="404">
        <f>AS218+(AU218-AS218)/2</f>
        <v>-12.202520258230569</v>
      </c>
      <c r="AU218" s="410">
        <v>-12.244467045566733</v>
      </c>
      <c r="AV218" s="404">
        <f>AU218+(AX218-AU218)/3</f>
        <v>-12.354923036439132</v>
      </c>
      <c r="AW218" s="404">
        <f>AU218+(AX218-AU218)*2/3</f>
        <v>-12.465379027311529</v>
      </c>
      <c r="AX218" s="410">
        <v>-12.575835018183929</v>
      </c>
      <c r="AY218" s="404">
        <f>AX218+(AZ218-AX218)/2</f>
        <v>-12.68651701586335</v>
      </c>
      <c r="AZ218" s="410">
        <v>-12.797199013542771</v>
      </c>
      <c r="BA218" s="404">
        <f>AZ218+(BE218-AZ218)*1/5</f>
        <v>-12.914485517519102</v>
      </c>
      <c r="BB218" s="404">
        <f>AZ218+(BE218-AZ218)*2/5</f>
        <v>-13.031772021495433</v>
      </c>
      <c r="BC218" s="404">
        <f>AZ218+(BE218-AZ218)*3/5</f>
        <v>-13.149058525471762</v>
      </c>
      <c r="BD218" s="404">
        <f>AZ218+(BE218-AZ218)*4/5</f>
        <v>-13.266345029448093</v>
      </c>
      <c r="BE218" s="410">
        <v>-13.383631533424424</v>
      </c>
      <c r="BF218" s="404">
        <f>BE218+(BJ218-BE218)*1/5</f>
        <v>-13.50909380573675</v>
      </c>
      <c r="BG218" s="404">
        <f>BE218+(BJ218-BE218)*2/5</f>
        <v>-13.634556078049075</v>
      </c>
      <c r="BH218" s="404">
        <f>BE218+(BJ218-BE218)*3/5</f>
        <v>-13.760018350361401</v>
      </c>
      <c r="BI218" s="404">
        <f>BE218+(BJ218-BE218)*4/5</f>
        <v>-13.885480622673725</v>
      </c>
      <c r="BJ218" s="410">
        <v>-14.010942894986051</v>
      </c>
    </row>
    <row r="220" spans="1:63" ht="18">
      <c r="A220" s="65"/>
      <c r="B220" s="64" t="s">
        <v>335</v>
      </c>
      <c r="C220" s="65"/>
      <c r="D220" s="65"/>
      <c r="E220" s="65"/>
      <c r="F220" s="65"/>
      <c r="G220" s="65"/>
      <c r="H220" s="65"/>
      <c r="I220" s="65"/>
      <c r="J220" s="65"/>
      <c r="K220" s="65"/>
      <c r="L220" s="65"/>
      <c r="M220" s="65"/>
      <c r="N220" s="65"/>
      <c r="O220" s="65"/>
      <c r="P220" s="65"/>
      <c r="Q220" s="65"/>
      <c r="R220" s="65"/>
      <c r="S220" s="65"/>
      <c r="T220" s="65"/>
      <c r="U220" s="65"/>
      <c r="V220" s="65"/>
      <c r="W220" s="65"/>
      <c r="X220" s="65"/>
      <c r="Y220" s="65"/>
      <c r="Z220" s="65"/>
      <c r="AA220" s="65"/>
      <c r="AB220" s="65"/>
      <c r="AC220" s="65"/>
      <c r="AD220" s="65"/>
      <c r="AE220" s="65"/>
      <c r="AF220" s="65"/>
      <c r="AG220" s="65"/>
      <c r="AH220" s="65"/>
      <c r="AI220" s="65"/>
      <c r="AJ220" s="65"/>
      <c r="AK220" s="502" t="s">
        <v>262</v>
      </c>
      <c r="AL220" s="502"/>
      <c r="AM220" s="502"/>
      <c r="AN220" s="502"/>
      <c r="AO220" s="502"/>
      <c r="AP220" s="502"/>
      <c r="AQ220" s="502"/>
      <c r="AR220" s="502"/>
      <c r="AS220" s="502"/>
      <c r="AT220" s="502"/>
      <c r="AU220" s="502"/>
      <c r="AV220" s="502"/>
      <c r="AW220" s="502"/>
      <c r="AX220" s="502"/>
      <c r="AY220" s="502"/>
      <c r="AZ220" s="502"/>
      <c r="BA220" s="502"/>
      <c r="BB220" s="502"/>
      <c r="BC220" s="502"/>
      <c r="BD220" s="502"/>
      <c r="BE220" s="502"/>
      <c r="BF220" s="502"/>
      <c r="BG220" s="502"/>
      <c r="BH220" s="502"/>
      <c r="BI220" s="502"/>
      <c r="BJ220" s="502"/>
      <c r="BK220" s="312"/>
    </row>
    <row r="221" spans="1:63" ht="26.4">
      <c r="A221" s="66" t="s">
        <v>263</v>
      </c>
      <c r="B221" s="67">
        <v>1990</v>
      </c>
      <c r="C221" s="67">
        <v>1991</v>
      </c>
      <c r="D221" s="67">
        <v>1992</v>
      </c>
      <c r="E221" s="67">
        <v>1993</v>
      </c>
      <c r="F221" s="67">
        <v>1994</v>
      </c>
      <c r="G221" s="67">
        <v>1995</v>
      </c>
      <c r="H221" s="67">
        <v>1996</v>
      </c>
      <c r="I221" s="67">
        <v>1997</v>
      </c>
      <c r="J221" s="67">
        <v>1998</v>
      </c>
      <c r="K221" s="67">
        <v>1999</v>
      </c>
      <c r="L221" s="67">
        <v>2000</v>
      </c>
      <c r="M221" s="67">
        <v>2001</v>
      </c>
      <c r="N221" s="67">
        <v>2002</v>
      </c>
      <c r="O221" s="67">
        <v>2003</v>
      </c>
      <c r="P221" s="67">
        <v>2004</v>
      </c>
      <c r="Q221" s="67">
        <v>2005</v>
      </c>
      <c r="R221" s="67">
        <v>2006</v>
      </c>
      <c r="S221" s="67">
        <v>2007</v>
      </c>
      <c r="T221" s="67">
        <v>2008</v>
      </c>
      <c r="U221" s="67">
        <v>2009</v>
      </c>
      <c r="V221" s="67">
        <v>2010</v>
      </c>
      <c r="W221" s="67">
        <v>2011</v>
      </c>
      <c r="X221" s="67">
        <v>2012</v>
      </c>
      <c r="Y221" s="67">
        <v>2013</v>
      </c>
      <c r="Z221" s="67">
        <v>2014</v>
      </c>
      <c r="AA221" s="67">
        <v>2015</v>
      </c>
      <c r="AB221" s="67">
        <v>2016</v>
      </c>
      <c r="AC221" s="67">
        <v>2017</v>
      </c>
      <c r="AD221" s="67">
        <v>2018</v>
      </c>
      <c r="AE221" s="67">
        <v>2019</v>
      </c>
      <c r="AF221" s="68">
        <v>2020</v>
      </c>
      <c r="AG221" s="68">
        <v>2021</v>
      </c>
      <c r="AH221" s="68">
        <v>2022</v>
      </c>
      <c r="AI221" s="67">
        <v>2023</v>
      </c>
      <c r="AJ221" s="67">
        <v>2024</v>
      </c>
      <c r="AK221" s="67">
        <v>2025</v>
      </c>
      <c r="AL221" s="67">
        <v>2026</v>
      </c>
      <c r="AM221" s="142">
        <v>2027</v>
      </c>
      <c r="AN221" s="67">
        <v>2028</v>
      </c>
      <c r="AO221" s="142">
        <v>2029</v>
      </c>
      <c r="AP221" s="67">
        <v>2030</v>
      </c>
      <c r="AQ221" s="142">
        <v>2031</v>
      </c>
      <c r="AR221" s="142">
        <v>2032</v>
      </c>
      <c r="AS221" s="67">
        <v>2033</v>
      </c>
      <c r="AT221" s="142">
        <v>2034</v>
      </c>
      <c r="AU221" s="67">
        <v>2035</v>
      </c>
      <c r="AV221" s="142">
        <v>2036</v>
      </c>
      <c r="AW221" s="142">
        <v>2037</v>
      </c>
      <c r="AX221" s="67">
        <v>2038</v>
      </c>
      <c r="AY221" s="142">
        <v>2039</v>
      </c>
      <c r="AZ221" s="67">
        <v>2040</v>
      </c>
      <c r="BA221" s="142">
        <v>2041</v>
      </c>
      <c r="BB221" s="142">
        <v>2042</v>
      </c>
      <c r="BC221" s="142">
        <v>2043</v>
      </c>
      <c r="BD221" s="142">
        <v>2044</v>
      </c>
      <c r="BE221" s="67">
        <v>2045</v>
      </c>
      <c r="BF221" s="142">
        <v>2046</v>
      </c>
      <c r="BG221" s="142">
        <v>2047</v>
      </c>
      <c r="BH221" s="142">
        <v>2048</v>
      </c>
      <c r="BI221" s="142">
        <v>2049</v>
      </c>
      <c r="BJ221" s="67">
        <v>2050</v>
      </c>
    </row>
    <row r="222" spans="1:63" ht="36" customHeight="1">
      <c r="A222" s="91" t="s">
        <v>247</v>
      </c>
      <c r="B222" s="83">
        <v>215.37893622813246</v>
      </c>
      <c r="C222" s="83">
        <v>225.89927664456934</v>
      </c>
      <c r="D222" s="83">
        <v>223.66099241302911</v>
      </c>
      <c r="E222" s="83">
        <v>221.21720618899107</v>
      </c>
      <c r="F222" s="83">
        <v>213.9890366688098</v>
      </c>
      <c r="G222" s="83">
        <v>217.5814845418131</v>
      </c>
      <c r="H222" s="83">
        <v>223.34208000422944</v>
      </c>
      <c r="I222" s="83">
        <v>222.05979626836043</v>
      </c>
      <c r="J222" s="83">
        <v>227.3399895339079</v>
      </c>
      <c r="K222" s="83">
        <v>225.22723951461853</v>
      </c>
      <c r="L222" s="83">
        <v>216.82186649425012</v>
      </c>
      <c r="M222" s="83">
        <v>226.61452580407808</v>
      </c>
      <c r="N222" s="83">
        <v>222.194456158393</v>
      </c>
      <c r="O222" s="83">
        <v>223.82591478590808</v>
      </c>
      <c r="P222" s="83">
        <v>222.96503541491069</v>
      </c>
      <c r="Q222" s="83">
        <v>219.73086641181769</v>
      </c>
      <c r="R222" s="83">
        <v>214.12213842445013</v>
      </c>
      <c r="S222" s="83">
        <v>205.42602985487954</v>
      </c>
      <c r="T222" s="83">
        <v>201.91163023532638</v>
      </c>
      <c r="U222" s="83">
        <v>198.62855437413344</v>
      </c>
      <c r="V222" s="83">
        <v>194.63947204593805</v>
      </c>
      <c r="W222" s="83">
        <v>188.50787679115217</v>
      </c>
      <c r="X222" s="83">
        <v>185.7298780102746</v>
      </c>
      <c r="Y222" s="83">
        <v>184.71023459042044</v>
      </c>
      <c r="Z222" s="83">
        <v>178.56558453196658</v>
      </c>
      <c r="AA222" s="83">
        <v>180.38814495931015</v>
      </c>
      <c r="AB222" s="83">
        <v>177.86025376496849</v>
      </c>
      <c r="AC222" s="83">
        <v>177.49050182877056</v>
      </c>
      <c r="AD222" s="83">
        <v>171.31999735982922</v>
      </c>
      <c r="AE222" s="83">
        <v>169.23212662809172</v>
      </c>
      <c r="AF222" s="83">
        <v>147.81780624146614</v>
      </c>
      <c r="AG222" s="83">
        <v>162.41843123980235</v>
      </c>
      <c r="AH222" s="83">
        <v>163.4040402592515</v>
      </c>
      <c r="AI222" s="83">
        <v>155.50599453546278</v>
      </c>
      <c r="AJ222" s="83">
        <v>153.23323856013329</v>
      </c>
      <c r="AK222" s="376"/>
      <c r="AL222" s="376"/>
      <c r="AM222" s="376"/>
      <c r="AN222" s="376"/>
      <c r="AO222" s="376"/>
      <c r="AP222" s="373"/>
      <c r="AQ222" s="373"/>
      <c r="AR222" s="373"/>
      <c r="AS222" s="373"/>
      <c r="AT222" s="373"/>
      <c r="AU222" s="373"/>
      <c r="AV222" s="373"/>
      <c r="AW222" s="373"/>
      <c r="AX222" s="373"/>
      <c r="AY222" s="373"/>
      <c r="AZ222" s="373"/>
      <c r="BA222" s="373"/>
      <c r="BB222" s="373"/>
      <c r="BC222" s="373"/>
      <c r="BD222" s="373"/>
      <c r="BE222" s="373"/>
      <c r="BF222" s="373"/>
      <c r="BG222" s="373"/>
      <c r="BH222" s="373"/>
      <c r="BI222" s="373"/>
      <c r="BJ222" s="373"/>
    </row>
    <row r="223" spans="1:63">
      <c r="A223" s="91" t="s">
        <v>248</v>
      </c>
      <c r="B223" s="83">
        <v>84.792693163345845</v>
      </c>
      <c r="C223" s="83">
        <v>93.902627092959435</v>
      </c>
      <c r="D223" s="83">
        <v>94.98015538493172</v>
      </c>
      <c r="E223" s="83">
        <v>94.249503685018666</v>
      </c>
      <c r="F223" s="83">
        <v>93.774980015326449</v>
      </c>
      <c r="G223" s="83">
        <v>93.849526754940058</v>
      </c>
      <c r="H223" s="83">
        <v>102.22367802488591</v>
      </c>
      <c r="I223" s="83">
        <v>102.43146580399547</v>
      </c>
      <c r="J223" s="83">
        <v>106.30982923275484</v>
      </c>
      <c r="K223" s="83">
        <v>110.4777711366403</v>
      </c>
      <c r="L223" s="83">
        <v>113.85025535619978</v>
      </c>
      <c r="M223" s="83">
        <v>115.89502825902603</v>
      </c>
      <c r="N223" s="83">
        <v>115.32142931711414</v>
      </c>
      <c r="O223" s="83">
        <v>118.08367638790378</v>
      </c>
      <c r="P223" s="83">
        <v>119.40925039107685</v>
      </c>
      <c r="Q223" s="83">
        <v>121.26099323499352</v>
      </c>
      <c r="R223" s="83">
        <v>118.85177347767056</v>
      </c>
      <c r="S223" s="83">
        <v>114.13521362092702</v>
      </c>
      <c r="T223" s="83">
        <v>117.48875764028823</v>
      </c>
      <c r="U223" s="83">
        <v>113.90333769171784</v>
      </c>
      <c r="V223" s="83">
        <v>119.93889700728509</v>
      </c>
      <c r="W223" s="83">
        <v>110.31191204203392</v>
      </c>
      <c r="X223" s="83">
        <v>113.41930290719198</v>
      </c>
      <c r="Y223" s="83">
        <v>113.39978665540265</v>
      </c>
      <c r="Z223" s="83">
        <v>97.8101966521414</v>
      </c>
      <c r="AA223" s="83">
        <v>102.65949077427419</v>
      </c>
      <c r="AB223" s="83">
        <v>109.50164277478571</v>
      </c>
      <c r="AC223" s="83">
        <v>109.16033634023123</v>
      </c>
      <c r="AD223" s="83">
        <v>104.08051379729076</v>
      </c>
      <c r="AE223" s="83">
        <v>105.50632196097591</v>
      </c>
      <c r="AF223" s="83">
        <v>96.516557186943956</v>
      </c>
      <c r="AG223" s="83">
        <v>101.77284254241142</v>
      </c>
      <c r="AH223" s="83">
        <v>92.581650855392056</v>
      </c>
      <c r="AI223" s="83">
        <v>82.153136923818849</v>
      </c>
      <c r="AJ223" s="83">
        <v>77.561973265483019</v>
      </c>
      <c r="AK223" s="376"/>
      <c r="AL223" s="376"/>
      <c r="AM223" s="376"/>
      <c r="AN223" s="376"/>
      <c r="AO223" s="376"/>
      <c r="AP223" s="373"/>
      <c r="AQ223" s="373"/>
      <c r="AR223" s="373"/>
      <c r="AS223" s="373"/>
      <c r="AT223" s="373"/>
      <c r="AU223" s="373"/>
      <c r="AV223" s="373"/>
      <c r="AW223" s="373"/>
      <c r="AX223" s="373"/>
      <c r="AY223" s="373"/>
      <c r="AZ223" s="373"/>
      <c r="BA223" s="373"/>
      <c r="BB223" s="373"/>
      <c r="BC223" s="373"/>
      <c r="BD223" s="373"/>
      <c r="BE223" s="373"/>
      <c r="BF223" s="373"/>
      <c r="BG223" s="373"/>
      <c r="BH223" s="373"/>
      <c r="BI223" s="373"/>
      <c r="BJ223" s="373"/>
    </row>
    <row r="224" spans="1:63">
      <c r="A224" s="91" t="s">
        <v>249</v>
      </c>
      <c r="B224" s="83">
        <v>55.120088169142939</v>
      </c>
      <c r="C224" s="83">
        <v>60.739537050915544</v>
      </c>
      <c r="D224" s="83">
        <v>53.793790261806528</v>
      </c>
      <c r="E224" s="83">
        <v>37.528296790538391</v>
      </c>
      <c r="F224" s="83">
        <v>38.194702780322103</v>
      </c>
      <c r="G224" s="83">
        <v>41.023376430341827</v>
      </c>
      <c r="H224" s="83">
        <v>43.100286113967655</v>
      </c>
      <c r="I224" s="83">
        <v>35.91758913830293</v>
      </c>
      <c r="J224" s="83">
        <v>44.439602527041366</v>
      </c>
      <c r="K224" s="83">
        <v>42.381401387871165</v>
      </c>
      <c r="L224" s="83">
        <v>40.070962429701332</v>
      </c>
      <c r="M224" s="83">
        <v>33.849176089801752</v>
      </c>
      <c r="N224" s="83">
        <v>32.64751308038641</v>
      </c>
      <c r="O224" s="83">
        <v>35.144567789206612</v>
      </c>
      <c r="P224" s="83">
        <v>33.206759874995349</v>
      </c>
      <c r="Q224" s="83">
        <v>36.58442499285956</v>
      </c>
      <c r="R224" s="83">
        <v>32.433375528749082</v>
      </c>
      <c r="S224" s="83">
        <v>34.964615150527621</v>
      </c>
      <c r="T224" s="83">
        <v>31.97650391587575</v>
      </c>
      <c r="U224" s="83">
        <v>29.82984489521187</v>
      </c>
      <c r="V224" s="83">
        <v>29.39463476862165</v>
      </c>
      <c r="W224" s="83">
        <v>22.831733399037269</v>
      </c>
      <c r="X224" s="83">
        <v>27.80664985601943</v>
      </c>
      <c r="Y224" s="83">
        <v>29.190304094863443</v>
      </c>
      <c r="Z224" s="83">
        <v>18.23209756031968</v>
      </c>
      <c r="AA224" s="83">
        <v>17.682005943350521</v>
      </c>
      <c r="AB224" s="83">
        <v>16.487488829816979</v>
      </c>
      <c r="AC224" s="83">
        <v>18.060770454483798</v>
      </c>
      <c r="AD224" s="83">
        <v>13.975442625184819</v>
      </c>
      <c r="AE224" s="83">
        <v>9.217730982706561</v>
      </c>
      <c r="AF224" s="83">
        <v>8.3688702821255703</v>
      </c>
      <c r="AG224" s="83">
        <v>11.0952890146005</v>
      </c>
      <c r="AH224" s="83">
        <v>8.9555969092511702</v>
      </c>
      <c r="AI224" s="83">
        <v>5.85093556080224</v>
      </c>
      <c r="AJ224" s="83">
        <v>4.3757748110676697</v>
      </c>
      <c r="AK224" s="376"/>
      <c r="AL224" s="376"/>
      <c r="AM224" s="376"/>
      <c r="AN224" s="376"/>
      <c r="AO224" s="376"/>
      <c r="AP224" s="373"/>
      <c r="AQ224" s="373"/>
      <c r="AR224" s="373"/>
      <c r="AS224" s="373"/>
      <c r="AT224" s="373"/>
      <c r="AU224" s="373"/>
      <c r="AV224" s="373"/>
      <c r="AW224" s="373"/>
      <c r="AX224" s="373"/>
      <c r="AY224" s="373"/>
      <c r="AZ224" s="373"/>
      <c r="BA224" s="373"/>
      <c r="BB224" s="373"/>
      <c r="BC224" s="373"/>
      <c r="BD224" s="373"/>
      <c r="BE224" s="373"/>
      <c r="BF224" s="373"/>
      <c r="BG224" s="373"/>
      <c r="BH224" s="373"/>
      <c r="BI224" s="373"/>
      <c r="BJ224" s="373"/>
    </row>
    <row r="225" spans="1:62">
      <c r="A225" s="91" t="s">
        <v>336</v>
      </c>
      <c r="B225" s="83">
        <v>12.892390001836887</v>
      </c>
      <c r="C225" s="83">
        <v>14.307008742718738</v>
      </c>
      <c r="D225" s="83">
        <v>13.874137417944782</v>
      </c>
      <c r="E225" s="83">
        <v>13.858730322253496</v>
      </c>
      <c r="F225" s="83">
        <v>12.901545369152979</v>
      </c>
      <c r="G225" s="83">
        <v>13.067524328959884</v>
      </c>
      <c r="H225" s="83">
        <v>13.475738283597121</v>
      </c>
      <c r="I225" s="83">
        <v>12.656778414717175</v>
      </c>
      <c r="J225" s="83">
        <v>12.838939329618892</v>
      </c>
      <c r="K225" s="83">
        <v>12.905245186366018</v>
      </c>
      <c r="L225" s="83">
        <v>12.946485961856038</v>
      </c>
      <c r="M225" s="83">
        <v>13.280682100949603</v>
      </c>
      <c r="N225" s="83">
        <v>13.374533130461842</v>
      </c>
      <c r="O225" s="83">
        <v>14.322773284126189</v>
      </c>
      <c r="P225" s="83">
        <v>14.714427401756289</v>
      </c>
      <c r="Q225" s="83">
        <v>14.783503591788264</v>
      </c>
      <c r="R225" s="83">
        <v>14.316437072055599</v>
      </c>
      <c r="S225" s="83">
        <v>13.738219450229384</v>
      </c>
      <c r="T225" s="83">
        <v>14.413570858483613</v>
      </c>
      <c r="U225" s="83">
        <v>14.357383535836462</v>
      </c>
      <c r="V225" s="83">
        <v>15.422903395477912</v>
      </c>
      <c r="W225" s="83">
        <v>14.529840835616149</v>
      </c>
      <c r="X225" s="83">
        <v>15.107545066653872</v>
      </c>
      <c r="Y225" s="83">
        <v>15.481744933200435</v>
      </c>
      <c r="Z225" s="83">
        <v>15.060843908503479</v>
      </c>
      <c r="AA225" s="83">
        <v>15.188310873107167</v>
      </c>
      <c r="AB225" s="83">
        <v>16.07919131092072</v>
      </c>
      <c r="AC225" s="83">
        <v>16.140942536760743</v>
      </c>
      <c r="AD225" s="83">
        <v>15.94212122416641</v>
      </c>
      <c r="AE225" s="83">
        <v>16.279560928576853</v>
      </c>
      <c r="AF225" s="83">
        <v>15.226300255804905</v>
      </c>
      <c r="AG225" s="83">
        <v>16.158448918236065</v>
      </c>
      <c r="AH225" s="83">
        <v>16.006537462590135</v>
      </c>
      <c r="AI225" s="83">
        <v>14.879794368406204</v>
      </c>
      <c r="AJ225" s="83">
        <v>14.741128154332518</v>
      </c>
      <c r="AK225" s="376"/>
      <c r="AL225" s="376"/>
      <c r="AM225" s="376"/>
      <c r="AN225" s="376"/>
      <c r="AO225" s="376"/>
      <c r="AP225" s="374"/>
      <c r="AQ225" s="374"/>
      <c r="AR225" s="374"/>
      <c r="AS225" s="374"/>
      <c r="AT225" s="374"/>
      <c r="AU225" s="374"/>
      <c r="AV225" s="374"/>
      <c r="AW225" s="374"/>
      <c r="AX225" s="374"/>
      <c r="AY225" s="374"/>
      <c r="AZ225" s="374"/>
      <c r="BA225" s="374"/>
      <c r="BB225" s="374"/>
      <c r="BC225" s="374"/>
      <c r="BD225" s="374"/>
      <c r="BE225" s="374"/>
      <c r="BF225" s="374"/>
      <c r="BG225" s="374"/>
      <c r="BH225" s="374"/>
      <c r="BI225" s="374"/>
      <c r="BJ225" s="374"/>
    </row>
    <row r="226" spans="1:62">
      <c r="A226" s="141" t="s">
        <v>337</v>
      </c>
      <c r="B226" s="274">
        <v>368.18410756245811</v>
      </c>
      <c r="C226" s="274">
        <v>394.84844953116306</v>
      </c>
      <c r="D226" s="274">
        <v>386.3090754777121</v>
      </c>
      <c r="E226" s="274">
        <v>366.85373698680161</v>
      </c>
      <c r="F226" s="274">
        <v>358.86026483361132</v>
      </c>
      <c r="G226" s="274">
        <v>365.52191205605487</v>
      </c>
      <c r="H226" s="274">
        <v>382.14178242668015</v>
      </c>
      <c r="I226" s="274">
        <v>373.06562962537595</v>
      </c>
      <c r="J226" s="274">
        <v>390.92836062332299</v>
      </c>
      <c r="K226" s="274">
        <v>390.991657225496</v>
      </c>
      <c r="L226" s="274">
        <v>383.68957024200728</v>
      </c>
      <c r="M226" s="274">
        <v>389.63941225385548</v>
      </c>
      <c r="N226" s="274">
        <v>383.53793168635542</v>
      </c>
      <c r="O226" s="274">
        <v>391.37693224714468</v>
      </c>
      <c r="P226" s="274">
        <v>390.29547308273914</v>
      </c>
      <c r="Q226" s="274">
        <v>392.35978823145905</v>
      </c>
      <c r="R226" s="274">
        <v>379.72372450292534</v>
      </c>
      <c r="S226" s="274">
        <v>368.26407807656358</v>
      </c>
      <c r="T226" s="274">
        <v>365.79046264997402</v>
      </c>
      <c r="U226" s="274">
        <v>356.71912049689956</v>
      </c>
      <c r="V226" s="274">
        <v>359.3959072173227</v>
      </c>
      <c r="W226" s="274">
        <v>336.18136306783947</v>
      </c>
      <c r="X226" s="274">
        <v>342.06337584013988</v>
      </c>
      <c r="Y226" s="274">
        <v>342.78207027388697</v>
      </c>
      <c r="Z226" s="274">
        <v>309.66872265293114</v>
      </c>
      <c r="AA226" s="274">
        <v>315.91795255004206</v>
      </c>
      <c r="AB226" s="274">
        <v>319.92857668049191</v>
      </c>
      <c r="AC226" s="274">
        <v>320.85255116024632</v>
      </c>
      <c r="AD226" s="274">
        <v>305.31807500647119</v>
      </c>
      <c r="AE226" s="274">
        <v>300.23574050035103</v>
      </c>
      <c r="AF226" s="274">
        <v>267.92953396634056</v>
      </c>
      <c r="AG226" s="274">
        <v>291.44501171505033</v>
      </c>
      <c r="AH226" s="274">
        <v>280.94782548648482</v>
      </c>
      <c r="AI226" s="274">
        <v>258.38986138849009</v>
      </c>
      <c r="AJ226" s="274">
        <v>249.91211479101651</v>
      </c>
      <c r="AK226" s="377"/>
      <c r="AL226" s="377"/>
      <c r="AM226" s="377"/>
      <c r="AN226" s="377"/>
      <c r="AO226" s="377"/>
      <c r="AP226" s="375"/>
      <c r="AQ226" s="375"/>
      <c r="AR226" s="375"/>
      <c r="AS226" s="375"/>
      <c r="AT226" s="375"/>
      <c r="AU226" s="375"/>
      <c r="AV226" s="375"/>
      <c r="AW226" s="375"/>
      <c r="AX226" s="375"/>
      <c r="AY226" s="375"/>
      <c r="AZ226" s="375"/>
      <c r="BA226" s="375"/>
      <c r="BB226" s="375"/>
      <c r="BC226" s="375"/>
      <c r="BD226" s="375"/>
      <c r="BE226" s="375"/>
      <c r="BF226" s="375"/>
      <c r="BG226" s="375"/>
      <c r="BH226" s="375"/>
      <c r="BI226" s="375"/>
      <c r="BJ226" s="375"/>
    </row>
    <row r="227" spans="1:62">
      <c r="A227" s="36"/>
    </row>
    <row r="230" spans="1:62">
      <c r="A230" s="130" t="s">
        <v>362</v>
      </c>
      <c r="B230" s="130"/>
      <c r="C230" s="130"/>
      <c r="D230" s="130"/>
      <c r="E230" s="130"/>
      <c r="F230" s="130"/>
      <c r="G230" s="130"/>
      <c r="H230" s="130"/>
      <c r="I230" s="130"/>
      <c r="J230" s="130"/>
      <c r="K230" s="130"/>
      <c r="L230" s="130"/>
      <c r="M230" s="130"/>
      <c r="N230" s="130"/>
      <c r="O230" s="130"/>
      <c r="P230" s="130"/>
      <c r="Q230" s="130"/>
      <c r="R230" s="130"/>
      <c r="S230" s="130"/>
      <c r="T230" s="130"/>
      <c r="U230" s="130"/>
      <c r="V230" s="130"/>
      <c r="W230" s="130"/>
      <c r="X230" s="130"/>
      <c r="Y230" s="130"/>
      <c r="Z230" s="130"/>
      <c r="AA230" s="130"/>
      <c r="AB230" s="130"/>
      <c r="AC230" s="130"/>
      <c r="AD230" s="130"/>
      <c r="AE230" s="130"/>
      <c r="AF230" s="130"/>
      <c r="AG230" s="130"/>
      <c r="AH230" s="130"/>
      <c r="AI230" s="130"/>
      <c r="AJ230" s="130"/>
      <c r="AK230" s="497" t="s">
        <v>262</v>
      </c>
      <c r="AL230" s="497"/>
      <c r="AM230" s="497"/>
      <c r="AN230" s="497"/>
      <c r="AO230" s="497"/>
      <c r="AP230" s="497"/>
      <c r="AQ230" s="497"/>
      <c r="AR230" s="497"/>
      <c r="AS230" s="497"/>
      <c r="AT230" s="497"/>
      <c r="AU230" s="497"/>
      <c r="AV230" s="497"/>
      <c r="AW230" s="497"/>
      <c r="AX230" s="497"/>
      <c r="AY230" s="497"/>
      <c r="AZ230" s="497"/>
      <c r="BA230" s="497"/>
      <c r="BB230" s="497"/>
      <c r="BC230" s="497"/>
      <c r="BD230" s="497"/>
      <c r="BE230" s="497"/>
      <c r="BF230" s="497"/>
      <c r="BG230" s="497"/>
      <c r="BH230" s="497"/>
      <c r="BI230" s="497"/>
      <c r="BJ230" s="497"/>
    </row>
    <row r="232" spans="1:62">
      <c r="A232" s="91" t="s">
        <v>363</v>
      </c>
      <c r="B232" s="67">
        <v>1990</v>
      </c>
      <c r="C232" s="67">
        <v>1991</v>
      </c>
      <c r="D232" s="67">
        <v>1992</v>
      </c>
      <c r="E232" s="67">
        <v>1993</v>
      </c>
      <c r="F232" s="67">
        <v>1994</v>
      </c>
      <c r="G232" s="67">
        <v>1995</v>
      </c>
      <c r="H232" s="67">
        <v>1996</v>
      </c>
      <c r="I232" s="67">
        <v>1997</v>
      </c>
      <c r="J232" s="67">
        <v>1998</v>
      </c>
      <c r="K232" s="67">
        <v>1999</v>
      </c>
      <c r="L232" s="67">
        <v>2000</v>
      </c>
      <c r="M232" s="67">
        <v>2001</v>
      </c>
      <c r="N232" s="67">
        <v>2002</v>
      </c>
      <c r="O232" s="67">
        <v>2003</v>
      </c>
      <c r="P232" s="67">
        <v>2004</v>
      </c>
      <c r="Q232" s="67">
        <v>2005</v>
      </c>
      <c r="R232" s="67">
        <v>2006</v>
      </c>
      <c r="S232" s="67">
        <v>2007</v>
      </c>
      <c r="T232" s="67">
        <v>2008</v>
      </c>
      <c r="U232" s="67">
        <v>2009</v>
      </c>
      <c r="V232" s="67">
        <v>2010</v>
      </c>
      <c r="W232" s="67">
        <v>2011</v>
      </c>
      <c r="X232" s="67">
        <v>2012</v>
      </c>
      <c r="Y232" s="67">
        <v>2013</v>
      </c>
      <c r="Z232" s="67">
        <v>2014</v>
      </c>
      <c r="AA232" s="67">
        <v>2015</v>
      </c>
      <c r="AB232" s="67">
        <v>2016</v>
      </c>
      <c r="AC232" s="67">
        <v>2017</v>
      </c>
      <c r="AD232" s="67">
        <v>2018</v>
      </c>
      <c r="AE232" s="67">
        <v>2019</v>
      </c>
      <c r="AF232" s="68">
        <v>2020</v>
      </c>
      <c r="AG232" s="68">
        <v>2021</v>
      </c>
      <c r="AH232" s="68">
        <v>2022</v>
      </c>
      <c r="AI232" s="67">
        <v>2023</v>
      </c>
      <c r="AJ232" s="67">
        <v>2024</v>
      </c>
      <c r="AK232" s="67">
        <v>2025</v>
      </c>
      <c r="AL232" s="67">
        <v>2026</v>
      </c>
      <c r="AM232" s="142">
        <v>2027</v>
      </c>
      <c r="AN232" s="67">
        <v>2028</v>
      </c>
      <c r="AO232" s="142">
        <v>2029</v>
      </c>
      <c r="AP232" s="67">
        <v>2030</v>
      </c>
      <c r="AQ232" s="142">
        <v>2031</v>
      </c>
      <c r="AR232" s="142">
        <v>2032</v>
      </c>
      <c r="AS232" s="67">
        <v>2033</v>
      </c>
      <c r="AT232" s="142">
        <v>2034</v>
      </c>
      <c r="AU232" s="67">
        <v>2035</v>
      </c>
      <c r="AV232" s="142">
        <v>2036</v>
      </c>
      <c r="AW232" s="142">
        <v>2037</v>
      </c>
      <c r="AX232" s="67">
        <v>2038</v>
      </c>
      <c r="AY232" s="142">
        <v>2039</v>
      </c>
      <c r="AZ232" s="67">
        <v>2040</v>
      </c>
      <c r="BA232" s="142">
        <v>2041</v>
      </c>
      <c r="BB232" s="142">
        <v>2042</v>
      </c>
      <c r="BC232" s="142">
        <v>2043</v>
      </c>
      <c r="BD232" s="142">
        <v>2044</v>
      </c>
      <c r="BE232" s="67">
        <v>2045</v>
      </c>
      <c r="BF232" s="142">
        <v>2046</v>
      </c>
      <c r="BG232" s="142">
        <v>2047</v>
      </c>
      <c r="BH232" s="142">
        <v>2048</v>
      </c>
      <c r="BI232" s="142">
        <v>2049</v>
      </c>
      <c r="BJ232" s="67">
        <v>2050</v>
      </c>
    </row>
    <row r="233" spans="1:62">
      <c r="A233" s="91" t="s">
        <v>358</v>
      </c>
      <c r="B233" s="196"/>
      <c r="C233" s="196"/>
      <c r="D233" s="196"/>
      <c r="E233" s="196"/>
      <c r="F233" s="196"/>
      <c r="G233" s="196"/>
      <c r="H233" s="196"/>
      <c r="I233" s="196"/>
      <c r="J233" s="196"/>
      <c r="K233" s="196"/>
      <c r="L233" s="196"/>
      <c r="M233" s="196"/>
      <c r="N233" s="196"/>
      <c r="O233" s="196"/>
      <c r="P233" s="196"/>
      <c r="Q233" s="196"/>
      <c r="R233" s="196"/>
      <c r="S233" s="196"/>
      <c r="T233" s="196"/>
      <c r="U233" s="196"/>
      <c r="V233" s="219">
        <v>172.33719699999997</v>
      </c>
      <c r="W233" s="219">
        <v>177.12128799999999</v>
      </c>
      <c r="X233" s="219">
        <v>168.067059</v>
      </c>
      <c r="Y233" s="219">
        <v>165.61427499999999</v>
      </c>
      <c r="Z233" s="219">
        <v>163.52404300000001</v>
      </c>
      <c r="AA233" s="219">
        <v>159.283019</v>
      </c>
      <c r="AB233" s="219">
        <v>156.68554599999999</v>
      </c>
      <c r="AC233" s="219">
        <v>159.03370100000001</v>
      </c>
      <c r="AD233" s="219">
        <v>160.82292999999999</v>
      </c>
      <c r="AE233" s="219">
        <v>159.84575599999999</v>
      </c>
      <c r="AF233" s="219">
        <v>121.02843700000001</v>
      </c>
      <c r="AG233" s="219">
        <v>132.70046599999998</v>
      </c>
      <c r="AH233" s="219">
        <v>144.36653799999999</v>
      </c>
      <c r="AI233" s="219">
        <v>141.52573999999998</v>
      </c>
      <c r="AJ233" s="219">
        <v>138.722261</v>
      </c>
      <c r="AK233" s="219">
        <v>133.25703869165378</v>
      </c>
      <c r="AL233" s="219">
        <v>129.12268803748066</v>
      </c>
      <c r="AM233" s="219">
        <v>124.98833738330754</v>
      </c>
      <c r="AN233" s="219">
        <v>120.85398672913443</v>
      </c>
      <c r="AO233" s="219">
        <v>116.71963607496133</v>
      </c>
      <c r="AP233" s="219">
        <v>112.58528542078821</v>
      </c>
      <c r="AQ233" s="219">
        <v>105.93661818917865</v>
      </c>
      <c r="AR233" s="219">
        <v>99.28795095756908</v>
      </c>
      <c r="AS233" s="219">
        <v>92.63928372595953</v>
      </c>
      <c r="AT233" s="219">
        <v>85.990616494349965</v>
      </c>
      <c r="AU233" s="219">
        <v>79.3419492627404</v>
      </c>
      <c r="AV233" s="219">
        <v>72.693282031130835</v>
      </c>
      <c r="AW233" s="219">
        <v>66.04461479952127</v>
      </c>
      <c r="AX233" s="219">
        <v>59.395947567911712</v>
      </c>
      <c r="AY233" s="219">
        <v>52.747280336302154</v>
      </c>
      <c r="AZ233" s="219">
        <v>46.098613104692589</v>
      </c>
      <c r="BA233" s="219">
        <v>42.798244549899707</v>
      </c>
      <c r="BB233" s="219">
        <v>39.497875995106824</v>
      </c>
      <c r="BC233" s="219">
        <v>36.197507440313942</v>
      </c>
      <c r="BD233" s="219">
        <v>32.897138885521052</v>
      </c>
      <c r="BE233" s="219">
        <v>29.59677033072817</v>
      </c>
      <c r="BF233" s="219">
        <v>26.296401775935287</v>
      </c>
      <c r="BG233" s="219">
        <v>22.996033221142405</v>
      </c>
      <c r="BH233" s="219">
        <v>19.695664666349519</v>
      </c>
      <c r="BI233" s="219">
        <v>16.395296111556632</v>
      </c>
      <c r="BJ233" s="219">
        <v>13.094927556763752</v>
      </c>
    </row>
    <row r="234" spans="1:62">
      <c r="A234" s="91" t="s">
        <v>359</v>
      </c>
      <c r="B234" s="196"/>
      <c r="C234" s="196"/>
      <c r="D234" s="196"/>
      <c r="E234" s="196"/>
      <c r="F234" s="196"/>
      <c r="G234" s="196"/>
      <c r="H234" s="196"/>
      <c r="I234" s="196"/>
      <c r="J234" s="196"/>
      <c r="K234" s="196"/>
      <c r="L234" s="196"/>
      <c r="M234" s="196"/>
      <c r="N234" s="196"/>
      <c r="O234" s="196"/>
      <c r="P234" s="196"/>
      <c r="Q234" s="196"/>
      <c r="R234" s="196"/>
      <c r="S234" s="196"/>
      <c r="T234" s="196"/>
      <c r="U234" s="196"/>
      <c r="V234" s="219">
        <v>177.98037599999998</v>
      </c>
      <c r="W234" s="219">
        <v>167.55078700000001</v>
      </c>
      <c r="X234" s="219">
        <v>168.66969399999999</v>
      </c>
      <c r="Y234" s="219">
        <v>165.93303499999999</v>
      </c>
      <c r="Z234" s="219">
        <v>140.691384</v>
      </c>
      <c r="AA234" s="219">
        <v>138.962264</v>
      </c>
      <c r="AB234" s="219">
        <v>144.792395</v>
      </c>
      <c r="AC234" s="219">
        <v>147.50573</v>
      </c>
      <c r="AD234" s="219">
        <v>142.08949100000001</v>
      </c>
      <c r="AE234" s="219">
        <v>137.742423</v>
      </c>
      <c r="AF234" s="219">
        <v>130.229567</v>
      </c>
      <c r="AG234" s="219">
        <v>147.36213899999998</v>
      </c>
      <c r="AH234" s="219">
        <v>141.95309499999999</v>
      </c>
      <c r="AI234" s="219">
        <v>120.57991199999999</v>
      </c>
      <c r="AJ234" s="219">
        <v>115.043857</v>
      </c>
      <c r="AK234" s="219">
        <v>107.77724223448972</v>
      </c>
      <c r="AL234" s="219">
        <v>101.37590735173458</v>
      </c>
      <c r="AM234" s="219">
        <v>94.974572468979446</v>
      </c>
      <c r="AN234" s="219">
        <v>88.573237586224309</v>
      </c>
      <c r="AO234" s="219">
        <v>82.171902703469186</v>
      </c>
      <c r="AP234" s="219">
        <v>75.770567820714035</v>
      </c>
      <c r="AQ234" s="219">
        <v>71.50666451932328</v>
      </c>
      <c r="AR234" s="219">
        <v>67.242761217932539</v>
      </c>
      <c r="AS234" s="219">
        <v>62.978857916541784</v>
      </c>
      <c r="AT234" s="219">
        <v>58.714954615151036</v>
      </c>
      <c r="AU234" s="219">
        <v>54.451051313760289</v>
      </c>
      <c r="AV234" s="219">
        <v>50.187148012369541</v>
      </c>
      <c r="AW234" s="219">
        <v>45.923244710978786</v>
      </c>
      <c r="AX234" s="219">
        <v>41.659341409588038</v>
      </c>
      <c r="AY234" s="219">
        <v>37.395438108197297</v>
      </c>
      <c r="AZ234" s="219">
        <v>33.131534806806542</v>
      </c>
      <c r="BA234" s="219">
        <v>31.151716026748133</v>
      </c>
      <c r="BB234" s="219">
        <v>29.171897246689721</v>
      </c>
      <c r="BC234" s="219">
        <v>27.192078466631312</v>
      </c>
      <c r="BD234" s="219">
        <v>25.212259686572899</v>
      </c>
      <c r="BE234" s="219">
        <v>23.232440906514491</v>
      </c>
      <c r="BF234" s="219">
        <v>21.252622126456082</v>
      </c>
      <c r="BG234" s="219">
        <v>19.272803346397673</v>
      </c>
      <c r="BH234" s="219">
        <v>17.292984566339261</v>
      </c>
      <c r="BI234" s="219">
        <v>15.313165786280848</v>
      </c>
      <c r="BJ234" s="219">
        <v>13.333347006222441</v>
      </c>
    </row>
    <row r="235" spans="1:62">
      <c r="A235" s="91" t="s">
        <v>360</v>
      </c>
      <c r="B235" s="196"/>
      <c r="C235" s="196"/>
      <c r="D235" s="196"/>
      <c r="E235" s="196"/>
      <c r="F235" s="196"/>
      <c r="G235" s="196"/>
      <c r="H235" s="196"/>
      <c r="I235" s="196"/>
      <c r="J235" s="196"/>
      <c r="K235" s="196"/>
      <c r="L235" s="196"/>
      <c r="M235" s="196"/>
      <c r="N235" s="196"/>
      <c r="O235" s="196"/>
      <c r="P235" s="196"/>
      <c r="Q235" s="196"/>
      <c r="R235" s="196"/>
      <c r="S235" s="196"/>
      <c r="T235" s="196"/>
      <c r="U235" s="196"/>
      <c r="V235" s="219">
        <v>160.79925599999999</v>
      </c>
      <c r="W235" s="219">
        <v>155.917394</v>
      </c>
      <c r="X235" s="219">
        <v>154.27154300000001</v>
      </c>
      <c r="Y235" s="219">
        <v>151.56399500000001</v>
      </c>
      <c r="Z235" s="219">
        <v>150.67484999999999</v>
      </c>
      <c r="AA235" s="219">
        <v>146.97321400000001</v>
      </c>
      <c r="AB235" s="219">
        <v>146.662218</v>
      </c>
      <c r="AC235" s="219">
        <v>149.11349299999998</v>
      </c>
      <c r="AD235" s="219">
        <v>147.78298699999999</v>
      </c>
      <c r="AE235" s="219">
        <v>142.392055</v>
      </c>
      <c r="AF235" s="219">
        <v>141.953035</v>
      </c>
      <c r="AG235" s="219">
        <v>143.01458799999997</v>
      </c>
      <c r="AH235" s="219">
        <v>138.01864699999999</v>
      </c>
      <c r="AI235" s="219">
        <v>135.01611300000002</v>
      </c>
      <c r="AJ235" s="219">
        <v>129.95611600000001</v>
      </c>
      <c r="AK235" s="219">
        <v>127.97580032681974</v>
      </c>
      <c r="AL235" s="219">
        <v>124.45564399022959</v>
      </c>
      <c r="AM235" s="219">
        <v>120.93548765363946</v>
      </c>
      <c r="AN235" s="219">
        <v>117.41533131704931</v>
      </c>
      <c r="AO235" s="219">
        <v>113.89517498045916</v>
      </c>
      <c r="AP235" s="219">
        <v>110.37501864386903</v>
      </c>
      <c r="AQ235" s="219">
        <v>107.64850232465176</v>
      </c>
      <c r="AR235" s="219">
        <v>104.92198600543449</v>
      </c>
      <c r="AS235" s="219">
        <v>102.19546968621722</v>
      </c>
      <c r="AT235" s="219">
        <v>99.468953366999955</v>
      </c>
      <c r="AU235" s="219">
        <v>96.742437047782687</v>
      </c>
      <c r="AV235" s="219">
        <v>94.015920728565419</v>
      </c>
      <c r="AW235" s="219">
        <v>91.289404409348151</v>
      </c>
      <c r="AX235" s="219">
        <v>88.562888090130883</v>
      </c>
      <c r="AY235" s="219">
        <v>85.836371770913615</v>
      </c>
      <c r="AZ235" s="219">
        <v>83.109855451696347</v>
      </c>
      <c r="BA235" s="219">
        <v>81.72294050288653</v>
      </c>
      <c r="BB235" s="219">
        <v>80.336025554076727</v>
      </c>
      <c r="BC235" s="219">
        <v>78.94911060526691</v>
      </c>
      <c r="BD235" s="219">
        <v>77.562195656457092</v>
      </c>
      <c r="BE235" s="219">
        <v>76.175280707647289</v>
      </c>
      <c r="BF235" s="219">
        <v>74.788365758837472</v>
      </c>
      <c r="BG235" s="219">
        <v>73.401450810027654</v>
      </c>
      <c r="BH235" s="219">
        <v>72.014535861217837</v>
      </c>
      <c r="BI235" s="219">
        <v>70.627620912408034</v>
      </c>
      <c r="BJ235" s="219">
        <v>69.240705963598216</v>
      </c>
    </row>
    <row r="236" spans="1:62">
      <c r="A236" s="91" t="s">
        <v>361</v>
      </c>
      <c r="B236" s="196"/>
      <c r="C236" s="196"/>
      <c r="D236" s="196"/>
      <c r="E236" s="196"/>
      <c r="F236" s="196"/>
      <c r="G236" s="196"/>
      <c r="H236" s="196"/>
      <c r="I236" s="196"/>
      <c r="J236" s="196"/>
      <c r="K236" s="196"/>
      <c r="L236" s="196"/>
      <c r="M236" s="196"/>
      <c r="N236" s="196"/>
      <c r="O236" s="196"/>
      <c r="P236" s="196"/>
      <c r="Q236" s="196"/>
      <c r="R236" s="196"/>
      <c r="S236" s="196"/>
      <c r="T236" s="196"/>
      <c r="U236" s="196"/>
      <c r="V236" s="219">
        <v>92.446488000000002</v>
      </c>
      <c r="W236" s="219">
        <v>99.577573999999998</v>
      </c>
      <c r="X236" s="219">
        <v>84.137005000000002</v>
      </c>
      <c r="Y236" s="219">
        <v>86.796152000000006</v>
      </c>
      <c r="Z236" s="219">
        <v>86.238828999999996</v>
      </c>
      <c r="AA236" s="219">
        <v>80.396878000000001</v>
      </c>
      <c r="AB236" s="219">
        <v>77.733464999999995</v>
      </c>
      <c r="AC236" s="219">
        <v>74.650542000000002</v>
      </c>
      <c r="AD236" s="219">
        <v>76.453626</v>
      </c>
      <c r="AE236" s="219">
        <v>70.928927000000002</v>
      </c>
      <c r="AF236" s="219">
        <v>66.494615999999994</v>
      </c>
      <c r="AG236" s="219">
        <v>65.785509999999988</v>
      </c>
      <c r="AH236" s="219">
        <v>64.436723999999998</v>
      </c>
      <c r="AI236" s="219">
        <v>56.864474999999999</v>
      </c>
      <c r="AJ236" s="219">
        <v>53.226961000000003</v>
      </c>
      <c r="AK236" s="219">
        <v>53.603153986626232</v>
      </c>
      <c r="AL236" s="219">
        <v>51.972493479939345</v>
      </c>
      <c r="AM236" s="219">
        <v>50.341832973252458</v>
      </c>
      <c r="AN236" s="219">
        <v>48.711172466565571</v>
      </c>
      <c r="AO236" s="219">
        <v>47.080511959878692</v>
      </c>
      <c r="AP236" s="219">
        <v>45.449851453191805</v>
      </c>
      <c r="AQ236" s="219">
        <v>43.307510139324044</v>
      </c>
      <c r="AR236" s="219">
        <v>41.165168825456291</v>
      </c>
      <c r="AS236" s="219">
        <v>39.022827511588531</v>
      </c>
      <c r="AT236" s="219">
        <v>36.880486197720778</v>
      </c>
      <c r="AU236" s="219">
        <v>34.738144883853018</v>
      </c>
      <c r="AV236" s="219">
        <v>32.595803569985264</v>
      </c>
      <c r="AW236" s="219">
        <v>30.453462256117504</v>
      </c>
      <c r="AX236" s="219">
        <v>28.311120942249747</v>
      </c>
      <c r="AY236" s="219">
        <v>26.168779628381991</v>
      </c>
      <c r="AZ236" s="219">
        <v>24.026438314514234</v>
      </c>
      <c r="BA236" s="219">
        <v>23.135137677877076</v>
      </c>
      <c r="BB236" s="219">
        <v>22.243837041239921</v>
      </c>
      <c r="BC236" s="219">
        <v>21.352536404602766</v>
      </c>
      <c r="BD236" s="219">
        <v>20.461235767965608</v>
      </c>
      <c r="BE236" s="219">
        <v>19.56993513132845</v>
      </c>
      <c r="BF236" s="219">
        <v>18.678634494691295</v>
      </c>
      <c r="BG236" s="219">
        <v>17.78733385805414</v>
      </c>
      <c r="BH236" s="219">
        <v>16.896033221416982</v>
      </c>
      <c r="BI236" s="219">
        <v>16.004732584779823</v>
      </c>
      <c r="BJ236" s="219">
        <v>15.113431948142669</v>
      </c>
    </row>
    <row r="237" spans="1:62">
      <c r="A237" s="91" t="s">
        <v>379</v>
      </c>
      <c r="B237" s="196"/>
      <c r="C237" s="196"/>
      <c r="D237" s="196"/>
      <c r="E237" s="196"/>
      <c r="F237" s="196"/>
      <c r="G237" s="196"/>
      <c r="H237" s="196"/>
      <c r="I237" s="196"/>
      <c r="J237" s="196"/>
      <c r="K237" s="196"/>
      <c r="L237" s="196"/>
      <c r="M237" s="196"/>
      <c r="N237" s="196"/>
      <c r="O237" s="196"/>
      <c r="P237" s="196"/>
      <c r="Q237" s="196"/>
      <c r="R237" s="196"/>
      <c r="S237" s="196"/>
      <c r="T237" s="196"/>
      <c r="U237" s="196"/>
      <c r="V237" s="219">
        <v>145.41635399999998</v>
      </c>
      <c r="W237" s="219">
        <v>139.91463399999998</v>
      </c>
      <c r="X237" s="219">
        <v>137.59725899999998</v>
      </c>
      <c r="Y237" s="219">
        <v>135.10388599999999</v>
      </c>
      <c r="Z237" s="219">
        <v>129.295818</v>
      </c>
      <c r="AA237" s="219">
        <v>122.25890200000001</v>
      </c>
      <c r="AB237" s="219">
        <v>122.62452400000001</v>
      </c>
      <c r="AC237" s="219">
        <v>125.22899799999999</v>
      </c>
      <c r="AD237" s="219">
        <v>127.12790699999999</v>
      </c>
      <c r="AE237" s="219">
        <v>126.40831799999999</v>
      </c>
      <c r="AF237" s="219">
        <v>120.842411</v>
      </c>
      <c r="AG237" s="219">
        <v>130.90599599999999</v>
      </c>
      <c r="AH237" s="219">
        <v>131.947821</v>
      </c>
      <c r="AI237" s="219">
        <v>128.57513799999998</v>
      </c>
      <c r="AJ237" s="219">
        <v>125.877611</v>
      </c>
      <c r="AK237" s="219">
        <v>115.33598815191671</v>
      </c>
      <c r="AL237" s="219">
        <v>108.71641322787508</v>
      </c>
      <c r="AM237" s="219">
        <v>102.09683830383345</v>
      </c>
      <c r="AN237" s="219">
        <v>95.477263379791822</v>
      </c>
      <c r="AO237" s="219">
        <v>88.857688455750178</v>
      </c>
      <c r="AP237" s="219">
        <v>82.238113531708549</v>
      </c>
      <c r="AQ237" s="219">
        <v>78.97575338791026</v>
      </c>
      <c r="AR237" s="219">
        <v>75.713393244111984</v>
      </c>
      <c r="AS237" s="219">
        <v>72.451033100313694</v>
      </c>
      <c r="AT237" s="219">
        <v>69.188672956515404</v>
      </c>
      <c r="AU237" s="219">
        <v>65.926312812717129</v>
      </c>
      <c r="AV237" s="219">
        <v>62.663952668918839</v>
      </c>
      <c r="AW237" s="219">
        <v>59.401592525120549</v>
      </c>
      <c r="AX237" s="219">
        <v>56.139232381322266</v>
      </c>
      <c r="AY237" s="219">
        <v>52.876872237523976</v>
      </c>
      <c r="AZ237" s="219">
        <v>49.614512093725693</v>
      </c>
      <c r="BA237" s="219">
        <v>48.0648473061662</v>
      </c>
      <c r="BB237" s="219">
        <v>46.515182518606714</v>
      </c>
      <c r="BC237" s="219">
        <v>44.965517731047221</v>
      </c>
      <c r="BD237" s="219">
        <v>43.415852943487735</v>
      </c>
      <c r="BE237" s="219">
        <v>41.866188155928242</v>
      </c>
      <c r="BF237" s="219">
        <v>40.316523368368749</v>
      </c>
      <c r="BG237" s="219">
        <v>38.766858580809263</v>
      </c>
      <c r="BH237" s="219">
        <v>37.21719379324977</v>
      </c>
      <c r="BI237" s="219">
        <v>35.667529005690284</v>
      </c>
      <c r="BJ237" s="219">
        <v>34.117864218130791</v>
      </c>
    </row>
    <row r="238" spans="1:62">
      <c r="A238" s="91" t="s">
        <v>362</v>
      </c>
      <c r="B238" s="196"/>
      <c r="C238" s="196"/>
      <c r="D238" s="196"/>
      <c r="E238" s="196"/>
      <c r="F238" s="196"/>
      <c r="G238" s="196"/>
      <c r="H238" s="196"/>
      <c r="I238" s="196"/>
      <c r="J238" s="196"/>
      <c r="K238" s="196"/>
      <c r="L238" s="196"/>
      <c r="M238" s="196"/>
      <c r="N238" s="196"/>
      <c r="O238" s="196"/>
      <c r="P238" s="196"/>
      <c r="Q238" s="196"/>
      <c r="R238" s="196"/>
      <c r="S238" s="196"/>
      <c r="T238" s="196"/>
      <c r="U238" s="196"/>
      <c r="V238" s="219">
        <f>SUM(V233:V237)</f>
        <v>748.97967099999994</v>
      </c>
      <c r="W238" s="219">
        <f t="shared" ref="W238:AD238" si="216">SUM(W233:W237)</f>
        <v>740.08167700000001</v>
      </c>
      <c r="X238" s="219">
        <f t="shared" si="216"/>
        <v>712.74256000000003</v>
      </c>
      <c r="Y238" s="219">
        <f t="shared" si="216"/>
        <v>705.01134300000001</v>
      </c>
      <c r="Z238" s="219">
        <f t="shared" si="216"/>
        <v>670.42492399999992</v>
      </c>
      <c r="AA238" s="219">
        <f t="shared" si="216"/>
        <v>647.87427700000001</v>
      </c>
      <c r="AB238" s="219">
        <f t="shared" si="216"/>
        <v>648.4981479999999</v>
      </c>
      <c r="AC238" s="219">
        <f t="shared" si="216"/>
        <v>655.53246399999989</v>
      </c>
      <c r="AD238" s="219">
        <f t="shared" si="216"/>
        <v>654.27694100000008</v>
      </c>
      <c r="AE238" s="219">
        <v>637.31747899999993</v>
      </c>
      <c r="AF238" s="219">
        <v>580.54806600000006</v>
      </c>
      <c r="AG238" s="219">
        <v>619.76869899999997</v>
      </c>
      <c r="AH238" s="219">
        <v>620.72282499999994</v>
      </c>
      <c r="AI238" s="219">
        <v>582.56137799999988</v>
      </c>
      <c r="AJ238" s="219">
        <v>562.82680600000003</v>
      </c>
      <c r="AK238" s="219">
        <v>537.94922339150617</v>
      </c>
      <c r="AL238" s="219">
        <v>515.64314608725931</v>
      </c>
      <c r="AM238" s="219">
        <v>493.3370687830124</v>
      </c>
      <c r="AN238" s="219">
        <v>471.03099147876549</v>
      </c>
      <c r="AO238" s="219">
        <v>448.72491417451857</v>
      </c>
      <c r="AP238" s="219">
        <v>426.4188368702716</v>
      </c>
      <c r="AQ238" s="219">
        <v>407.375048560388</v>
      </c>
      <c r="AR238" s="219">
        <v>388.33126025050433</v>
      </c>
      <c r="AS238" s="219">
        <v>369.28747194062078</v>
      </c>
      <c r="AT238" s="219">
        <v>350.24368363073711</v>
      </c>
      <c r="AU238" s="219">
        <v>331.1998953208535</v>
      </c>
      <c r="AV238" s="219">
        <v>312.15610701096989</v>
      </c>
      <c r="AW238" s="219">
        <v>293.11231870108622</v>
      </c>
      <c r="AX238" s="219">
        <v>274.06853039120261</v>
      </c>
      <c r="AY238" s="219">
        <v>255.02474208131903</v>
      </c>
      <c r="AZ238" s="219">
        <v>235.9809537714354</v>
      </c>
      <c r="BA238" s="219">
        <v>226.87288606357765</v>
      </c>
      <c r="BB238" s="219">
        <v>217.76481835571988</v>
      </c>
      <c r="BC238" s="219">
        <v>208.65675064786214</v>
      </c>
      <c r="BD238" s="219">
        <v>199.54868294000437</v>
      </c>
      <c r="BE238" s="219">
        <v>190.44061523214663</v>
      </c>
      <c r="BF238" s="219">
        <v>181.33254752428888</v>
      </c>
      <c r="BG238" s="219">
        <v>172.22447981643114</v>
      </c>
      <c r="BH238" s="219">
        <v>163.11641210857337</v>
      </c>
      <c r="BI238" s="219">
        <v>154.00834440071563</v>
      </c>
      <c r="BJ238" s="219">
        <v>144.90027669285786</v>
      </c>
    </row>
    <row r="240" spans="1:62">
      <c r="A240" s="91" t="s">
        <v>364</v>
      </c>
      <c r="B240" s="67">
        <v>1990</v>
      </c>
      <c r="C240" s="67">
        <v>1991</v>
      </c>
      <c r="D240" s="67">
        <v>1992</v>
      </c>
      <c r="E240" s="67">
        <v>1993</v>
      </c>
      <c r="F240" s="67">
        <v>1994</v>
      </c>
      <c r="G240" s="67">
        <v>1995</v>
      </c>
      <c r="H240" s="67">
        <v>1996</v>
      </c>
      <c r="I240" s="67">
        <v>1997</v>
      </c>
      <c r="J240" s="67">
        <v>1998</v>
      </c>
      <c r="K240" s="67">
        <v>1999</v>
      </c>
      <c r="L240" s="67">
        <v>2000</v>
      </c>
      <c r="M240" s="67">
        <v>2001</v>
      </c>
      <c r="N240" s="67">
        <v>2002</v>
      </c>
      <c r="O240" s="67">
        <v>2003</v>
      </c>
      <c r="P240" s="67">
        <v>2004</v>
      </c>
      <c r="Q240" s="67">
        <v>2005</v>
      </c>
      <c r="R240" s="67">
        <v>2006</v>
      </c>
      <c r="S240" s="67">
        <v>2007</v>
      </c>
      <c r="T240" s="67">
        <v>2008</v>
      </c>
      <c r="U240" s="67">
        <v>2009</v>
      </c>
      <c r="V240" s="67">
        <v>2010</v>
      </c>
      <c r="W240" s="67">
        <v>2011</v>
      </c>
      <c r="X240" s="67">
        <v>2012</v>
      </c>
      <c r="Y240" s="67">
        <v>2013</v>
      </c>
      <c r="Z240" s="67">
        <v>2014</v>
      </c>
      <c r="AA240" s="67">
        <v>2015</v>
      </c>
      <c r="AB240" s="67">
        <v>2016</v>
      </c>
      <c r="AC240" s="67">
        <v>2017</v>
      </c>
      <c r="AD240" s="67">
        <v>2018</v>
      </c>
      <c r="AE240" s="67">
        <v>2019</v>
      </c>
      <c r="AF240" s="68">
        <v>2020</v>
      </c>
      <c r="AG240" s="68">
        <v>2021</v>
      </c>
      <c r="AH240" s="68">
        <v>2022</v>
      </c>
      <c r="AI240" s="67">
        <v>2023</v>
      </c>
      <c r="AJ240" s="67">
        <v>2024</v>
      </c>
      <c r="AK240" s="67">
        <v>2025</v>
      </c>
      <c r="AL240" s="67">
        <v>2026</v>
      </c>
      <c r="AM240" s="142">
        <v>2027</v>
      </c>
      <c r="AN240" s="67">
        <v>2028</v>
      </c>
      <c r="AO240" s="142">
        <v>2029</v>
      </c>
      <c r="AP240" s="67">
        <v>2030</v>
      </c>
      <c r="AQ240" s="142">
        <v>2031</v>
      </c>
      <c r="AR240" s="142">
        <v>2032</v>
      </c>
      <c r="AS240" s="67">
        <v>2033</v>
      </c>
      <c r="AT240" s="142">
        <v>2034</v>
      </c>
      <c r="AU240" s="67">
        <v>2035</v>
      </c>
      <c r="AV240" s="142">
        <v>2036</v>
      </c>
      <c r="AW240" s="142">
        <v>2037</v>
      </c>
      <c r="AX240" s="67">
        <v>2038</v>
      </c>
      <c r="AY240" s="142">
        <v>2039</v>
      </c>
      <c r="AZ240" s="67">
        <v>2040</v>
      </c>
      <c r="BA240" s="142">
        <v>2041</v>
      </c>
      <c r="BB240" s="142">
        <v>2042</v>
      </c>
      <c r="BC240" s="142">
        <v>2043</v>
      </c>
      <c r="BD240" s="142">
        <v>2044</v>
      </c>
      <c r="BE240" s="67">
        <v>2045</v>
      </c>
      <c r="BF240" s="142">
        <v>2046</v>
      </c>
      <c r="BG240" s="142">
        <v>2047</v>
      </c>
      <c r="BH240" s="142">
        <v>2048</v>
      </c>
      <c r="BI240" s="142">
        <v>2049</v>
      </c>
      <c r="BJ240" s="67">
        <v>2050</v>
      </c>
    </row>
    <row r="241" spans="1:62">
      <c r="A241" s="91" t="s">
        <v>358</v>
      </c>
      <c r="B241" s="196"/>
      <c r="C241" s="196"/>
      <c r="D241" s="196"/>
      <c r="E241" s="196"/>
      <c r="F241" s="196"/>
      <c r="G241" s="196"/>
      <c r="H241" s="196"/>
      <c r="I241" s="196"/>
      <c r="J241" s="196"/>
      <c r="K241" s="196"/>
      <c r="L241" s="196"/>
      <c r="M241" s="196"/>
      <c r="N241" s="196"/>
      <c r="O241" s="196"/>
      <c r="P241" s="196"/>
      <c r="Q241" s="196"/>
      <c r="R241" s="196"/>
      <c r="S241" s="196"/>
      <c r="T241" s="196"/>
      <c r="U241" s="196"/>
      <c r="V241" s="219">
        <v>172.33719699999997</v>
      </c>
      <c r="W241" s="219">
        <v>177.12128799999999</v>
      </c>
      <c r="X241" s="219">
        <v>168.067059</v>
      </c>
      <c r="Y241" s="219">
        <v>165.61427499999999</v>
      </c>
      <c r="Z241" s="219">
        <v>163.52404300000001</v>
      </c>
      <c r="AA241" s="219">
        <v>159.283019</v>
      </c>
      <c r="AB241" s="219">
        <v>156.68554599999999</v>
      </c>
      <c r="AC241" s="219">
        <v>159.03370100000001</v>
      </c>
      <c r="AD241" s="219">
        <v>160.82292999999999</v>
      </c>
      <c r="AE241" s="219">
        <v>159.84575599999999</v>
      </c>
      <c r="AF241" s="219">
        <v>121.02843700000001</v>
      </c>
      <c r="AG241" s="219">
        <v>132.70046599999998</v>
      </c>
      <c r="AH241" s="219">
        <v>144.36653799999999</v>
      </c>
      <c r="AI241" s="219">
        <v>141.52573999999998</v>
      </c>
      <c r="AJ241" s="219">
        <v>138.722261</v>
      </c>
      <c r="AK241" s="219">
        <v>135.47512616421733</v>
      </c>
      <c r="AL241" s="219">
        <v>132.449819246326</v>
      </c>
      <c r="AM241" s="219">
        <v>129.42451232843467</v>
      </c>
      <c r="AN241" s="219">
        <v>126.39920541054335</v>
      </c>
      <c r="AO241" s="219">
        <v>123.37389849265202</v>
      </c>
      <c r="AP241" s="219">
        <v>120.34859157476069</v>
      </c>
      <c r="AQ241" s="219">
        <v>114.05048732423107</v>
      </c>
      <c r="AR241" s="219">
        <v>107.75238307370145</v>
      </c>
      <c r="AS241" s="219">
        <v>101.45427882317182</v>
      </c>
      <c r="AT241" s="219">
        <v>95.1561745726422</v>
      </c>
      <c r="AU241" s="219">
        <v>88.858070322112582</v>
      </c>
      <c r="AV241" s="219">
        <v>82.559966071582949</v>
      </c>
      <c r="AW241" s="219">
        <v>76.26186182105333</v>
      </c>
      <c r="AX241" s="219">
        <v>69.963757570523711</v>
      </c>
      <c r="AY241" s="219">
        <v>63.665653319994092</v>
      </c>
      <c r="AZ241" s="219">
        <v>57.367549069464467</v>
      </c>
      <c r="BA241" s="219">
        <v>53.989530193388411</v>
      </c>
      <c r="BB241" s="219">
        <v>50.611511317312356</v>
      </c>
      <c r="BC241" s="219">
        <v>47.233492441236308</v>
      </c>
      <c r="BD241" s="219">
        <v>43.855473565160253</v>
      </c>
      <c r="BE241" s="219">
        <v>40.477454689084198</v>
      </c>
      <c r="BF241" s="219">
        <v>37.099435813008142</v>
      </c>
      <c r="BG241" s="219">
        <v>33.721416936932087</v>
      </c>
      <c r="BH241" s="219">
        <v>30.343398060856032</v>
      </c>
      <c r="BI241" s="219">
        <v>26.965379184779977</v>
      </c>
      <c r="BJ241" s="219">
        <v>23.587360308703921</v>
      </c>
    </row>
    <row r="242" spans="1:62">
      <c r="A242" s="91" t="s">
        <v>359</v>
      </c>
      <c r="B242" s="196"/>
      <c r="C242" s="196"/>
      <c r="D242" s="196"/>
      <c r="E242" s="196"/>
      <c r="F242" s="196"/>
      <c r="G242" s="196"/>
      <c r="H242" s="196"/>
      <c r="I242" s="196"/>
      <c r="J242" s="196"/>
      <c r="K242" s="196"/>
      <c r="L242" s="196"/>
      <c r="M242" s="196"/>
      <c r="N242" s="196"/>
      <c r="O242" s="196"/>
      <c r="P242" s="196"/>
      <c r="Q242" s="196"/>
      <c r="R242" s="196"/>
      <c r="S242" s="196"/>
      <c r="T242" s="196"/>
      <c r="U242" s="196"/>
      <c r="V242" s="219">
        <v>177.98037599999998</v>
      </c>
      <c r="W242" s="219">
        <v>167.55078700000001</v>
      </c>
      <c r="X242" s="219">
        <v>168.66969399999999</v>
      </c>
      <c r="Y242" s="219">
        <v>165.93303499999999</v>
      </c>
      <c r="Z242" s="219">
        <v>140.691384</v>
      </c>
      <c r="AA242" s="219">
        <v>138.962264</v>
      </c>
      <c r="AB242" s="219">
        <v>144.792395</v>
      </c>
      <c r="AC242" s="219">
        <v>147.50573</v>
      </c>
      <c r="AD242" s="219">
        <v>142.08949100000001</v>
      </c>
      <c r="AE242" s="219">
        <v>137.742423</v>
      </c>
      <c r="AF242" s="219">
        <v>130.229567</v>
      </c>
      <c r="AG242" s="219">
        <v>147.36213899999998</v>
      </c>
      <c r="AH242" s="219">
        <v>141.95309499999999</v>
      </c>
      <c r="AI242" s="219">
        <v>120.57991199999999</v>
      </c>
      <c r="AJ242" s="219">
        <v>115.043857</v>
      </c>
      <c r="AK242" s="219">
        <v>109.43375209795029</v>
      </c>
      <c r="AL242" s="219">
        <v>103.86067214692545</v>
      </c>
      <c r="AM242" s="219">
        <v>98.287592195900601</v>
      </c>
      <c r="AN242" s="219">
        <v>92.714512244875749</v>
      </c>
      <c r="AO242" s="219">
        <v>87.141432293850897</v>
      </c>
      <c r="AP242" s="219">
        <v>81.568352342826046</v>
      </c>
      <c r="AQ242" s="219">
        <v>77.371230421291855</v>
      </c>
      <c r="AR242" s="219">
        <v>73.174108499757651</v>
      </c>
      <c r="AS242" s="219">
        <v>68.97698657822346</v>
      </c>
      <c r="AT242" s="219">
        <v>64.77986465668927</v>
      </c>
      <c r="AU242" s="219">
        <v>60.582742735155072</v>
      </c>
      <c r="AV242" s="219">
        <v>56.385620813620875</v>
      </c>
      <c r="AW242" s="219">
        <v>52.188498892086685</v>
      </c>
      <c r="AX242" s="219">
        <v>47.991376970552487</v>
      </c>
      <c r="AY242" s="219">
        <v>43.794255049018297</v>
      </c>
      <c r="AZ242" s="219">
        <v>39.597133127484099</v>
      </c>
      <c r="BA242" s="219">
        <v>37.478594123194327</v>
      </c>
      <c r="BB242" s="219">
        <v>35.360055118904555</v>
      </c>
      <c r="BC242" s="219">
        <v>33.241516114614782</v>
      </c>
      <c r="BD242" s="219">
        <v>31.12297711032501</v>
      </c>
      <c r="BE242" s="219">
        <v>29.004438106035238</v>
      </c>
      <c r="BF242" s="219">
        <v>26.885899101745462</v>
      </c>
      <c r="BG242" s="219">
        <v>24.76736009745569</v>
      </c>
      <c r="BH242" s="219">
        <v>22.648821093165918</v>
      </c>
      <c r="BI242" s="219">
        <v>20.530282088876145</v>
      </c>
      <c r="BJ242" s="219">
        <v>18.411743084586373</v>
      </c>
    </row>
    <row r="243" spans="1:62">
      <c r="A243" s="91" t="s">
        <v>360</v>
      </c>
      <c r="B243" s="196"/>
      <c r="C243" s="196"/>
      <c r="D243" s="196"/>
      <c r="E243" s="196"/>
      <c r="F243" s="196"/>
      <c r="G243" s="196"/>
      <c r="H243" s="196"/>
      <c r="I243" s="196"/>
      <c r="J243" s="196"/>
      <c r="K243" s="196"/>
      <c r="L243" s="196"/>
      <c r="M243" s="196"/>
      <c r="N243" s="196"/>
      <c r="O243" s="196"/>
      <c r="P243" s="196"/>
      <c r="Q243" s="196"/>
      <c r="R243" s="196"/>
      <c r="S243" s="196"/>
      <c r="T243" s="196"/>
      <c r="U243" s="196"/>
      <c r="V243" s="219">
        <v>160.79925599999999</v>
      </c>
      <c r="W243" s="219">
        <v>155.917394</v>
      </c>
      <c r="X243" s="219">
        <v>154.27154300000001</v>
      </c>
      <c r="Y243" s="219">
        <v>151.56399500000001</v>
      </c>
      <c r="Z243" s="219">
        <v>150.67484999999999</v>
      </c>
      <c r="AA243" s="219">
        <v>146.97321400000001</v>
      </c>
      <c r="AB243" s="219">
        <v>146.662218</v>
      </c>
      <c r="AC243" s="219">
        <v>149.11349299999998</v>
      </c>
      <c r="AD243" s="219">
        <v>147.78298699999999</v>
      </c>
      <c r="AE243" s="219">
        <v>142.392055</v>
      </c>
      <c r="AF243" s="219">
        <v>141.953035</v>
      </c>
      <c r="AG243" s="219">
        <v>143.01458799999997</v>
      </c>
      <c r="AH243" s="219">
        <v>138.01864699999999</v>
      </c>
      <c r="AI243" s="219">
        <v>135.01611300000002</v>
      </c>
      <c r="AJ243" s="219">
        <v>129.95611600000001</v>
      </c>
      <c r="AK243" s="219">
        <v>129.74343726704549</v>
      </c>
      <c r="AL243" s="219">
        <v>127.10709940056823</v>
      </c>
      <c r="AM243" s="219">
        <v>124.47076153409095</v>
      </c>
      <c r="AN243" s="219">
        <v>121.83442366761369</v>
      </c>
      <c r="AO243" s="219">
        <v>119.19808580113643</v>
      </c>
      <c r="AP243" s="219">
        <v>116.56174793465917</v>
      </c>
      <c r="AQ243" s="219">
        <v>114.10849205915216</v>
      </c>
      <c r="AR243" s="219">
        <v>111.65523618364514</v>
      </c>
      <c r="AS243" s="219">
        <v>109.20198030813813</v>
      </c>
      <c r="AT243" s="219">
        <v>106.74872443263112</v>
      </c>
      <c r="AU243" s="219">
        <v>104.29546855712411</v>
      </c>
      <c r="AV243" s="219">
        <v>101.8422126816171</v>
      </c>
      <c r="AW243" s="219">
        <v>99.388956806110087</v>
      </c>
      <c r="AX243" s="219">
        <v>96.935700930603076</v>
      </c>
      <c r="AY243" s="219">
        <v>94.482445055096065</v>
      </c>
      <c r="AZ243" s="219">
        <v>92.029189179589054</v>
      </c>
      <c r="BA243" s="219">
        <v>90.494224313096581</v>
      </c>
      <c r="BB243" s="219">
        <v>88.959259446604108</v>
      </c>
      <c r="BC243" s="219">
        <v>87.424294580111635</v>
      </c>
      <c r="BD243" s="219">
        <v>85.889329713619162</v>
      </c>
      <c r="BE243" s="219">
        <v>84.354364847126675</v>
      </c>
      <c r="BF243" s="219">
        <v>82.819399980634202</v>
      </c>
      <c r="BG243" s="219">
        <v>81.284435114141729</v>
      </c>
      <c r="BH243" s="219">
        <v>79.749470247649256</v>
      </c>
      <c r="BI243" s="219">
        <v>78.214505381156783</v>
      </c>
      <c r="BJ243" s="219">
        <v>76.679540514664311</v>
      </c>
    </row>
    <row r="244" spans="1:62">
      <c r="A244" s="91" t="s">
        <v>361</v>
      </c>
      <c r="B244" s="196"/>
      <c r="C244" s="196"/>
      <c r="D244" s="196"/>
      <c r="E244" s="196"/>
      <c r="F244" s="196"/>
      <c r="G244" s="196"/>
      <c r="H244" s="196"/>
      <c r="I244" s="196"/>
      <c r="J244" s="196"/>
      <c r="K244" s="196"/>
      <c r="L244" s="196"/>
      <c r="M244" s="196"/>
      <c r="N244" s="196"/>
      <c r="O244" s="196"/>
      <c r="P244" s="196"/>
      <c r="Q244" s="196"/>
      <c r="R244" s="196"/>
      <c r="S244" s="196"/>
      <c r="T244" s="196"/>
      <c r="U244" s="196"/>
      <c r="V244" s="219">
        <v>92.446488000000002</v>
      </c>
      <c r="W244" s="219">
        <v>99.577573999999998</v>
      </c>
      <c r="X244" s="219">
        <v>84.137005000000002</v>
      </c>
      <c r="Y244" s="219">
        <v>86.796152000000006</v>
      </c>
      <c r="Z244" s="219">
        <v>86.238828999999996</v>
      </c>
      <c r="AA244" s="219">
        <v>80.396878000000001</v>
      </c>
      <c r="AB244" s="219">
        <v>77.733464999999995</v>
      </c>
      <c r="AC244" s="219">
        <v>74.650542000000002</v>
      </c>
      <c r="AD244" s="219">
        <v>76.453626</v>
      </c>
      <c r="AE244" s="219">
        <v>70.928927000000002</v>
      </c>
      <c r="AF244" s="219">
        <v>66.494615999999994</v>
      </c>
      <c r="AG244" s="219">
        <v>65.785509999999988</v>
      </c>
      <c r="AH244" s="219">
        <v>64.436723999999998</v>
      </c>
      <c r="AI244" s="219">
        <v>56.864474999999999</v>
      </c>
      <c r="AJ244" s="219">
        <v>53.226961000000003</v>
      </c>
      <c r="AK244" s="219">
        <v>55.599577040229086</v>
      </c>
      <c r="AL244" s="219">
        <v>54.967128060343626</v>
      </c>
      <c r="AM244" s="219">
        <v>54.334679080458173</v>
      </c>
      <c r="AN244" s="219">
        <v>53.702230100572713</v>
      </c>
      <c r="AO244" s="219">
        <v>53.06978112068726</v>
      </c>
      <c r="AP244" s="219">
        <v>52.4373321408018</v>
      </c>
      <c r="AQ244" s="219">
        <v>50.549780156506429</v>
      </c>
      <c r="AR244" s="219">
        <v>48.662228172211059</v>
      </c>
      <c r="AS244" s="219">
        <v>46.774676187915695</v>
      </c>
      <c r="AT244" s="219">
        <v>44.887124203620324</v>
      </c>
      <c r="AU244" s="219">
        <v>42.999572219324953</v>
      </c>
      <c r="AV244" s="219">
        <v>41.112020235029583</v>
      </c>
      <c r="AW244" s="219">
        <v>39.224468250734212</v>
      </c>
      <c r="AX244" s="219">
        <v>37.336916266438848</v>
      </c>
      <c r="AY244" s="219">
        <v>35.449364282143478</v>
      </c>
      <c r="AZ244" s="219">
        <v>33.561812297848107</v>
      </c>
      <c r="BA244" s="219">
        <v>32.494256411861059</v>
      </c>
      <c r="BB244" s="219">
        <v>31.426700525874015</v>
      </c>
      <c r="BC244" s="219">
        <v>30.359144639886967</v>
      </c>
      <c r="BD244" s="219">
        <v>29.291588753899923</v>
      </c>
      <c r="BE244" s="219">
        <v>28.224032867912875</v>
      </c>
      <c r="BF244" s="219">
        <v>27.156476981925827</v>
      </c>
      <c r="BG244" s="219">
        <v>26.088921095938783</v>
      </c>
      <c r="BH244" s="219">
        <v>25.021365209951735</v>
      </c>
      <c r="BI244" s="219">
        <v>23.953809323964691</v>
      </c>
      <c r="BJ244" s="219">
        <v>22.886253437977643</v>
      </c>
    </row>
    <row r="245" spans="1:62">
      <c r="A245" s="91" t="s">
        <v>379</v>
      </c>
      <c r="B245" s="196"/>
      <c r="C245" s="196"/>
      <c r="D245" s="196"/>
      <c r="E245" s="196"/>
      <c r="F245" s="196"/>
      <c r="G245" s="196"/>
      <c r="H245" s="196"/>
      <c r="I245" s="196"/>
      <c r="J245" s="196"/>
      <c r="K245" s="196"/>
      <c r="L245" s="196"/>
      <c r="M245" s="196"/>
      <c r="N245" s="196"/>
      <c r="O245" s="196"/>
      <c r="P245" s="196"/>
      <c r="Q245" s="196"/>
      <c r="R245" s="196"/>
      <c r="S245" s="196"/>
      <c r="T245" s="196"/>
      <c r="U245" s="196"/>
      <c r="V245" s="219">
        <v>145.41635399999998</v>
      </c>
      <c r="W245" s="219">
        <v>139.91463399999998</v>
      </c>
      <c r="X245" s="219">
        <v>137.59725899999998</v>
      </c>
      <c r="Y245" s="219">
        <v>135.10388599999999</v>
      </c>
      <c r="Z245" s="219">
        <v>129.295818</v>
      </c>
      <c r="AA245" s="219">
        <v>122.25890200000001</v>
      </c>
      <c r="AB245" s="219">
        <v>122.62452400000001</v>
      </c>
      <c r="AC245" s="219">
        <v>125.22899799999999</v>
      </c>
      <c r="AD245" s="219">
        <v>127.12790699999999</v>
      </c>
      <c r="AE245" s="219">
        <v>126.40831799999999</v>
      </c>
      <c r="AF245" s="219">
        <v>120.842411</v>
      </c>
      <c r="AG245" s="219">
        <v>130.90599599999999</v>
      </c>
      <c r="AH245" s="219">
        <v>131.947821</v>
      </c>
      <c r="AI245" s="219">
        <v>128.57513799999998</v>
      </c>
      <c r="AJ245" s="219">
        <v>125.877611</v>
      </c>
      <c r="AK245" s="219">
        <v>118.32920467050594</v>
      </c>
      <c r="AL245" s="219">
        <v>113.20623800575892</v>
      </c>
      <c r="AM245" s="219">
        <v>108.08327134101191</v>
      </c>
      <c r="AN245" s="219">
        <v>102.96030467626488</v>
      </c>
      <c r="AO245" s="219">
        <v>97.837338011517858</v>
      </c>
      <c r="AP245" s="219">
        <v>92.714371346770847</v>
      </c>
      <c r="AQ245" s="219">
        <v>90.025427294692747</v>
      </c>
      <c r="AR245" s="219">
        <v>87.336483242614662</v>
      </c>
      <c r="AS245" s="219">
        <v>84.647539190536577</v>
      </c>
      <c r="AT245" s="219">
        <v>81.958595138458477</v>
      </c>
      <c r="AU245" s="219">
        <v>79.269651086380392</v>
      </c>
      <c r="AV245" s="219">
        <v>76.580707034302293</v>
      </c>
      <c r="AW245" s="219">
        <v>73.891762982224208</v>
      </c>
      <c r="AX245" s="219">
        <v>71.202818930146108</v>
      </c>
      <c r="AY245" s="219">
        <v>68.513874878068009</v>
      </c>
      <c r="AZ245" s="219">
        <v>65.824930825989924</v>
      </c>
      <c r="BA245" s="219">
        <v>64.219483533014284</v>
      </c>
      <c r="BB245" s="219">
        <v>62.614036240038651</v>
      </c>
      <c r="BC245" s="219">
        <v>61.008588947063018</v>
      </c>
      <c r="BD245" s="219">
        <v>59.403141654087378</v>
      </c>
      <c r="BE245" s="219">
        <v>57.797694361111745</v>
      </c>
      <c r="BF245" s="219">
        <v>56.192247068136112</v>
      </c>
      <c r="BG245" s="219">
        <v>54.586799775160472</v>
      </c>
      <c r="BH245" s="219">
        <v>52.981352482184839</v>
      </c>
      <c r="BI245" s="219">
        <v>51.375905189209206</v>
      </c>
      <c r="BJ245" s="219">
        <v>49.770457896233566</v>
      </c>
    </row>
    <row r="246" spans="1:62">
      <c r="A246" s="91" t="s">
        <v>362</v>
      </c>
      <c r="B246" s="196"/>
      <c r="C246" s="196"/>
      <c r="D246" s="196"/>
      <c r="E246" s="196"/>
      <c r="F246" s="196"/>
      <c r="G246" s="196"/>
      <c r="H246" s="196"/>
      <c r="I246" s="196"/>
      <c r="J246" s="196"/>
      <c r="K246" s="196"/>
      <c r="L246" s="196"/>
      <c r="M246" s="196"/>
      <c r="N246" s="196"/>
      <c r="O246" s="196"/>
      <c r="P246" s="196"/>
      <c r="Q246" s="196"/>
      <c r="R246" s="196"/>
      <c r="S246" s="196"/>
      <c r="T246" s="196"/>
      <c r="U246" s="196"/>
      <c r="V246" s="219">
        <v>748.97967099999994</v>
      </c>
      <c r="W246" s="219">
        <v>740.08167700000001</v>
      </c>
      <c r="X246" s="219">
        <v>712.74256000000003</v>
      </c>
      <c r="Y246" s="219">
        <v>705.01134300000001</v>
      </c>
      <c r="Z246" s="219">
        <v>670.42492399999992</v>
      </c>
      <c r="AA246" s="219">
        <v>647.87427700000001</v>
      </c>
      <c r="AB246" s="219">
        <v>648.4981479999999</v>
      </c>
      <c r="AC246" s="219">
        <v>655.53246399999989</v>
      </c>
      <c r="AD246" s="219">
        <v>654.27694100000008</v>
      </c>
      <c r="AE246" s="219">
        <v>637.31747899999993</v>
      </c>
      <c r="AF246" s="219">
        <v>580.54806600000006</v>
      </c>
      <c r="AG246" s="219">
        <v>619.76869899999997</v>
      </c>
      <c r="AH246" s="219">
        <v>620.72282499999994</v>
      </c>
      <c r="AI246" s="219">
        <v>582.56137799999988</v>
      </c>
      <c r="AJ246" s="219">
        <v>562.82680600000003</v>
      </c>
      <c r="AK246" s="219">
        <v>548.58109723994812</v>
      </c>
      <c r="AL246" s="219">
        <v>531.59095685992224</v>
      </c>
      <c r="AM246" s="219">
        <v>514.60081647989625</v>
      </c>
      <c r="AN246" s="219">
        <v>497.61067609987037</v>
      </c>
      <c r="AO246" s="219">
        <v>480.6205357198445</v>
      </c>
      <c r="AP246" s="219">
        <v>463.63039533981856</v>
      </c>
      <c r="AQ246" s="219">
        <v>446.10541725587427</v>
      </c>
      <c r="AR246" s="219">
        <v>428.58043917192992</v>
      </c>
      <c r="AS246" s="219">
        <v>411.05546108798569</v>
      </c>
      <c r="AT246" s="219">
        <v>393.5304830040414</v>
      </c>
      <c r="AU246" s="219">
        <v>376.00550492009711</v>
      </c>
      <c r="AV246" s="219">
        <v>358.48052683615282</v>
      </c>
      <c r="AW246" s="219">
        <v>340.95554875220853</v>
      </c>
      <c r="AX246" s="219">
        <v>323.43057066826424</v>
      </c>
      <c r="AY246" s="219">
        <v>305.90559258431995</v>
      </c>
      <c r="AZ246" s="219">
        <v>288.3806145003756</v>
      </c>
      <c r="BA246" s="219">
        <v>278.67608857455463</v>
      </c>
      <c r="BB246" s="219">
        <v>268.97156264873371</v>
      </c>
      <c r="BC246" s="219">
        <v>259.26703672291274</v>
      </c>
      <c r="BD246" s="219">
        <v>249.56251079709176</v>
      </c>
      <c r="BE246" s="219">
        <v>239.85798487127073</v>
      </c>
      <c r="BF246" s="219">
        <v>230.15345894544976</v>
      </c>
      <c r="BG246" s="219">
        <v>220.44893301962878</v>
      </c>
      <c r="BH246" s="219">
        <v>210.74440709380778</v>
      </c>
      <c r="BI246" s="219">
        <v>201.03988116798683</v>
      </c>
      <c r="BJ246" s="219">
        <v>191.3353552421658</v>
      </c>
    </row>
    <row r="248" spans="1:62">
      <c r="A248" s="91" t="s">
        <v>365</v>
      </c>
      <c r="B248" s="67">
        <v>1990</v>
      </c>
      <c r="C248" s="67">
        <v>1991</v>
      </c>
      <c r="D248" s="67">
        <v>1992</v>
      </c>
      <c r="E248" s="67">
        <v>1993</v>
      </c>
      <c r="F248" s="67">
        <v>1994</v>
      </c>
      <c r="G248" s="67">
        <v>1995</v>
      </c>
      <c r="H248" s="67">
        <v>1996</v>
      </c>
      <c r="I248" s="67">
        <v>1997</v>
      </c>
      <c r="J248" s="67">
        <v>1998</v>
      </c>
      <c r="K248" s="67">
        <v>1999</v>
      </c>
      <c r="L248" s="67">
        <v>2000</v>
      </c>
      <c r="M248" s="67">
        <v>2001</v>
      </c>
      <c r="N248" s="67">
        <v>2002</v>
      </c>
      <c r="O248" s="67">
        <v>2003</v>
      </c>
      <c r="P248" s="67">
        <v>2004</v>
      </c>
      <c r="Q248" s="67">
        <v>2005</v>
      </c>
      <c r="R248" s="67">
        <v>2006</v>
      </c>
      <c r="S248" s="67">
        <v>2007</v>
      </c>
      <c r="T248" s="67">
        <v>2008</v>
      </c>
      <c r="U248" s="67">
        <v>2009</v>
      </c>
      <c r="V248" s="67">
        <v>2010</v>
      </c>
      <c r="W248" s="67">
        <v>2011</v>
      </c>
      <c r="X248" s="67">
        <v>2012</v>
      </c>
      <c r="Y248" s="67">
        <v>2013</v>
      </c>
      <c r="Z248" s="67">
        <v>2014</v>
      </c>
      <c r="AA248" s="67">
        <v>2015</v>
      </c>
      <c r="AB248" s="67">
        <v>2016</v>
      </c>
      <c r="AC248" s="67">
        <v>2017</v>
      </c>
      <c r="AD248" s="67">
        <v>2018</v>
      </c>
      <c r="AE248" s="67">
        <v>2019</v>
      </c>
      <c r="AF248" s="68">
        <v>2020</v>
      </c>
      <c r="AG248" s="68">
        <v>2021</v>
      </c>
      <c r="AH248" s="68">
        <v>2022</v>
      </c>
      <c r="AI248" s="67">
        <v>2023</v>
      </c>
      <c r="AJ248" s="67">
        <v>2024</v>
      </c>
      <c r="AK248" s="67">
        <v>2025</v>
      </c>
      <c r="AL248" s="67">
        <v>2026</v>
      </c>
      <c r="AM248" s="142">
        <v>2027</v>
      </c>
      <c r="AN248" s="67">
        <v>2028</v>
      </c>
      <c r="AO248" s="142">
        <v>2029</v>
      </c>
      <c r="AP248" s="67">
        <v>2030</v>
      </c>
      <c r="AQ248" s="142">
        <v>2031</v>
      </c>
      <c r="AR248" s="142">
        <v>2032</v>
      </c>
      <c r="AS248" s="67">
        <v>2033</v>
      </c>
      <c r="AT248" s="142">
        <v>2034</v>
      </c>
      <c r="AU248" s="67">
        <v>2035</v>
      </c>
      <c r="AV248" s="142">
        <v>2036</v>
      </c>
      <c r="AW248" s="142">
        <v>2037</v>
      </c>
      <c r="AX248" s="67">
        <v>2038</v>
      </c>
      <c r="AY248" s="142">
        <v>2039</v>
      </c>
      <c r="AZ248" s="67">
        <v>2040</v>
      </c>
      <c r="BA248" s="142">
        <v>2041</v>
      </c>
      <c r="BB248" s="142">
        <v>2042</v>
      </c>
      <c r="BC248" s="142">
        <v>2043</v>
      </c>
      <c r="BD248" s="142">
        <v>2044</v>
      </c>
      <c r="BE248" s="67">
        <v>2045</v>
      </c>
      <c r="BF248" s="142">
        <v>2046</v>
      </c>
      <c r="BG248" s="142">
        <v>2047</v>
      </c>
      <c r="BH248" s="142">
        <v>2048</v>
      </c>
      <c r="BI248" s="142">
        <v>2049</v>
      </c>
      <c r="BJ248" s="67">
        <v>2050</v>
      </c>
    </row>
    <row r="249" spans="1:62">
      <c r="A249" s="91" t="s">
        <v>358</v>
      </c>
      <c r="B249" s="196"/>
      <c r="C249" s="196"/>
      <c r="D249" s="196"/>
      <c r="E249" s="196"/>
      <c r="F249" s="196"/>
      <c r="G249" s="196"/>
      <c r="H249" s="196"/>
      <c r="I249" s="196"/>
      <c r="J249" s="196"/>
      <c r="K249" s="196"/>
      <c r="L249" s="196"/>
      <c r="M249" s="196"/>
      <c r="N249" s="196"/>
      <c r="O249" s="196"/>
      <c r="P249" s="196"/>
      <c r="Q249" s="196"/>
      <c r="R249" s="196"/>
      <c r="S249" s="196"/>
      <c r="T249" s="196"/>
      <c r="U249" s="196"/>
      <c r="V249" s="219">
        <v>172.33719699999997</v>
      </c>
      <c r="W249" s="219">
        <v>177.12128799999999</v>
      </c>
      <c r="X249" s="219">
        <v>168.067059</v>
      </c>
      <c r="Y249" s="219">
        <v>165.61427499999999</v>
      </c>
      <c r="Z249" s="219">
        <v>163.52404300000001</v>
      </c>
      <c r="AA249" s="219">
        <v>159.283019</v>
      </c>
      <c r="AB249" s="219">
        <v>156.68554599999999</v>
      </c>
      <c r="AC249" s="219">
        <v>159.03370100000001</v>
      </c>
      <c r="AD249" s="219">
        <v>160.82292999999999</v>
      </c>
      <c r="AE249" s="219">
        <v>159.84575599999999</v>
      </c>
      <c r="AF249" s="219">
        <v>121.02843700000001</v>
      </c>
      <c r="AG249" s="219">
        <v>132.70046599999998</v>
      </c>
      <c r="AH249" s="219">
        <v>144.36653799999999</v>
      </c>
      <c r="AI249" s="219">
        <v>141.52573999999998</v>
      </c>
      <c r="AJ249" s="219">
        <v>138.722261</v>
      </c>
      <c r="AK249" s="219">
        <v>136.8202500361885</v>
      </c>
      <c r="AL249" s="219">
        <v>134.46750505428275</v>
      </c>
      <c r="AM249" s="219">
        <v>132.11476007237701</v>
      </c>
      <c r="AN249" s="219">
        <v>129.76201509047127</v>
      </c>
      <c r="AO249" s="219">
        <v>127.40927010856551</v>
      </c>
      <c r="AP249" s="219">
        <v>125.05652512665976</v>
      </c>
      <c r="AQ249" s="219">
        <v>119.45617934171956</v>
      </c>
      <c r="AR249" s="219">
        <v>113.85583355677937</v>
      </c>
      <c r="AS249" s="219">
        <v>108.25548777183917</v>
      </c>
      <c r="AT249" s="219">
        <v>102.65514198689897</v>
      </c>
      <c r="AU249" s="219">
        <v>97.05479620195878</v>
      </c>
      <c r="AV249" s="219">
        <v>91.454450417018592</v>
      </c>
      <c r="AW249" s="219">
        <v>85.854104632078389</v>
      </c>
      <c r="AX249" s="219">
        <v>80.253758847138187</v>
      </c>
      <c r="AY249" s="219">
        <v>74.653413062197984</v>
      </c>
      <c r="AZ249" s="219">
        <v>69.053067277257796</v>
      </c>
      <c r="BA249" s="219">
        <v>66.225076788328792</v>
      </c>
      <c r="BB249" s="219">
        <v>63.397086299399788</v>
      </c>
      <c r="BC249" s="219">
        <v>60.569095810470785</v>
      </c>
      <c r="BD249" s="219">
        <v>57.741105321541774</v>
      </c>
      <c r="BE249" s="219">
        <v>54.91311483261277</v>
      </c>
      <c r="BF249" s="219">
        <v>52.085124343683766</v>
      </c>
      <c r="BG249" s="219">
        <v>49.257133854754755</v>
      </c>
      <c r="BH249" s="219">
        <v>46.429143365825752</v>
      </c>
      <c r="BI249" s="219">
        <v>43.601152876896748</v>
      </c>
      <c r="BJ249" s="219">
        <v>40.773162387967744</v>
      </c>
    </row>
    <row r="250" spans="1:62">
      <c r="A250" s="91" t="s">
        <v>359</v>
      </c>
      <c r="B250" s="196"/>
      <c r="C250" s="196"/>
      <c r="D250" s="196"/>
      <c r="E250" s="196"/>
      <c r="F250" s="196"/>
      <c r="G250" s="196"/>
      <c r="H250" s="196"/>
      <c r="I250" s="196"/>
      <c r="J250" s="196"/>
      <c r="K250" s="196"/>
      <c r="L250" s="196"/>
      <c r="M250" s="196"/>
      <c r="N250" s="196"/>
      <c r="O250" s="196"/>
      <c r="P250" s="196"/>
      <c r="Q250" s="196"/>
      <c r="R250" s="196"/>
      <c r="S250" s="196"/>
      <c r="T250" s="196"/>
      <c r="U250" s="196"/>
      <c r="V250" s="219">
        <v>177.98037599999998</v>
      </c>
      <c r="W250" s="219">
        <v>167.55078700000001</v>
      </c>
      <c r="X250" s="219">
        <v>168.66969399999999</v>
      </c>
      <c r="Y250" s="219">
        <v>165.93303499999999</v>
      </c>
      <c r="Z250" s="219">
        <v>140.691384</v>
      </c>
      <c r="AA250" s="219">
        <v>138.962264</v>
      </c>
      <c r="AB250" s="219">
        <v>144.792395</v>
      </c>
      <c r="AC250" s="219">
        <v>147.50573</v>
      </c>
      <c r="AD250" s="219">
        <v>142.08949100000001</v>
      </c>
      <c r="AE250" s="219">
        <v>137.742423</v>
      </c>
      <c r="AF250" s="219">
        <v>130.229567</v>
      </c>
      <c r="AG250" s="219">
        <v>147.36213899999998</v>
      </c>
      <c r="AH250" s="219">
        <v>141.95309499999999</v>
      </c>
      <c r="AI250" s="219">
        <v>120.57991199999999</v>
      </c>
      <c r="AJ250" s="219">
        <v>115.043857</v>
      </c>
      <c r="AK250" s="219">
        <v>110.66982084198415</v>
      </c>
      <c r="AL250" s="219">
        <v>105.71477526297622</v>
      </c>
      <c r="AM250" s="219">
        <v>100.7597296839683</v>
      </c>
      <c r="AN250" s="219">
        <v>95.804684104960373</v>
      </c>
      <c r="AO250" s="219">
        <v>90.849638525952457</v>
      </c>
      <c r="AP250" s="219">
        <v>85.894592946944528</v>
      </c>
      <c r="AQ250" s="219">
        <v>81.972594842966743</v>
      </c>
      <c r="AR250" s="219">
        <v>78.050596738988958</v>
      </c>
      <c r="AS250" s="219">
        <v>74.128598635011159</v>
      </c>
      <c r="AT250" s="219">
        <v>70.206600531033374</v>
      </c>
      <c r="AU250" s="219">
        <v>66.284602427055589</v>
      </c>
      <c r="AV250" s="219">
        <v>62.362604323077804</v>
      </c>
      <c r="AW250" s="219">
        <v>58.440606219100012</v>
      </c>
      <c r="AX250" s="219">
        <v>54.518608115122227</v>
      </c>
      <c r="AY250" s="219">
        <v>50.596610011144442</v>
      </c>
      <c r="AZ250" s="219">
        <v>46.67461190716665</v>
      </c>
      <c r="BA250" s="219">
        <v>44.663129279847382</v>
      </c>
      <c r="BB250" s="219">
        <v>42.651646652528107</v>
      </c>
      <c r="BC250" s="219">
        <v>40.64016402520884</v>
      </c>
      <c r="BD250" s="219">
        <v>38.628681397889565</v>
      </c>
      <c r="BE250" s="219">
        <v>36.617198770570297</v>
      </c>
      <c r="BF250" s="219">
        <v>34.60571614325103</v>
      </c>
      <c r="BG250" s="219">
        <v>32.594233515931755</v>
      </c>
      <c r="BH250" s="219">
        <v>30.582750888612487</v>
      </c>
      <c r="BI250" s="219">
        <v>28.571268261293216</v>
      </c>
      <c r="BJ250" s="219">
        <v>26.559785633973945</v>
      </c>
    </row>
    <row r="251" spans="1:62">
      <c r="A251" s="91" t="s">
        <v>360</v>
      </c>
      <c r="B251" s="196"/>
      <c r="C251" s="196"/>
      <c r="D251" s="196"/>
      <c r="E251" s="196"/>
      <c r="F251" s="196"/>
      <c r="G251" s="196"/>
      <c r="H251" s="196"/>
      <c r="I251" s="196"/>
      <c r="J251" s="196"/>
      <c r="K251" s="196"/>
      <c r="L251" s="196"/>
      <c r="M251" s="196"/>
      <c r="N251" s="196"/>
      <c r="O251" s="196"/>
      <c r="P251" s="196"/>
      <c r="Q251" s="196"/>
      <c r="R251" s="196"/>
      <c r="S251" s="196"/>
      <c r="T251" s="196"/>
      <c r="U251" s="196"/>
      <c r="V251" s="219">
        <v>160.79925599999999</v>
      </c>
      <c r="W251" s="219">
        <v>155.917394</v>
      </c>
      <c r="X251" s="219">
        <v>154.27154300000001</v>
      </c>
      <c r="Y251" s="219">
        <v>151.56399500000001</v>
      </c>
      <c r="Z251" s="219">
        <v>150.67484999999999</v>
      </c>
      <c r="AA251" s="219">
        <v>146.97321400000001</v>
      </c>
      <c r="AB251" s="219">
        <v>146.662218</v>
      </c>
      <c r="AC251" s="219">
        <v>149.11349299999998</v>
      </c>
      <c r="AD251" s="219">
        <v>147.78298699999999</v>
      </c>
      <c r="AE251" s="219">
        <v>142.392055</v>
      </c>
      <c r="AF251" s="219">
        <v>141.953035</v>
      </c>
      <c r="AG251" s="219">
        <v>143.01458799999997</v>
      </c>
      <c r="AH251" s="219">
        <v>138.01864699999999</v>
      </c>
      <c r="AI251" s="219">
        <v>135.01611300000002</v>
      </c>
      <c r="AJ251" s="219">
        <v>129.95611600000001</v>
      </c>
      <c r="AK251" s="219">
        <v>131.14075667655086</v>
      </c>
      <c r="AL251" s="219">
        <v>129.20307851482627</v>
      </c>
      <c r="AM251" s="219">
        <v>127.26540035310168</v>
      </c>
      <c r="AN251" s="219">
        <v>125.32772219137711</v>
      </c>
      <c r="AO251" s="219">
        <v>123.39004402965251</v>
      </c>
      <c r="AP251" s="219">
        <v>121.45236586792794</v>
      </c>
      <c r="AQ251" s="219">
        <v>119.52947890444146</v>
      </c>
      <c r="AR251" s="219">
        <v>117.60659194095498</v>
      </c>
      <c r="AS251" s="219">
        <v>115.68370497746851</v>
      </c>
      <c r="AT251" s="219">
        <v>113.76081801398203</v>
      </c>
      <c r="AU251" s="219">
        <v>111.83793105049556</v>
      </c>
      <c r="AV251" s="219">
        <v>109.91504408700908</v>
      </c>
      <c r="AW251" s="219">
        <v>107.9921571235226</v>
      </c>
      <c r="AX251" s="219">
        <v>106.06927016003613</v>
      </c>
      <c r="AY251" s="219">
        <v>104.14638319654965</v>
      </c>
      <c r="AZ251" s="219">
        <v>102.22349623306317</v>
      </c>
      <c r="BA251" s="219">
        <v>100.94786852409699</v>
      </c>
      <c r="BB251" s="219">
        <v>99.672240815130806</v>
      </c>
      <c r="BC251" s="219">
        <v>98.396613106164622</v>
      </c>
      <c r="BD251" s="219">
        <v>97.120985397198439</v>
      </c>
      <c r="BE251" s="219">
        <v>95.845357688232241</v>
      </c>
      <c r="BF251" s="219">
        <v>94.569729979266057</v>
      </c>
      <c r="BG251" s="219">
        <v>93.294102270299874</v>
      </c>
      <c r="BH251" s="219">
        <v>92.01847456133369</v>
      </c>
      <c r="BI251" s="219">
        <v>90.742846852367506</v>
      </c>
      <c r="BJ251" s="219">
        <v>89.467219143401323</v>
      </c>
    </row>
    <row r="252" spans="1:62">
      <c r="A252" s="91" t="s">
        <v>361</v>
      </c>
      <c r="B252" s="196"/>
      <c r="C252" s="196"/>
      <c r="D252" s="196"/>
      <c r="E252" s="196"/>
      <c r="F252" s="196"/>
      <c r="G252" s="196"/>
      <c r="H252" s="196"/>
      <c r="I252" s="196"/>
      <c r="J252" s="196"/>
      <c r="K252" s="196"/>
      <c r="L252" s="196"/>
      <c r="M252" s="196"/>
      <c r="N252" s="196"/>
      <c r="O252" s="196"/>
      <c r="P252" s="196"/>
      <c r="Q252" s="196"/>
      <c r="R252" s="196"/>
      <c r="S252" s="196"/>
      <c r="T252" s="196"/>
      <c r="U252" s="196"/>
      <c r="V252" s="219">
        <v>92.446488000000002</v>
      </c>
      <c r="W252" s="219">
        <v>99.577573999999998</v>
      </c>
      <c r="X252" s="219">
        <v>84.137005000000002</v>
      </c>
      <c r="Y252" s="219">
        <v>86.796152000000006</v>
      </c>
      <c r="Z252" s="219">
        <v>86.238828999999996</v>
      </c>
      <c r="AA252" s="219">
        <v>80.396878000000001</v>
      </c>
      <c r="AB252" s="219">
        <v>77.733464999999995</v>
      </c>
      <c r="AC252" s="219">
        <v>74.650542000000002</v>
      </c>
      <c r="AD252" s="219">
        <v>76.453626</v>
      </c>
      <c r="AE252" s="219">
        <v>70.928927000000002</v>
      </c>
      <c r="AF252" s="219">
        <v>66.494615999999994</v>
      </c>
      <c r="AG252" s="219">
        <v>65.785509999999988</v>
      </c>
      <c r="AH252" s="219">
        <v>64.436723999999998</v>
      </c>
      <c r="AI252" s="219">
        <v>56.864474999999999</v>
      </c>
      <c r="AJ252" s="219">
        <v>53.226961000000003</v>
      </c>
      <c r="AK252" s="219">
        <v>57.181295708478608</v>
      </c>
      <c r="AL252" s="219">
        <v>57.339706062717909</v>
      </c>
      <c r="AM252" s="219">
        <v>57.49811641695721</v>
      </c>
      <c r="AN252" s="219">
        <v>57.656526771196511</v>
      </c>
      <c r="AO252" s="219">
        <v>57.814937125435819</v>
      </c>
      <c r="AP252" s="219">
        <v>57.97334747967512</v>
      </c>
      <c r="AQ252" s="219">
        <v>56.632696003175958</v>
      </c>
      <c r="AR252" s="219">
        <v>55.292044526676804</v>
      </c>
      <c r="AS252" s="219">
        <v>53.951393050177643</v>
      </c>
      <c r="AT252" s="219">
        <v>52.610741573678489</v>
      </c>
      <c r="AU252" s="219">
        <v>51.270090097179327</v>
      </c>
      <c r="AV252" s="219">
        <v>49.929438620680173</v>
      </c>
      <c r="AW252" s="219">
        <v>48.588787144181012</v>
      </c>
      <c r="AX252" s="219">
        <v>47.248135667681851</v>
      </c>
      <c r="AY252" s="219">
        <v>45.907484191182689</v>
      </c>
      <c r="AZ252" s="219">
        <v>44.566832714683535</v>
      </c>
      <c r="BA252" s="219">
        <v>43.705796805532032</v>
      </c>
      <c r="BB252" s="219">
        <v>42.844760896380521</v>
      </c>
      <c r="BC252" s="219">
        <v>41.983724987229017</v>
      </c>
      <c r="BD252" s="219">
        <v>41.122689078077507</v>
      </c>
      <c r="BE252" s="219">
        <v>40.261653168926003</v>
      </c>
      <c r="BF252" s="219">
        <v>39.400617259774499</v>
      </c>
      <c r="BG252" s="219">
        <v>38.539581350622989</v>
      </c>
      <c r="BH252" s="219">
        <v>37.678545441471485</v>
      </c>
      <c r="BI252" s="219">
        <v>36.817509532319974</v>
      </c>
      <c r="BJ252" s="219">
        <v>35.956473623168471</v>
      </c>
    </row>
    <row r="253" spans="1:62">
      <c r="A253" s="91" t="s">
        <v>379</v>
      </c>
      <c r="B253" s="196"/>
      <c r="C253" s="196"/>
      <c r="D253" s="196"/>
      <c r="E253" s="196"/>
      <c r="F253" s="196"/>
      <c r="G253" s="196"/>
      <c r="H253" s="196"/>
      <c r="I253" s="196"/>
      <c r="J253" s="196"/>
      <c r="K253" s="196"/>
      <c r="L253" s="196"/>
      <c r="M253" s="196"/>
      <c r="N253" s="196"/>
      <c r="O253" s="196"/>
      <c r="P253" s="196"/>
      <c r="Q253" s="196"/>
      <c r="R253" s="196"/>
      <c r="S253" s="196"/>
      <c r="T253" s="196"/>
      <c r="U253" s="196"/>
      <c r="V253" s="219">
        <v>145.41635399999998</v>
      </c>
      <c r="W253" s="219">
        <v>139.91463399999998</v>
      </c>
      <c r="X253" s="219">
        <v>137.59725899999998</v>
      </c>
      <c r="Y253" s="219">
        <v>135.10388599999999</v>
      </c>
      <c r="Z253" s="219">
        <v>129.295818</v>
      </c>
      <c r="AA253" s="219">
        <v>122.25890200000001</v>
      </c>
      <c r="AB253" s="219">
        <v>122.62452400000001</v>
      </c>
      <c r="AC253" s="219">
        <v>125.22899799999999</v>
      </c>
      <c r="AD253" s="219">
        <v>127.12790699999999</v>
      </c>
      <c r="AE253" s="219">
        <v>126.40831799999999</v>
      </c>
      <c r="AF253" s="219">
        <v>120.842411</v>
      </c>
      <c r="AG253" s="219">
        <v>130.90599599999999</v>
      </c>
      <c r="AH253" s="219">
        <v>131.947821</v>
      </c>
      <c r="AI253" s="219">
        <v>128.57513799999998</v>
      </c>
      <c r="AJ253" s="219">
        <v>125.877611</v>
      </c>
      <c r="AK253" s="219">
        <v>120.39706521747669</v>
      </c>
      <c r="AL253" s="219">
        <v>116.30802882621505</v>
      </c>
      <c r="AM253" s="219">
        <v>112.21899243495341</v>
      </c>
      <c r="AN253" s="219">
        <v>108.12995604369176</v>
      </c>
      <c r="AO253" s="219">
        <v>104.04091965243012</v>
      </c>
      <c r="AP253" s="219">
        <v>99.951883261168476</v>
      </c>
      <c r="AQ253" s="219">
        <v>98.237768786116646</v>
      </c>
      <c r="AR253" s="219">
        <v>96.523654311064817</v>
      </c>
      <c r="AS253" s="219">
        <v>94.809539836012974</v>
      </c>
      <c r="AT253" s="219">
        <v>93.095425360961144</v>
      </c>
      <c r="AU253" s="219">
        <v>91.381310885909315</v>
      </c>
      <c r="AV253" s="219">
        <v>89.667196410857485</v>
      </c>
      <c r="AW253" s="219">
        <v>87.953081935805656</v>
      </c>
      <c r="AX253" s="219">
        <v>86.238967460753813</v>
      </c>
      <c r="AY253" s="219">
        <v>84.524852985701983</v>
      </c>
      <c r="AZ253" s="219">
        <v>82.810738510650154</v>
      </c>
      <c r="BA253" s="219">
        <v>81.991153268277685</v>
      </c>
      <c r="BB253" s="219">
        <v>81.171568025905216</v>
      </c>
      <c r="BC253" s="219">
        <v>80.351982783532748</v>
      </c>
      <c r="BD253" s="219">
        <v>79.532397541160279</v>
      </c>
      <c r="BE253" s="219">
        <v>78.71281229878781</v>
      </c>
      <c r="BF253" s="219">
        <v>77.893227056415341</v>
      </c>
      <c r="BG253" s="219">
        <v>77.073641814042873</v>
      </c>
      <c r="BH253" s="219">
        <v>76.254056571670404</v>
      </c>
      <c r="BI253" s="219">
        <v>75.434471329297935</v>
      </c>
      <c r="BJ253" s="219">
        <v>74.614886086925466</v>
      </c>
    </row>
    <row r="254" spans="1:62">
      <c r="A254" s="91" t="s">
        <v>362</v>
      </c>
      <c r="B254" s="196"/>
      <c r="C254" s="196"/>
      <c r="D254" s="196"/>
      <c r="E254" s="196"/>
      <c r="F254" s="196"/>
      <c r="G254" s="196"/>
      <c r="H254" s="196"/>
      <c r="I254" s="196"/>
      <c r="J254" s="196"/>
      <c r="K254" s="196"/>
      <c r="L254" s="196"/>
      <c r="M254" s="196"/>
      <c r="N254" s="196"/>
      <c r="O254" s="196"/>
      <c r="P254" s="196"/>
      <c r="Q254" s="196"/>
      <c r="R254" s="196"/>
      <c r="S254" s="196"/>
      <c r="T254" s="196"/>
      <c r="U254" s="196"/>
      <c r="V254" s="219">
        <v>748.97967099999994</v>
      </c>
      <c r="W254" s="219">
        <v>740.08167700000001</v>
      </c>
      <c r="X254" s="219">
        <v>712.74256000000003</v>
      </c>
      <c r="Y254" s="219">
        <v>705.01134300000001</v>
      </c>
      <c r="Z254" s="219">
        <v>670.42492399999992</v>
      </c>
      <c r="AA254" s="219">
        <v>647.87427700000001</v>
      </c>
      <c r="AB254" s="219">
        <v>648.4981479999999</v>
      </c>
      <c r="AC254" s="219">
        <v>655.53246399999989</v>
      </c>
      <c r="AD254" s="219">
        <v>654.27694100000008</v>
      </c>
      <c r="AE254" s="219">
        <v>691.47514100000012</v>
      </c>
      <c r="AF254" s="219">
        <v>619.95218599999998</v>
      </c>
      <c r="AG254" s="219">
        <v>665.82436900000016</v>
      </c>
      <c r="AH254" s="219">
        <v>670.934932</v>
      </c>
      <c r="AI254" s="219">
        <v>643.60944399999994</v>
      </c>
      <c r="AJ254" s="219">
        <v>562.82680600000003</v>
      </c>
      <c r="AK254" s="219">
        <v>556.20918848067879</v>
      </c>
      <c r="AL254" s="219">
        <v>543.03309372101819</v>
      </c>
      <c r="AM254" s="219">
        <v>529.8569989613577</v>
      </c>
      <c r="AN254" s="219">
        <v>516.68090420169699</v>
      </c>
      <c r="AO254" s="219">
        <v>503.5048094420365</v>
      </c>
      <c r="AP254" s="219">
        <v>490.32871468237579</v>
      </c>
      <c r="AQ254" s="219">
        <v>475.82871787842038</v>
      </c>
      <c r="AR254" s="219">
        <v>461.32872107446497</v>
      </c>
      <c r="AS254" s="219">
        <v>446.82872427050938</v>
      </c>
      <c r="AT254" s="219">
        <v>432.32872746655397</v>
      </c>
      <c r="AU254" s="219">
        <v>417.82873066259856</v>
      </c>
      <c r="AV254" s="219">
        <v>403.32873385864309</v>
      </c>
      <c r="AW254" s="219">
        <v>388.82873705468768</v>
      </c>
      <c r="AX254" s="219">
        <v>374.32874025073221</v>
      </c>
      <c r="AY254" s="219">
        <v>359.82874344677668</v>
      </c>
      <c r="AZ254" s="219">
        <v>345.32874664282127</v>
      </c>
      <c r="BA254" s="219">
        <v>337.53302466608289</v>
      </c>
      <c r="BB254" s="219">
        <v>329.73730268934446</v>
      </c>
      <c r="BC254" s="219">
        <v>321.94158071260603</v>
      </c>
      <c r="BD254" s="219">
        <v>314.14585873586759</v>
      </c>
      <c r="BE254" s="219">
        <v>306.3501367591291</v>
      </c>
      <c r="BF254" s="219">
        <v>298.55441478239072</v>
      </c>
      <c r="BG254" s="219">
        <v>290.75869280565223</v>
      </c>
      <c r="BH254" s="219">
        <v>282.9629708289138</v>
      </c>
      <c r="BI254" s="219">
        <v>275.16724885217536</v>
      </c>
      <c r="BJ254" s="219">
        <v>267.37152687543693</v>
      </c>
    </row>
    <row r="256" spans="1:62">
      <c r="A256" s="130" t="s">
        <v>366</v>
      </c>
      <c r="B256" s="130"/>
      <c r="C256" s="130"/>
      <c r="D256" s="130"/>
      <c r="E256" s="130"/>
      <c r="F256" s="130"/>
      <c r="G256" s="130"/>
      <c r="H256" s="130"/>
      <c r="I256" s="130"/>
      <c r="J256" s="130"/>
      <c r="K256" s="130"/>
      <c r="L256" s="130"/>
      <c r="M256" s="130"/>
      <c r="N256" s="130"/>
      <c r="O256" s="130"/>
      <c r="P256" s="130"/>
      <c r="Q256" s="130"/>
      <c r="R256" s="130"/>
      <c r="S256" s="130"/>
      <c r="T256" s="130"/>
      <c r="U256" s="130"/>
      <c r="V256" s="130"/>
      <c r="W256" s="130"/>
      <c r="X256" s="130"/>
      <c r="Y256" s="130"/>
      <c r="Z256" s="130"/>
      <c r="AA256" s="130"/>
      <c r="AB256" s="130"/>
      <c r="AC256" s="130"/>
      <c r="AD256" s="130"/>
      <c r="AE256" s="130"/>
      <c r="AF256" s="130"/>
      <c r="AG256" s="130"/>
      <c r="AH256" s="130"/>
      <c r="AI256" s="130"/>
      <c r="AJ256" s="130"/>
      <c r="AK256" s="497" t="s">
        <v>262</v>
      </c>
      <c r="AL256" s="497"/>
      <c r="AM256" s="497"/>
      <c r="AN256" s="497"/>
      <c r="AO256" s="497"/>
      <c r="AP256" s="497"/>
      <c r="AQ256" s="497"/>
      <c r="AR256" s="497"/>
      <c r="AS256" s="497"/>
      <c r="AT256" s="497"/>
      <c r="AU256" s="497"/>
      <c r="AV256" s="497"/>
      <c r="AW256" s="497"/>
      <c r="AX256" s="497"/>
      <c r="AY256" s="497"/>
      <c r="AZ256" s="497"/>
      <c r="BA256" s="497"/>
      <c r="BB256" s="497"/>
      <c r="BC256" s="497"/>
      <c r="BD256" s="497"/>
      <c r="BE256" s="497"/>
      <c r="BF256" s="497"/>
      <c r="BG256" s="497"/>
      <c r="BH256" s="497"/>
      <c r="BI256" s="497"/>
      <c r="BJ256" s="497"/>
    </row>
    <row r="258" spans="1:62">
      <c r="A258" s="91" t="s">
        <v>371</v>
      </c>
      <c r="B258" s="67">
        <v>1990</v>
      </c>
      <c r="C258" s="67">
        <v>1991</v>
      </c>
      <c r="D258" s="67">
        <v>1992</v>
      </c>
      <c r="E258" s="67">
        <v>1993</v>
      </c>
      <c r="F258" s="67">
        <v>1994</v>
      </c>
      <c r="G258" s="67">
        <v>1995</v>
      </c>
      <c r="H258" s="67">
        <v>1996</v>
      </c>
      <c r="I258" s="67">
        <v>1997</v>
      </c>
      <c r="J258" s="67">
        <v>1998</v>
      </c>
      <c r="K258" s="67">
        <v>1999</v>
      </c>
      <c r="L258" s="67">
        <v>2000</v>
      </c>
      <c r="M258" s="67">
        <v>2001</v>
      </c>
      <c r="N258" s="67">
        <v>2002</v>
      </c>
      <c r="O258" s="67">
        <v>2003</v>
      </c>
      <c r="P258" s="67">
        <v>2004</v>
      </c>
      <c r="Q258" s="67">
        <v>2005</v>
      </c>
      <c r="R258" s="67">
        <v>2006</v>
      </c>
      <c r="S258" s="67">
        <v>2007</v>
      </c>
      <c r="T258" s="67">
        <v>2008</v>
      </c>
      <c r="U258" s="67">
        <v>2009</v>
      </c>
      <c r="V258" s="67">
        <v>2010</v>
      </c>
      <c r="W258" s="67">
        <v>2011</v>
      </c>
      <c r="X258" s="67">
        <v>2012</v>
      </c>
      <c r="Y258" s="67">
        <v>2013</v>
      </c>
      <c r="Z258" s="67">
        <v>2014</v>
      </c>
      <c r="AA258" s="67">
        <v>2015</v>
      </c>
      <c r="AB258" s="67">
        <v>2016</v>
      </c>
      <c r="AC258" s="67">
        <v>2017</v>
      </c>
      <c r="AD258" s="67">
        <v>2018</v>
      </c>
      <c r="AE258" s="67">
        <v>2019</v>
      </c>
      <c r="AF258" s="68">
        <v>2020</v>
      </c>
      <c r="AG258" s="68">
        <v>2021</v>
      </c>
      <c r="AH258" s="68">
        <v>2022</v>
      </c>
      <c r="AI258" s="67">
        <v>2023</v>
      </c>
      <c r="AJ258" s="67">
        <v>2024</v>
      </c>
      <c r="AK258" s="67">
        <v>2025</v>
      </c>
      <c r="AL258" s="67">
        <v>2026</v>
      </c>
      <c r="AM258" s="142">
        <v>2027</v>
      </c>
      <c r="AN258" s="67">
        <v>2028</v>
      </c>
      <c r="AO258" s="142">
        <v>2029</v>
      </c>
      <c r="AP258" s="67">
        <v>2030</v>
      </c>
      <c r="AQ258" s="142">
        <v>2031</v>
      </c>
      <c r="AR258" s="142">
        <v>2032</v>
      </c>
      <c r="AS258" s="67">
        <v>2033</v>
      </c>
      <c r="AT258" s="142">
        <v>2034</v>
      </c>
      <c r="AU258" s="67">
        <v>2035</v>
      </c>
      <c r="AV258" s="142">
        <v>2036</v>
      </c>
      <c r="AW258" s="142">
        <v>2037</v>
      </c>
      <c r="AX258" s="67">
        <v>2038</v>
      </c>
      <c r="AY258" s="142">
        <v>2039</v>
      </c>
      <c r="AZ258" s="67">
        <v>2040</v>
      </c>
      <c r="BA258" s="142">
        <v>2041</v>
      </c>
      <c r="BB258" s="142">
        <v>2042</v>
      </c>
      <c r="BC258" s="142">
        <v>2043</v>
      </c>
      <c r="BD258" s="142">
        <v>2044</v>
      </c>
      <c r="BE258" s="67">
        <v>2045</v>
      </c>
      <c r="BF258" s="142">
        <v>2046</v>
      </c>
      <c r="BG258" s="142">
        <v>2047</v>
      </c>
      <c r="BH258" s="142">
        <v>2048</v>
      </c>
      <c r="BI258" s="142">
        <v>2049</v>
      </c>
      <c r="BJ258" s="67">
        <v>2050</v>
      </c>
    </row>
    <row r="259" spans="1:62">
      <c r="A259" s="91" t="s">
        <v>358</v>
      </c>
      <c r="B259" s="196"/>
      <c r="C259" s="196"/>
      <c r="D259" s="196"/>
      <c r="E259" s="196"/>
      <c r="F259" s="196"/>
      <c r="G259" s="196"/>
      <c r="H259" s="196"/>
      <c r="I259" s="196"/>
      <c r="J259" s="196"/>
      <c r="K259" s="196"/>
      <c r="L259" s="196"/>
      <c r="M259" s="196"/>
      <c r="N259" s="196"/>
      <c r="O259" s="196"/>
      <c r="P259" s="196"/>
      <c r="Q259" s="196"/>
      <c r="R259" s="196"/>
      <c r="S259" s="196"/>
      <c r="T259" s="196"/>
      <c r="U259" s="196"/>
      <c r="V259" s="219">
        <v>66.840619000000004</v>
      </c>
      <c r="W259" s="219">
        <v>72.277186</v>
      </c>
      <c r="X259" s="219">
        <v>66.341734000000002</v>
      </c>
      <c r="Y259" s="219">
        <v>64.121843999999996</v>
      </c>
      <c r="Z259" s="219">
        <v>62.540144999999995</v>
      </c>
      <c r="AA259" s="219">
        <v>57.655388000000002</v>
      </c>
      <c r="AB259" s="219">
        <v>55.459643</v>
      </c>
      <c r="AC259" s="219">
        <v>59.268165000000003</v>
      </c>
      <c r="AD259" s="219">
        <v>62.914688000000005</v>
      </c>
      <c r="AE259" s="219">
        <v>62.733806999999999</v>
      </c>
      <c r="AF259" s="219">
        <v>45.508396000000005</v>
      </c>
      <c r="AG259" s="219">
        <v>49.808776999999992</v>
      </c>
      <c r="AH259" s="219">
        <v>56.477631999999993</v>
      </c>
      <c r="AI259" s="219">
        <v>54.686864999999997</v>
      </c>
      <c r="AJ259" s="219">
        <v>51.747193000000003</v>
      </c>
      <c r="AK259" s="219">
        <v>51.692926304448186</v>
      </c>
      <c r="AL259" s="219">
        <v>50.195956956672283</v>
      </c>
      <c r="AM259" s="219">
        <v>48.698987608896374</v>
      </c>
      <c r="AN259" s="219">
        <v>47.202018261120472</v>
      </c>
      <c r="AO259" s="219">
        <v>45.705048913344569</v>
      </c>
      <c r="AP259" s="219">
        <v>44.20807956556866</v>
      </c>
      <c r="AQ259" s="219">
        <v>41.654020852486852</v>
      </c>
      <c r="AR259" s="219">
        <v>39.099962139405044</v>
      </c>
      <c r="AS259" s="219">
        <v>36.545903426323235</v>
      </c>
      <c r="AT259" s="219">
        <v>33.991844713241434</v>
      </c>
      <c r="AU259" s="219">
        <v>31.437786000159626</v>
      </c>
      <c r="AV259" s="219">
        <v>28.883727287077818</v>
      </c>
      <c r="AW259" s="219">
        <v>26.32966857399601</v>
      </c>
      <c r="AX259" s="219">
        <v>23.775609860914201</v>
      </c>
      <c r="AY259" s="219">
        <v>21.221551147832397</v>
      </c>
      <c r="AZ259" s="219">
        <v>18.667492434750589</v>
      </c>
      <c r="BA259" s="219">
        <v>17.665872881101166</v>
      </c>
      <c r="BB259" s="219">
        <v>16.664253327451743</v>
      </c>
      <c r="BC259" s="219">
        <v>15.662633773802318</v>
      </c>
      <c r="BD259" s="219">
        <v>14.661014220152893</v>
      </c>
      <c r="BE259" s="219">
        <v>13.65939466650347</v>
      </c>
      <c r="BF259" s="219">
        <v>12.657775112854047</v>
      </c>
      <c r="BG259" s="219">
        <v>11.656155559204622</v>
      </c>
      <c r="BH259" s="219">
        <v>10.654536005555199</v>
      </c>
      <c r="BI259" s="219">
        <v>9.6529164519057744</v>
      </c>
      <c r="BJ259" s="219">
        <v>8.6512968982563514</v>
      </c>
    </row>
    <row r="260" spans="1:62">
      <c r="A260" s="91" t="s">
        <v>359</v>
      </c>
      <c r="B260" s="196"/>
      <c r="C260" s="196"/>
      <c r="D260" s="196"/>
      <c r="E260" s="196"/>
      <c r="F260" s="196"/>
      <c r="G260" s="196"/>
      <c r="H260" s="196"/>
      <c r="I260" s="196"/>
      <c r="J260" s="196"/>
      <c r="K260" s="196"/>
      <c r="L260" s="196"/>
      <c r="M260" s="196"/>
      <c r="N260" s="196"/>
      <c r="O260" s="196"/>
      <c r="P260" s="196"/>
      <c r="Q260" s="196"/>
      <c r="R260" s="196"/>
      <c r="S260" s="196"/>
      <c r="T260" s="196"/>
      <c r="U260" s="196"/>
      <c r="V260" s="219">
        <v>67.647476999999995</v>
      </c>
      <c r="W260" s="219">
        <v>68.294339999999991</v>
      </c>
      <c r="X260" s="219">
        <v>63.480457000000001</v>
      </c>
      <c r="Y260" s="219">
        <v>60.544188999999996</v>
      </c>
      <c r="Z260" s="219">
        <v>57.008199999999995</v>
      </c>
      <c r="AA260" s="219">
        <v>52.284305000000003</v>
      </c>
      <c r="AB260" s="219">
        <v>52.287596000000001</v>
      </c>
      <c r="AC260" s="219">
        <v>55.458109999999998</v>
      </c>
      <c r="AD260" s="219">
        <v>57.507466000000001</v>
      </c>
      <c r="AE260" s="219">
        <v>54.603900999999993</v>
      </c>
      <c r="AF260" s="219">
        <v>51.402165000000004</v>
      </c>
      <c r="AG260" s="219">
        <v>64.740752999999998</v>
      </c>
      <c r="AH260" s="219">
        <v>70.378664000000001</v>
      </c>
      <c r="AI260" s="219">
        <v>56.565090999999995</v>
      </c>
      <c r="AJ260" s="219">
        <v>53.176161999999991</v>
      </c>
      <c r="AK260" s="219">
        <v>49.192591449551763</v>
      </c>
      <c r="AL260" s="219">
        <v>45.506341674327658</v>
      </c>
      <c r="AM260" s="219">
        <v>41.820091899103538</v>
      </c>
      <c r="AN260" s="219">
        <v>38.133842123879433</v>
      </c>
      <c r="AO260" s="219">
        <v>34.44759234865532</v>
      </c>
      <c r="AP260" s="219">
        <v>30.7613425734312</v>
      </c>
      <c r="AQ260" s="219">
        <v>28.838615601426323</v>
      </c>
      <c r="AR260" s="219">
        <v>26.915888629421449</v>
      </c>
      <c r="AS260" s="219">
        <v>24.993161657416572</v>
      </c>
      <c r="AT260" s="219">
        <v>23.070434685411698</v>
      </c>
      <c r="AU260" s="219">
        <v>21.14770771340682</v>
      </c>
      <c r="AV260" s="219">
        <v>19.224980741401943</v>
      </c>
      <c r="AW260" s="219">
        <v>17.302253769397069</v>
      </c>
      <c r="AX260" s="219">
        <v>15.379526797392192</v>
      </c>
      <c r="AY260" s="219">
        <v>13.456799825387318</v>
      </c>
      <c r="AZ260" s="219">
        <v>11.53407285338244</v>
      </c>
      <c r="BA260" s="219">
        <v>10.953589279738425</v>
      </c>
      <c r="BB260" s="219">
        <v>10.37310570609441</v>
      </c>
      <c r="BC260" s="219">
        <v>9.7926221324503953</v>
      </c>
      <c r="BD260" s="219">
        <v>9.2121385588063802</v>
      </c>
      <c r="BE260" s="219">
        <v>8.6316549851623634</v>
      </c>
      <c r="BF260" s="219">
        <v>8.0511714115183484</v>
      </c>
      <c r="BG260" s="219">
        <v>7.4706878378743333</v>
      </c>
      <c r="BH260" s="219">
        <v>6.8902042642303183</v>
      </c>
      <c r="BI260" s="219">
        <v>6.3097206905863024</v>
      </c>
      <c r="BJ260" s="219">
        <v>5.7292371169422873</v>
      </c>
    </row>
    <row r="261" spans="1:62">
      <c r="A261" s="91" t="s">
        <v>360</v>
      </c>
      <c r="B261" s="196"/>
      <c r="C261" s="196"/>
      <c r="D261" s="196"/>
      <c r="E261" s="196"/>
      <c r="F261" s="196"/>
      <c r="G261" s="196"/>
      <c r="H261" s="196"/>
      <c r="I261" s="196"/>
      <c r="J261" s="196"/>
      <c r="K261" s="196"/>
      <c r="L261" s="196"/>
      <c r="M261" s="196"/>
      <c r="N261" s="196"/>
      <c r="O261" s="196"/>
      <c r="P261" s="196"/>
      <c r="Q261" s="196"/>
      <c r="R261" s="196"/>
      <c r="S261" s="196"/>
      <c r="T261" s="196"/>
      <c r="U261" s="196"/>
      <c r="V261" s="219">
        <v>67.594390000000004</v>
      </c>
      <c r="W261" s="219">
        <v>69.171311000000003</v>
      </c>
      <c r="X261" s="219">
        <v>66.107479999999995</v>
      </c>
      <c r="Y261" s="219">
        <v>65.527079000000001</v>
      </c>
      <c r="Z261" s="219">
        <v>64.931125999999992</v>
      </c>
      <c r="AA261" s="219">
        <v>61.923961000000006</v>
      </c>
      <c r="AB261" s="219">
        <v>62.282727000000001</v>
      </c>
      <c r="AC261" s="219">
        <v>63.254987999999997</v>
      </c>
      <c r="AD261" s="219">
        <v>64.771198999999996</v>
      </c>
      <c r="AE261" s="219">
        <v>61.897629000000002</v>
      </c>
      <c r="AF261" s="219">
        <v>62.230554999999995</v>
      </c>
      <c r="AG261" s="219">
        <v>64.411181999999997</v>
      </c>
      <c r="AH261" s="219">
        <v>65.852739999999997</v>
      </c>
      <c r="AI261" s="219">
        <v>62.511419000000011</v>
      </c>
      <c r="AJ261" s="219">
        <v>59.417898999999998</v>
      </c>
      <c r="AK261" s="219">
        <v>57.982335346182765</v>
      </c>
      <c r="AL261" s="219">
        <v>55.717793519274146</v>
      </c>
      <c r="AM261" s="219">
        <v>53.453251692365527</v>
      </c>
      <c r="AN261" s="219">
        <v>51.188709865456907</v>
      </c>
      <c r="AO261" s="219">
        <v>48.924168038548288</v>
      </c>
      <c r="AP261" s="219">
        <v>46.659626211639662</v>
      </c>
      <c r="AQ261" s="219">
        <v>45.222765276263949</v>
      </c>
      <c r="AR261" s="219">
        <v>43.785904340888237</v>
      </c>
      <c r="AS261" s="219">
        <v>42.349043405512532</v>
      </c>
      <c r="AT261" s="219">
        <v>40.91218247013682</v>
      </c>
      <c r="AU261" s="219">
        <v>39.475321534761108</v>
      </c>
      <c r="AV261" s="219">
        <v>38.038460599385395</v>
      </c>
      <c r="AW261" s="219">
        <v>36.601599664009683</v>
      </c>
      <c r="AX261" s="219">
        <v>35.164738728633978</v>
      </c>
      <c r="AY261" s="219">
        <v>33.727877793258266</v>
      </c>
      <c r="AZ261" s="219">
        <v>32.291016857882553</v>
      </c>
      <c r="BA261" s="219">
        <v>31.844947862579438</v>
      </c>
      <c r="BB261" s="219">
        <v>31.398878867276323</v>
      </c>
      <c r="BC261" s="219">
        <v>30.952809871973209</v>
      </c>
      <c r="BD261" s="219">
        <v>30.506740876670094</v>
      </c>
      <c r="BE261" s="219">
        <v>30.060671881366979</v>
      </c>
      <c r="BF261" s="219">
        <v>29.61460288606386</v>
      </c>
      <c r="BG261" s="219">
        <v>29.168533890760745</v>
      </c>
      <c r="BH261" s="219">
        <v>28.72246489545763</v>
      </c>
      <c r="BI261" s="219">
        <v>28.276395900154515</v>
      </c>
      <c r="BJ261" s="219">
        <v>27.8303269048514</v>
      </c>
    </row>
    <row r="262" spans="1:62">
      <c r="A262" s="91" t="s">
        <v>361</v>
      </c>
      <c r="B262" s="196"/>
      <c r="C262" s="196"/>
      <c r="D262" s="196"/>
      <c r="E262" s="196"/>
      <c r="F262" s="196"/>
      <c r="G262" s="196"/>
      <c r="H262" s="196"/>
      <c r="I262" s="196"/>
      <c r="J262" s="196"/>
      <c r="K262" s="196"/>
      <c r="L262" s="196"/>
      <c r="M262" s="196"/>
      <c r="N262" s="196"/>
      <c r="O262" s="196"/>
      <c r="P262" s="196"/>
      <c r="Q262" s="196"/>
      <c r="R262" s="196"/>
      <c r="S262" s="196"/>
      <c r="T262" s="196"/>
      <c r="U262" s="196"/>
      <c r="V262" s="219">
        <v>70.821937999999989</v>
      </c>
      <c r="W262" s="219">
        <v>78.597709000000009</v>
      </c>
      <c r="X262" s="219">
        <v>64.816307999999992</v>
      </c>
      <c r="Y262" s="219">
        <v>67.31824499999999</v>
      </c>
      <c r="Z262" s="219">
        <v>67.366703999999999</v>
      </c>
      <c r="AA262" s="219">
        <v>62.321775000000002</v>
      </c>
      <c r="AB262" s="219">
        <v>59.942353000000004</v>
      </c>
      <c r="AC262" s="219">
        <v>57.502593999999995</v>
      </c>
      <c r="AD262" s="219">
        <v>60.112099999999998</v>
      </c>
      <c r="AE262" s="219">
        <v>55.817444000000009</v>
      </c>
      <c r="AF262" s="219">
        <v>52.662671999999993</v>
      </c>
      <c r="AG262" s="219">
        <v>52.426633999999993</v>
      </c>
      <c r="AH262" s="219">
        <v>52.442778999999994</v>
      </c>
      <c r="AI262" s="219">
        <v>45.219228000000001</v>
      </c>
      <c r="AJ262" s="219">
        <v>42.827612999999999</v>
      </c>
      <c r="AK262" s="219">
        <v>42.845940493095071</v>
      </c>
      <c r="AL262" s="219">
        <v>41.659296739642606</v>
      </c>
      <c r="AM262" s="219">
        <v>40.472652986190141</v>
      </c>
      <c r="AN262" s="219">
        <v>39.286009232737676</v>
      </c>
      <c r="AO262" s="219">
        <v>38.099365479285211</v>
      </c>
      <c r="AP262" s="219">
        <v>36.912721725832746</v>
      </c>
      <c r="AQ262" s="219">
        <v>35.029280248426829</v>
      </c>
      <c r="AR262" s="219">
        <v>33.145838771020912</v>
      </c>
      <c r="AS262" s="219">
        <v>31.262397293614992</v>
      </c>
      <c r="AT262" s="219">
        <v>29.378955816209071</v>
      </c>
      <c r="AU262" s="219">
        <v>27.495514338803154</v>
      </c>
      <c r="AV262" s="219">
        <v>25.612072861397237</v>
      </c>
      <c r="AW262" s="219">
        <v>23.728631383991317</v>
      </c>
      <c r="AX262" s="219">
        <v>21.8451899065854</v>
      </c>
      <c r="AY262" s="219">
        <v>19.96174842917948</v>
      </c>
      <c r="AZ262" s="219">
        <v>18.078306951773563</v>
      </c>
      <c r="BA262" s="219">
        <v>17.366571769002856</v>
      </c>
      <c r="BB262" s="219">
        <v>16.65483658623215</v>
      </c>
      <c r="BC262" s="219">
        <v>15.943101403461444</v>
      </c>
      <c r="BD262" s="219">
        <v>15.231366220690738</v>
      </c>
      <c r="BE262" s="219">
        <v>14.519631037920032</v>
      </c>
      <c r="BF262" s="219">
        <v>13.807895855149328</v>
      </c>
      <c r="BG262" s="219">
        <v>13.096160672378621</v>
      </c>
      <c r="BH262" s="219">
        <v>12.384425489607915</v>
      </c>
      <c r="BI262" s="219">
        <v>11.672690306837209</v>
      </c>
      <c r="BJ262" s="219">
        <v>10.960955124066503</v>
      </c>
    </row>
    <row r="263" spans="1:62">
      <c r="A263" s="91" t="s">
        <v>379</v>
      </c>
      <c r="B263" s="196"/>
      <c r="C263" s="196"/>
      <c r="D263" s="196"/>
      <c r="E263" s="196"/>
      <c r="F263" s="196"/>
      <c r="G263" s="196"/>
      <c r="H263" s="196"/>
      <c r="I263" s="196"/>
      <c r="J263" s="196"/>
      <c r="K263" s="196"/>
      <c r="L263" s="196"/>
      <c r="M263" s="196"/>
      <c r="N263" s="196"/>
      <c r="O263" s="196"/>
      <c r="P263" s="196"/>
      <c r="Q263" s="196"/>
      <c r="R263" s="196"/>
      <c r="S263" s="196"/>
      <c r="T263" s="196"/>
      <c r="U263" s="196"/>
      <c r="V263" s="219">
        <v>82.147206000000011</v>
      </c>
      <c r="W263" s="219">
        <v>81.663320999999996</v>
      </c>
      <c r="X263" s="219">
        <v>77.738446999999994</v>
      </c>
      <c r="Y263" s="219">
        <v>75.095930999999993</v>
      </c>
      <c r="Z263" s="219">
        <v>73.738372999999996</v>
      </c>
      <c r="AA263" s="219">
        <v>67.50504699999999</v>
      </c>
      <c r="AB263" s="219">
        <v>68.236041</v>
      </c>
      <c r="AC263" s="219">
        <v>69.462103999999997</v>
      </c>
      <c r="AD263" s="219">
        <v>72.602136000000002</v>
      </c>
      <c r="AE263" s="219">
        <v>71.703926999999993</v>
      </c>
      <c r="AF263" s="219">
        <v>69.594387999999995</v>
      </c>
      <c r="AG263" s="219">
        <v>77.679573999999988</v>
      </c>
      <c r="AH263" s="219">
        <v>80.529116999999999</v>
      </c>
      <c r="AI263" s="219">
        <v>78.487554999999986</v>
      </c>
      <c r="AJ263" s="219">
        <v>76.485241000000002</v>
      </c>
      <c r="AK263" s="219">
        <v>70.022983951056858</v>
      </c>
      <c r="AL263" s="219">
        <v>65.790698426585308</v>
      </c>
      <c r="AM263" s="219">
        <v>61.558412902113744</v>
      </c>
      <c r="AN263" s="219">
        <v>57.326127377642187</v>
      </c>
      <c r="AO263" s="219">
        <v>53.09384185317063</v>
      </c>
      <c r="AP263" s="219">
        <v>48.861556328699066</v>
      </c>
      <c r="AQ263" s="219">
        <v>46.71419452830628</v>
      </c>
      <c r="AR263" s="219">
        <v>44.566832727913486</v>
      </c>
      <c r="AS263" s="219">
        <v>42.419470927520699</v>
      </c>
      <c r="AT263" s="219">
        <v>40.272109127127905</v>
      </c>
      <c r="AU263" s="219">
        <v>38.124747326735118</v>
      </c>
      <c r="AV263" s="219">
        <v>35.977385526342331</v>
      </c>
      <c r="AW263" s="219">
        <v>33.830023725949538</v>
      </c>
      <c r="AX263" s="219">
        <v>31.682661925556751</v>
      </c>
      <c r="AY263" s="219">
        <v>29.53530012516396</v>
      </c>
      <c r="AZ263" s="219">
        <v>27.38793832477117</v>
      </c>
      <c r="BA263" s="219">
        <v>26.67804527234021</v>
      </c>
      <c r="BB263" s="219">
        <v>25.96815221990925</v>
      </c>
      <c r="BC263" s="219">
        <v>25.25825916747829</v>
      </c>
      <c r="BD263" s="219">
        <v>24.54836611504733</v>
      </c>
      <c r="BE263" s="219">
        <v>23.838473062616366</v>
      </c>
      <c r="BF263" s="219">
        <v>23.128580010185409</v>
      </c>
      <c r="BG263" s="219">
        <v>22.418686957754446</v>
      </c>
      <c r="BH263" s="219">
        <v>21.708793905323486</v>
      </c>
      <c r="BI263" s="219">
        <v>20.998900852892525</v>
      </c>
      <c r="BJ263" s="219">
        <v>20.289007800461565</v>
      </c>
    </row>
    <row r="264" spans="1:62">
      <c r="A264" s="91" t="s">
        <v>362</v>
      </c>
      <c r="B264" s="196"/>
      <c r="C264" s="196"/>
      <c r="D264" s="196"/>
      <c r="E264" s="196"/>
      <c r="F264" s="196"/>
      <c r="G264" s="196"/>
      <c r="H264" s="196"/>
      <c r="I264" s="196"/>
      <c r="J264" s="196"/>
      <c r="K264" s="196"/>
      <c r="L264" s="196"/>
      <c r="M264" s="196"/>
      <c r="N264" s="196"/>
      <c r="O264" s="196"/>
      <c r="P264" s="196"/>
      <c r="Q264" s="196"/>
      <c r="R264" s="196"/>
      <c r="S264" s="196"/>
      <c r="T264" s="196"/>
      <c r="U264" s="196"/>
      <c r="V264" s="219">
        <f>SUM(V259:V263)</f>
        <v>355.05162999999993</v>
      </c>
      <c r="W264" s="219">
        <f t="shared" ref="W264:AD264" si="217">SUM(W259:W263)</f>
        <v>370.00386700000001</v>
      </c>
      <c r="X264" s="219">
        <f t="shared" si="217"/>
        <v>338.48442599999998</v>
      </c>
      <c r="Y264" s="219">
        <f t="shared" si="217"/>
        <v>332.60728799999998</v>
      </c>
      <c r="Z264" s="219">
        <f t="shared" si="217"/>
        <v>325.58454799999998</v>
      </c>
      <c r="AA264" s="219">
        <f t="shared" si="217"/>
        <v>301.69047599999999</v>
      </c>
      <c r="AB264" s="219">
        <f t="shared" si="217"/>
        <v>298.20835999999997</v>
      </c>
      <c r="AC264" s="219">
        <f t="shared" si="217"/>
        <v>304.94596100000001</v>
      </c>
      <c r="AD264" s="219">
        <f t="shared" si="217"/>
        <v>317.90758900000003</v>
      </c>
      <c r="AE264" s="219">
        <v>306.756708</v>
      </c>
      <c r="AF264" s="219">
        <v>281.39817599999998</v>
      </c>
      <c r="AG264" s="219">
        <v>309.06691999999998</v>
      </c>
      <c r="AH264" s="219">
        <v>325.68093199999998</v>
      </c>
      <c r="AI264" s="219">
        <v>297.47015799999997</v>
      </c>
      <c r="AJ264" s="219">
        <v>283.65410799999995</v>
      </c>
      <c r="AK264" s="219">
        <v>271.73677754433464</v>
      </c>
      <c r="AL264" s="219">
        <v>258.87008731650201</v>
      </c>
      <c r="AM264" s="219">
        <v>246.00339708866932</v>
      </c>
      <c r="AN264" s="219">
        <v>233.13670686083668</v>
      </c>
      <c r="AO264" s="219">
        <v>220.27001663300402</v>
      </c>
      <c r="AP264" s="219">
        <v>207.40332640517133</v>
      </c>
      <c r="AQ264" s="219">
        <v>197.45887650691023</v>
      </c>
      <c r="AR264" s="219">
        <v>187.51442660864913</v>
      </c>
      <c r="AS264" s="219">
        <v>177.56997671038803</v>
      </c>
      <c r="AT264" s="219">
        <v>167.62552681212691</v>
      </c>
      <c r="AU264" s="219">
        <v>157.68107691386581</v>
      </c>
      <c r="AV264" s="219">
        <v>147.73662701560471</v>
      </c>
      <c r="AW264" s="219">
        <v>137.79217711734361</v>
      </c>
      <c r="AX264" s="219">
        <v>127.84772721908251</v>
      </c>
      <c r="AY264" s="219">
        <v>117.90327732082142</v>
      </c>
      <c r="AZ264" s="219">
        <v>107.95882742256032</v>
      </c>
      <c r="BA264" s="219">
        <v>104.50902706476209</v>
      </c>
      <c r="BB264" s="219">
        <v>101.05922670696387</v>
      </c>
      <c r="BC264" s="219">
        <v>97.609426349165645</v>
      </c>
      <c r="BD264" s="219">
        <v>94.159625991367434</v>
      </c>
      <c r="BE264" s="219">
        <v>90.70982563356921</v>
      </c>
      <c r="BF264" s="219">
        <v>87.260025275771</v>
      </c>
      <c r="BG264" s="219">
        <v>83.810224917972761</v>
      </c>
      <c r="BH264" s="219">
        <v>80.36042456017455</v>
      </c>
      <c r="BI264" s="219">
        <v>76.91062420237634</v>
      </c>
      <c r="BJ264" s="219">
        <v>73.460823844578101</v>
      </c>
    </row>
    <row r="266" spans="1:62">
      <c r="A266" s="91" t="s">
        <v>372</v>
      </c>
      <c r="B266" s="67">
        <v>1990</v>
      </c>
      <c r="C266" s="67">
        <v>1991</v>
      </c>
      <c r="D266" s="67">
        <v>1992</v>
      </c>
      <c r="E266" s="67">
        <v>1993</v>
      </c>
      <c r="F266" s="67">
        <v>1994</v>
      </c>
      <c r="G266" s="67">
        <v>1995</v>
      </c>
      <c r="H266" s="67">
        <v>1996</v>
      </c>
      <c r="I266" s="67">
        <v>1997</v>
      </c>
      <c r="J266" s="67">
        <v>1998</v>
      </c>
      <c r="K266" s="67">
        <v>1999</v>
      </c>
      <c r="L266" s="67">
        <v>2000</v>
      </c>
      <c r="M266" s="67">
        <v>2001</v>
      </c>
      <c r="N266" s="67">
        <v>2002</v>
      </c>
      <c r="O266" s="67">
        <v>2003</v>
      </c>
      <c r="P266" s="67">
        <v>2004</v>
      </c>
      <c r="Q266" s="67">
        <v>2005</v>
      </c>
      <c r="R266" s="67">
        <v>2006</v>
      </c>
      <c r="S266" s="67">
        <v>2007</v>
      </c>
      <c r="T266" s="67">
        <v>2008</v>
      </c>
      <c r="U266" s="67">
        <v>2009</v>
      </c>
      <c r="V266" s="67">
        <v>2010</v>
      </c>
      <c r="W266" s="67">
        <v>2011</v>
      </c>
      <c r="X266" s="67">
        <v>2012</v>
      </c>
      <c r="Y266" s="67">
        <v>2013</v>
      </c>
      <c r="Z266" s="67">
        <v>2014</v>
      </c>
      <c r="AA266" s="67">
        <v>2015</v>
      </c>
      <c r="AB266" s="67">
        <v>2016</v>
      </c>
      <c r="AC266" s="67">
        <v>2017</v>
      </c>
      <c r="AD266" s="67">
        <v>2018</v>
      </c>
      <c r="AE266" s="67">
        <v>2019</v>
      </c>
      <c r="AF266" s="68">
        <v>2020</v>
      </c>
      <c r="AG266" s="68">
        <v>2021</v>
      </c>
      <c r="AH266" s="68">
        <v>2022</v>
      </c>
      <c r="AI266" s="67">
        <v>2023</v>
      </c>
      <c r="AJ266" s="67">
        <v>2024</v>
      </c>
      <c r="AK266" s="67">
        <v>2025</v>
      </c>
      <c r="AL266" s="67">
        <v>2026</v>
      </c>
      <c r="AM266" s="142">
        <v>2027</v>
      </c>
      <c r="AN266" s="67">
        <v>2028</v>
      </c>
      <c r="AO266" s="142">
        <v>2029</v>
      </c>
      <c r="AP266" s="67">
        <v>2030</v>
      </c>
      <c r="AQ266" s="142">
        <v>2031</v>
      </c>
      <c r="AR266" s="142">
        <v>2032</v>
      </c>
      <c r="AS266" s="67">
        <v>2033</v>
      </c>
      <c r="AT266" s="142">
        <v>2034</v>
      </c>
      <c r="AU266" s="67">
        <v>2035</v>
      </c>
      <c r="AV266" s="142">
        <v>2036</v>
      </c>
      <c r="AW266" s="142">
        <v>2037</v>
      </c>
      <c r="AX266" s="67">
        <v>2038</v>
      </c>
      <c r="AY266" s="142">
        <v>2039</v>
      </c>
      <c r="AZ266" s="67">
        <v>2040</v>
      </c>
      <c r="BA266" s="142">
        <v>2041</v>
      </c>
      <c r="BB266" s="142">
        <v>2042</v>
      </c>
      <c r="BC266" s="142">
        <v>2043</v>
      </c>
      <c r="BD266" s="142">
        <v>2044</v>
      </c>
      <c r="BE266" s="67">
        <v>2045</v>
      </c>
      <c r="BF266" s="142">
        <v>2046</v>
      </c>
      <c r="BG266" s="142">
        <v>2047</v>
      </c>
      <c r="BH266" s="142">
        <v>2048</v>
      </c>
      <c r="BI266" s="142">
        <v>2049</v>
      </c>
      <c r="BJ266" s="67">
        <v>2050</v>
      </c>
    </row>
    <row r="267" spans="1:62">
      <c r="A267" s="91" t="s">
        <v>358</v>
      </c>
      <c r="B267" s="196"/>
      <c r="C267" s="196"/>
      <c r="D267" s="196"/>
      <c r="E267" s="196"/>
      <c r="F267" s="196"/>
      <c r="G267" s="196"/>
      <c r="H267" s="196"/>
      <c r="I267" s="196"/>
      <c r="J267" s="196"/>
      <c r="K267" s="196"/>
      <c r="L267" s="196"/>
      <c r="M267" s="196"/>
      <c r="N267" s="196"/>
      <c r="O267" s="196"/>
      <c r="P267" s="196"/>
      <c r="Q267" s="196"/>
      <c r="R267" s="196"/>
      <c r="S267" s="196"/>
      <c r="T267" s="196"/>
      <c r="U267" s="196"/>
      <c r="V267" s="219">
        <v>66.840619000000004</v>
      </c>
      <c r="W267" s="219">
        <v>72.277186</v>
      </c>
      <c r="X267" s="219">
        <v>66.341734000000002</v>
      </c>
      <c r="Y267" s="219">
        <v>64.121843999999996</v>
      </c>
      <c r="Z267" s="219">
        <v>62.540144999999995</v>
      </c>
      <c r="AA267" s="219">
        <v>57.655388000000002</v>
      </c>
      <c r="AB267" s="219">
        <v>55.459643</v>
      </c>
      <c r="AC267" s="219">
        <v>59.268165000000003</v>
      </c>
      <c r="AD267" s="219">
        <v>62.914688000000005</v>
      </c>
      <c r="AE267" s="219">
        <v>62.733806999999999</v>
      </c>
      <c r="AF267" s="219">
        <v>45.508396000000005</v>
      </c>
      <c r="AG267" s="219">
        <v>49.808776999999992</v>
      </c>
      <c r="AH267" s="219">
        <v>56.477631999999993</v>
      </c>
      <c r="AI267" s="219">
        <v>54.686864999999997</v>
      </c>
      <c r="AJ267" s="219">
        <v>51.747193000000003</v>
      </c>
      <c r="AK267" s="219">
        <v>53.911013777011753</v>
      </c>
      <c r="AL267" s="219">
        <v>53.523088165517628</v>
      </c>
      <c r="AM267" s="219">
        <v>53.135162554023509</v>
      </c>
      <c r="AN267" s="219">
        <v>52.747236942529383</v>
      </c>
      <c r="AO267" s="219">
        <v>52.359311331035265</v>
      </c>
      <c r="AP267" s="219">
        <v>51.971385719541139</v>
      </c>
      <c r="AQ267" s="219">
        <v>49.76788998753927</v>
      </c>
      <c r="AR267" s="219">
        <v>47.564394255537408</v>
      </c>
      <c r="AS267" s="219">
        <v>45.360898523535539</v>
      </c>
      <c r="AT267" s="219">
        <v>43.15740279153367</v>
      </c>
      <c r="AU267" s="219">
        <v>40.953907059531801</v>
      </c>
      <c r="AV267" s="219">
        <v>38.750411327529932</v>
      </c>
      <c r="AW267" s="219">
        <v>36.54691559552807</v>
      </c>
      <c r="AX267" s="219">
        <v>34.343419863526208</v>
      </c>
      <c r="AY267" s="219">
        <v>32.139924131524339</v>
      </c>
      <c r="AZ267" s="219">
        <v>29.93642839952247</v>
      </c>
      <c r="BA267" s="219">
        <v>28.857158524589874</v>
      </c>
      <c r="BB267" s="219">
        <v>27.777888649657278</v>
      </c>
      <c r="BC267" s="219">
        <v>26.698618774724686</v>
      </c>
      <c r="BD267" s="219">
        <v>25.61934889979209</v>
      </c>
      <c r="BE267" s="219">
        <v>24.540079024859494</v>
      </c>
      <c r="BF267" s="219">
        <v>23.460809149926899</v>
      </c>
      <c r="BG267" s="219">
        <v>22.381539274994303</v>
      </c>
      <c r="BH267" s="219">
        <v>21.302269400061711</v>
      </c>
      <c r="BI267" s="219">
        <v>20.222999525129115</v>
      </c>
      <c r="BJ267" s="219">
        <v>19.143729650196519</v>
      </c>
    </row>
    <row r="268" spans="1:62">
      <c r="A268" s="91" t="s">
        <v>359</v>
      </c>
      <c r="B268" s="196"/>
      <c r="C268" s="196"/>
      <c r="D268" s="196"/>
      <c r="E268" s="196"/>
      <c r="F268" s="196"/>
      <c r="G268" s="196"/>
      <c r="H268" s="196"/>
      <c r="I268" s="196"/>
      <c r="J268" s="196"/>
      <c r="K268" s="196"/>
      <c r="L268" s="196"/>
      <c r="M268" s="196"/>
      <c r="N268" s="196"/>
      <c r="O268" s="196"/>
      <c r="P268" s="196"/>
      <c r="Q268" s="196"/>
      <c r="R268" s="196"/>
      <c r="S268" s="196"/>
      <c r="T268" s="196"/>
      <c r="U268" s="196"/>
      <c r="V268" s="219">
        <v>67.647476999999995</v>
      </c>
      <c r="W268" s="219">
        <v>68.294339999999991</v>
      </c>
      <c r="X268" s="219">
        <v>63.480457000000001</v>
      </c>
      <c r="Y268" s="219">
        <v>60.544188999999996</v>
      </c>
      <c r="Z268" s="219">
        <v>57.008199999999995</v>
      </c>
      <c r="AA268" s="219">
        <v>52.284305000000003</v>
      </c>
      <c r="AB268" s="219">
        <v>52.287596000000001</v>
      </c>
      <c r="AC268" s="219">
        <v>55.458109999999998</v>
      </c>
      <c r="AD268" s="219">
        <v>57.507466000000001</v>
      </c>
      <c r="AE268" s="219">
        <v>54.603900999999993</v>
      </c>
      <c r="AF268" s="219">
        <v>51.402165000000004</v>
      </c>
      <c r="AG268" s="219">
        <v>64.740752999999998</v>
      </c>
      <c r="AH268" s="219">
        <v>70.378664000000001</v>
      </c>
      <c r="AI268" s="219">
        <v>56.565090999999995</v>
      </c>
      <c r="AJ268" s="219">
        <v>53.176161999999991</v>
      </c>
      <c r="AK268" s="219">
        <v>50.849101313012348</v>
      </c>
      <c r="AL268" s="219">
        <v>47.99110646951852</v>
      </c>
      <c r="AM268" s="219">
        <v>45.133111626024693</v>
      </c>
      <c r="AN268" s="219">
        <v>42.275116782530873</v>
      </c>
      <c r="AO268" s="219">
        <v>39.417121939037045</v>
      </c>
      <c r="AP268" s="219">
        <v>36.559127095543218</v>
      </c>
      <c r="AQ268" s="219">
        <v>34.703181503394894</v>
      </c>
      <c r="AR268" s="219">
        <v>32.847235911246571</v>
      </c>
      <c r="AS268" s="219">
        <v>30.991290319098251</v>
      </c>
      <c r="AT268" s="219">
        <v>29.135344726949928</v>
      </c>
      <c r="AU268" s="219">
        <v>27.279399134801608</v>
      </c>
      <c r="AV268" s="219">
        <v>25.423453542653284</v>
      </c>
      <c r="AW268" s="219">
        <v>23.567507950504961</v>
      </c>
      <c r="AX268" s="219">
        <v>21.711562358356638</v>
      </c>
      <c r="AY268" s="219">
        <v>19.855616766208318</v>
      </c>
      <c r="AZ268" s="219">
        <v>17.999671174059994</v>
      </c>
      <c r="BA268" s="219">
        <v>17.280467376184617</v>
      </c>
      <c r="BB268" s="219">
        <v>16.561263578309241</v>
      </c>
      <c r="BC268" s="219">
        <v>15.842059780433862</v>
      </c>
      <c r="BD268" s="219">
        <v>15.122855982558484</v>
      </c>
      <c r="BE268" s="219">
        <v>14.403652184683107</v>
      </c>
      <c r="BF268" s="219">
        <v>13.68444838680773</v>
      </c>
      <c r="BG268" s="219">
        <v>12.965244588932352</v>
      </c>
      <c r="BH268" s="219">
        <v>12.246040791056975</v>
      </c>
      <c r="BI268" s="219">
        <v>11.526836993181597</v>
      </c>
      <c r="BJ268" s="219">
        <v>10.80763319530622</v>
      </c>
    </row>
    <row r="269" spans="1:62">
      <c r="A269" s="91" t="s">
        <v>360</v>
      </c>
      <c r="B269" s="196"/>
      <c r="C269" s="196"/>
      <c r="D269" s="196"/>
      <c r="E269" s="196"/>
      <c r="F269" s="196"/>
      <c r="G269" s="196"/>
      <c r="H269" s="196"/>
      <c r="I269" s="196"/>
      <c r="J269" s="196"/>
      <c r="K269" s="196"/>
      <c r="L269" s="196"/>
      <c r="M269" s="196"/>
      <c r="N269" s="196"/>
      <c r="O269" s="196"/>
      <c r="P269" s="196"/>
      <c r="Q269" s="196"/>
      <c r="R269" s="196"/>
      <c r="S269" s="196"/>
      <c r="T269" s="196"/>
      <c r="U269" s="196"/>
      <c r="V269" s="219">
        <v>67.594390000000004</v>
      </c>
      <c r="W269" s="219">
        <v>69.171311000000003</v>
      </c>
      <c r="X269" s="219">
        <v>66.107479999999995</v>
      </c>
      <c r="Y269" s="219">
        <v>65.527079000000001</v>
      </c>
      <c r="Z269" s="219">
        <v>64.931125999999992</v>
      </c>
      <c r="AA269" s="219">
        <v>61.923961000000006</v>
      </c>
      <c r="AB269" s="219">
        <v>62.282727000000001</v>
      </c>
      <c r="AC269" s="219">
        <v>63.254987999999997</v>
      </c>
      <c r="AD269" s="219">
        <v>64.771198999999996</v>
      </c>
      <c r="AE269" s="219">
        <v>61.897629000000002</v>
      </c>
      <c r="AF269" s="219">
        <v>62.230554999999995</v>
      </c>
      <c r="AG269" s="219">
        <v>64.411181999999997</v>
      </c>
      <c r="AH269" s="219">
        <v>65.852739999999997</v>
      </c>
      <c r="AI269" s="219">
        <v>62.511419000000011</v>
      </c>
      <c r="AJ269" s="219">
        <v>59.417898999999998</v>
      </c>
      <c r="AK269" s="219">
        <v>59.749972286408529</v>
      </c>
      <c r="AL269" s="219">
        <v>58.369248929612787</v>
      </c>
      <c r="AM269" s="219">
        <v>56.988525572817039</v>
      </c>
      <c r="AN269" s="219">
        <v>55.607802216021298</v>
      </c>
      <c r="AO269" s="219">
        <v>54.227078859225557</v>
      </c>
      <c r="AP269" s="219">
        <v>52.846355502429816</v>
      </c>
      <c r="AQ269" s="219">
        <v>51.68275501076436</v>
      </c>
      <c r="AR269" s="219">
        <v>50.519154519098905</v>
      </c>
      <c r="AS269" s="219">
        <v>49.355554027433449</v>
      </c>
      <c r="AT269" s="219">
        <v>48.191953535767993</v>
      </c>
      <c r="AU269" s="219">
        <v>47.028353044102538</v>
      </c>
      <c r="AV269" s="219">
        <v>45.864752552437082</v>
      </c>
      <c r="AW269" s="219">
        <v>44.701152060771626</v>
      </c>
      <c r="AX269" s="219">
        <v>43.537551569106171</v>
      </c>
      <c r="AY269" s="219">
        <v>42.373951077440715</v>
      </c>
      <c r="AZ269" s="219">
        <v>41.210350585775259</v>
      </c>
      <c r="BA269" s="219">
        <v>40.616231672789482</v>
      </c>
      <c r="BB269" s="219">
        <v>40.022112759803704</v>
      </c>
      <c r="BC269" s="219">
        <v>39.427993846817934</v>
      </c>
      <c r="BD269" s="219">
        <v>38.833874933832156</v>
      </c>
      <c r="BE269" s="219">
        <v>38.239756020846379</v>
      </c>
      <c r="BF269" s="219">
        <v>37.645637107860601</v>
      </c>
      <c r="BG269" s="219">
        <v>37.051518194874824</v>
      </c>
      <c r="BH269" s="219">
        <v>36.457399281889053</v>
      </c>
      <c r="BI269" s="219">
        <v>35.863280368903276</v>
      </c>
      <c r="BJ269" s="219">
        <v>35.269161455917498</v>
      </c>
    </row>
    <row r="270" spans="1:62">
      <c r="A270" s="91" t="s">
        <v>361</v>
      </c>
      <c r="B270" s="196"/>
      <c r="C270" s="196"/>
      <c r="D270" s="196"/>
      <c r="E270" s="196"/>
      <c r="F270" s="196"/>
      <c r="G270" s="196"/>
      <c r="H270" s="196"/>
      <c r="I270" s="196"/>
      <c r="J270" s="196"/>
      <c r="K270" s="196"/>
      <c r="L270" s="196"/>
      <c r="M270" s="196"/>
      <c r="N270" s="196"/>
      <c r="O270" s="196"/>
      <c r="P270" s="196"/>
      <c r="Q270" s="196"/>
      <c r="R270" s="196"/>
      <c r="S270" s="196"/>
      <c r="T270" s="196"/>
      <c r="U270" s="196"/>
      <c r="V270" s="219">
        <v>70.821937999999989</v>
      </c>
      <c r="W270" s="219">
        <v>78.597709000000009</v>
      </c>
      <c r="X270" s="219">
        <v>64.816307999999992</v>
      </c>
      <c r="Y270" s="219">
        <v>67.31824499999999</v>
      </c>
      <c r="Z270" s="219">
        <v>67.366703999999999</v>
      </c>
      <c r="AA270" s="219">
        <v>62.321775000000002</v>
      </c>
      <c r="AB270" s="219">
        <v>59.942353000000004</v>
      </c>
      <c r="AC270" s="219">
        <v>57.502593999999995</v>
      </c>
      <c r="AD270" s="219">
        <v>60.112099999999998</v>
      </c>
      <c r="AE270" s="219">
        <v>55.817444000000009</v>
      </c>
      <c r="AF270" s="219">
        <v>52.662671999999993</v>
      </c>
      <c r="AG270" s="219">
        <v>52.426633999999993</v>
      </c>
      <c r="AH270" s="219">
        <v>52.442778999999994</v>
      </c>
      <c r="AI270" s="219">
        <v>45.219228000000001</v>
      </c>
      <c r="AJ270" s="219">
        <v>42.827612999999999</v>
      </c>
      <c r="AK270" s="219">
        <v>44.842363546697925</v>
      </c>
      <c r="AL270" s="219">
        <v>44.653931320046887</v>
      </c>
      <c r="AM270" s="219">
        <v>44.465499093395856</v>
      </c>
      <c r="AN270" s="219">
        <v>44.277066866744818</v>
      </c>
      <c r="AO270" s="219">
        <v>44.08863464009378</v>
      </c>
      <c r="AP270" s="219">
        <v>43.900202413442742</v>
      </c>
      <c r="AQ270" s="219">
        <v>42.271550265609214</v>
      </c>
      <c r="AR270" s="219">
        <v>40.64289811777568</v>
      </c>
      <c r="AS270" s="219">
        <v>39.014245969942152</v>
      </c>
      <c r="AT270" s="219">
        <v>37.385593822108618</v>
      </c>
      <c r="AU270" s="219">
        <v>35.75694167427509</v>
      </c>
      <c r="AV270" s="219">
        <v>34.128289526441563</v>
      </c>
      <c r="AW270" s="219">
        <v>32.499637378608028</v>
      </c>
      <c r="AX270" s="219">
        <v>30.870985230774501</v>
      </c>
      <c r="AY270" s="219">
        <v>29.242333082940966</v>
      </c>
      <c r="AZ270" s="219">
        <v>27.613680935107439</v>
      </c>
      <c r="BA270" s="219">
        <v>26.725690502986843</v>
      </c>
      <c r="BB270" s="219">
        <v>25.837700070866248</v>
      </c>
      <c r="BC270" s="219">
        <v>24.949709638745652</v>
      </c>
      <c r="BD270" s="219">
        <v>24.061719206625057</v>
      </c>
      <c r="BE270" s="219">
        <v>23.173728774504461</v>
      </c>
      <c r="BF270" s="219">
        <v>22.285738342383866</v>
      </c>
      <c r="BG270" s="219">
        <v>21.397747910263266</v>
      </c>
      <c r="BH270" s="219">
        <v>20.509757478142671</v>
      </c>
      <c r="BI270" s="219">
        <v>19.621767046022075</v>
      </c>
      <c r="BJ270" s="219">
        <v>18.73377661390148</v>
      </c>
    </row>
    <row r="271" spans="1:62">
      <c r="A271" s="91" t="s">
        <v>379</v>
      </c>
      <c r="B271" s="196"/>
      <c r="C271" s="196"/>
      <c r="D271" s="196"/>
      <c r="E271" s="196"/>
      <c r="F271" s="196"/>
      <c r="G271" s="196"/>
      <c r="H271" s="196"/>
      <c r="I271" s="196"/>
      <c r="J271" s="196"/>
      <c r="K271" s="196"/>
      <c r="L271" s="196"/>
      <c r="M271" s="196"/>
      <c r="N271" s="196"/>
      <c r="O271" s="196"/>
      <c r="P271" s="196"/>
      <c r="Q271" s="196"/>
      <c r="R271" s="196"/>
      <c r="S271" s="196"/>
      <c r="T271" s="196"/>
      <c r="U271" s="196"/>
      <c r="V271" s="219">
        <v>82.147206000000011</v>
      </c>
      <c r="W271" s="219">
        <v>81.663320999999996</v>
      </c>
      <c r="X271" s="219">
        <v>77.738446999999994</v>
      </c>
      <c r="Y271" s="219">
        <v>75.095930999999993</v>
      </c>
      <c r="Z271" s="219">
        <v>73.738372999999996</v>
      </c>
      <c r="AA271" s="219">
        <v>67.50504699999999</v>
      </c>
      <c r="AB271" s="219">
        <v>68.236041</v>
      </c>
      <c r="AC271" s="219">
        <v>69.462103999999997</v>
      </c>
      <c r="AD271" s="219">
        <v>72.602136000000002</v>
      </c>
      <c r="AE271" s="219">
        <v>71.703926999999993</v>
      </c>
      <c r="AF271" s="219">
        <v>69.594387999999995</v>
      </c>
      <c r="AG271" s="219">
        <v>77.679573999999988</v>
      </c>
      <c r="AH271" s="219">
        <v>80.529116999999999</v>
      </c>
      <c r="AI271" s="219">
        <v>78.487554999999986</v>
      </c>
      <c r="AJ271" s="219">
        <v>76.485241000000002</v>
      </c>
      <c r="AK271" s="219">
        <v>74.450490497026578</v>
      </c>
      <c r="AL271" s="219">
        <v>72.431958245539874</v>
      </c>
      <c r="AM271" s="219">
        <v>70.413425994053185</v>
      </c>
      <c r="AN271" s="219">
        <v>68.394893742566481</v>
      </c>
      <c r="AO271" s="219">
        <v>66.376361491079777</v>
      </c>
      <c r="AP271" s="219">
        <v>64.357829239593073</v>
      </c>
      <c r="AQ271" s="219">
        <v>62.28188202133731</v>
      </c>
      <c r="AR271" s="219">
        <v>60.20593480308154</v>
      </c>
      <c r="AS271" s="219">
        <v>58.12998758482577</v>
      </c>
      <c r="AT271" s="219">
        <v>56.054040366570007</v>
      </c>
      <c r="AU271" s="219">
        <v>53.978093148314244</v>
      </c>
      <c r="AV271" s="219">
        <v>51.902145930058474</v>
      </c>
      <c r="AW271" s="219">
        <v>49.826198711802704</v>
      </c>
      <c r="AX271" s="219">
        <v>47.750251493546941</v>
      </c>
      <c r="AY271" s="219">
        <v>45.674304275291178</v>
      </c>
      <c r="AZ271" s="219">
        <v>43.598357057035408</v>
      </c>
      <c r="BA271" s="219">
        <v>42.832681499188304</v>
      </c>
      <c r="BB271" s="219">
        <v>42.067005941341193</v>
      </c>
      <c r="BC271" s="219">
        <v>41.30133038349409</v>
      </c>
      <c r="BD271" s="219">
        <v>40.535654825646979</v>
      </c>
      <c r="BE271" s="219">
        <v>39.769979267799876</v>
      </c>
      <c r="BF271" s="219">
        <v>39.004303709952772</v>
      </c>
      <c r="BG271" s="219">
        <v>38.238628152105662</v>
      </c>
      <c r="BH271" s="219">
        <v>37.472952594258558</v>
      </c>
      <c r="BI271" s="219">
        <v>36.707277036411448</v>
      </c>
      <c r="BJ271" s="219">
        <v>35.941601478564344</v>
      </c>
    </row>
    <row r="272" spans="1:62">
      <c r="A272" s="91" t="s">
        <v>362</v>
      </c>
      <c r="B272" s="196"/>
      <c r="C272" s="196"/>
      <c r="D272" s="196"/>
      <c r="E272" s="196"/>
      <c r="F272" s="196"/>
      <c r="G272" s="196"/>
      <c r="H272" s="196"/>
      <c r="I272" s="196"/>
      <c r="J272" s="196"/>
      <c r="K272" s="196"/>
      <c r="L272" s="196"/>
      <c r="M272" s="196"/>
      <c r="N272" s="196"/>
      <c r="O272" s="196"/>
      <c r="P272" s="196"/>
      <c r="Q272" s="196"/>
      <c r="R272" s="196"/>
      <c r="S272" s="196"/>
      <c r="T272" s="196"/>
      <c r="U272" s="196"/>
      <c r="V272" s="219">
        <f t="shared" ref="V272:AD272" si="218">SUM(V267:V271)</f>
        <v>355.05162999999993</v>
      </c>
      <c r="W272" s="219">
        <f t="shared" si="218"/>
        <v>370.00386700000001</v>
      </c>
      <c r="X272" s="219">
        <f t="shared" si="218"/>
        <v>338.48442599999998</v>
      </c>
      <c r="Y272" s="219">
        <f t="shared" si="218"/>
        <v>332.60728799999998</v>
      </c>
      <c r="Z272" s="219">
        <f t="shared" si="218"/>
        <v>325.58454799999998</v>
      </c>
      <c r="AA272" s="219">
        <f t="shared" si="218"/>
        <v>301.69047599999999</v>
      </c>
      <c r="AB272" s="219">
        <f t="shared" si="218"/>
        <v>298.20835999999997</v>
      </c>
      <c r="AC272" s="219">
        <f t="shared" si="218"/>
        <v>304.94596100000001</v>
      </c>
      <c r="AD272" s="219">
        <f t="shared" si="218"/>
        <v>317.90758900000003</v>
      </c>
      <c r="AE272" s="219">
        <v>306.756708</v>
      </c>
      <c r="AF272" s="219">
        <v>281.39817599999998</v>
      </c>
      <c r="AG272" s="219">
        <v>309.06691999999998</v>
      </c>
      <c r="AH272" s="219">
        <v>325.68093199999998</v>
      </c>
      <c r="AI272" s="219">
        <v>297.47015799999997</v>
      </c>
      <c r="AJ272" s="219">
        <v>283.65410799999995</v>
      </c>
      <c r="AK272" s="219">
        <v>283.80294142015714</v>
      </c>
      <c r="AL272" s="219">
        <v>276.96933313023567</v>
      </c>
      <c r="AM272" s="219">
        <v>270.13572484031425</v>
      </c>
      <c r="AN272" s="219">
        <v>263.30211655039284</v>
      </c>
      <c r="AO272" s="219">
        <v>256.46850826047142</v>
      </c>
      <c r="AP272" s="219">
        <v>249.63489997055001</v>
      </c>
      <c r="AQ272" s="219">
        <v>240.70725878864505</v>
      </c>
      <c r="AR272" s="219">
        <v>231.77961760674009</v>
      </c>
      <c r="AS272" s="219">
        <v>222.85197642483519</v>
      </c>
      <c r="AT272" s="219">
        <v>213.92433524293023</v>
      </c>
      <c r="AU272" s="219">
        <v>204.99669406102527</v>
      </c>
      <c r="AV272" s="219">
        <v>196.06905287912033</v>
      </c>
      <c r="AW272" s="219">
        <v>187.1414116972154</v>
      </c>
      <c r="AX272" s="219">
        <v>178.21377051531044</v>
      </c>
      <c r="AY272" s="219">
        <v>169.28612933340551</v>
      </c>
      <c r="AZ272" s="219">
        <v>160.35848815150058</v>
      </c>
      <c r="BA272" s="219">
        <v>156.31222957573914</v>
      </c>
      <c r="BB272" s="219">
        <v>152.26597099997767</v>
      </c>
      <c r="BC272" s="219">
        <v>148.2197124242162</v>
      </c>
      <c r="BD272" s="219">
        <v>144.17345384845476</v>
      </c>
      <c r="BE272" s="219">
        <v>140.12719527269331</v>
      </c>
      <c r="BF272" s="219">
        <v>136.08093669693187</v>
      </c>
      <c r="BG272" s="219">
        <v>132.0346781211704</v>
      </c>
      <c r="BH272" s="219">
        <v>127.98841954540897</v>
      </c>
      <c r="BI272" s="219">
        <v>123.94216096964752</v>
      </c>
      <c r="BJ272" s="219">
        <v>119.89590239388608</v>
      </c>
    </row>
    <row r="274" spans="1:62">
      <c r="A274" s="91" t="s">
        <v>373</v>
      </c>
      <c r="B274" s="67">
        <v>1990</v>
      </c>
      <c r="C274" s="67">
        <v>1991</v>
      </c>
      <c r="D274" s="67">
        <v>1992</v>
      </c>
      <c r="E274" s="67">
        <v>1993</v>
      </c>
      <c r="F274" s="67">
        <v>1994</v>
      </c>
      <c r="G274" s="67">
        <v>1995</v>
      </c>
      <c r="H274" s="67">
        <v>1996</v>
      </c>
      <c r="I274" s="67">
        <v>1997</v>
      </c>
      <c r="J274" s="67">
        <v>1998</v>
      </c>
      <c r="K274" s="67">
        <v>1999</v>
      </c>
      <c r="L274" s="67">
        <v>2000</v>
      </c>
      <c r="M274" s="67">
        <v>2001</v>
      </c>
      <c r="N274" s="67">
        <v>2002</v>
      </c>
      <c r="O274" s="67">
        <v>2003</v>
      </c>
      <c r="P274" s="67">
        <v>2004</v>
      </c>
      <c r="Q274" s="67">
        <v>2005</v>
      </c>
      <c r="R274" s="67">
        <v>2006</v>
      </c>
      <c r="S274" s="67">
        <v>2007</v>
      </c>
      <c r="T274" s="67">
        <v>2008</v>
      </c>
      <c r="U274" s="67">
        <v>2009</v>
      </c>
      <c r="V274" s="67">
        <v>2010</v>
      </c>
      <c r="W274" s="67">
        <v>2011</v>
      </c>
      <c r="X274" s="67">
        <v>2012</v>
      </c>
      <c r="Y274" s="67">
        <v>2013</v>
      </c>
      <c r="Z274" s="67">
        <v>2014</v>
      </c>
      <c r="AA274" s="67">
        <v>2015</v>
      </c>
      <c r="AB274" s="67">
        <v>2016</v>
      </c>
      <c r="AC274" s="67">
        <v>2017</v>
      </c>
      <c r="AD274" s="67">
        <v>2018</v>
      </c>
      <c r="AE274" s="67">
        <v>2019</v>
      </c>
      <c r="AF274" s="68">
        <v>2020</v>
      </c>
      <c r="AG274" s="68">
        <v>2021</v>
      </c>
      <c r="AH274" s="68">
        <v>2022</v>
      </c>
      <c r="AI274" s="67">
        <v>2023</v>
      </c>
      <c r="AJ274" s="67">
        <v>2024</v>
      </c>
      <c r="AK274" s="67">
        <v>2025</v>
      </c>
      <c r="AL274" s="67">
        <v>2026</v>
      </c>
      <c r="AM274" s="142">
        <v>2027</v>
      </c>
      <c r="AN274" s="67">
        <v>2028</v>
      </c>
      <c r="AO274" s="142">
        <v>2029</v>
      </c>
      <c r="AP274" s="67">
        <v>2030</v>
      </c>
      <c r="AQ274" s="142">
        <v>2031</v>
      </c>
      <c r="AR274" s="142">
        <v>2032</v>
      </c>
      <c r="AS274" s="67">
        <v>2033</v>
      </c>
      <c r="AT274" s="142">
        <v>2034</v>
      </c>
      <c r="AU274" s="67">
        <v>2035</v>
      </c>
      <c r="AV274" s="142">
        <v>2036</v>
      </c>
      <c r="AW274" s="142">
        <v>2037</v>
      </c>
      <c r="AX274" s="67">
        <v>2038</v>
      </c>
      <c r="AY274" s="142">
        <v>2039</v>
      </c>
      <c r="AZ274" s="67">
        <v>2040</v>
      </c>
      <c r="BA274" s="142">
        <v>2041</v>
      </c>
      <c r="BB274" s="142">
        <v>2042</v>
      </c>
      <c r="BC274" s="142">
        <v>2043</v>
      </c>
      <c r="BD274" s="142">
        <v>2044</v>
      </c>
      <c r="BE274" s="67">
        <v>2045</v>
      </c>
      <c r="BF274" s="142">
        <v>2046</v>
      </c>
      <c r="BG274" s="142">
        <v>2047</v>
      </c>
      <c r="BH274" s="142">
        <v>2048</v>
      </c>
      <c r="BI274" s="142">
        <v>2049</v>
      </c>
      <c r="BJ274" s="67">
        <v>2050</v>
      </c>
    </row>
    <row r="275" spans="1:62">
      <c r="A275" s="91" t="s">
        <v>358</v>
      </c>
      <c r="B275" s="196"/>
      <c r="C275" s="196"/>
      <c r="D275" s="196"/>
      <c r="E275" s="196"/>
      <c r="F275" s="196"/>
      <c r="G275" s="196"/>
      <c r="H275" s="196"/>
      <c r="I275" s="196"/>
      <c r="J275" s="196"/>
      <c r="K275" s="196"/>
      <c r="L275" s="196"/>
      <c r="M275" s="196"/>
      <c r="N275" s="196"/>
      <c r="O275" s="196"/>
      <c r="P275" s="196"/>
      <c r="Q275" s="196"/>
      <c r="R275" s="196"/>
      <c r="S275" s="196"/>
      <c r="T275" s="196"/>
      <c r="U275" s="196"/>
      <c r="V275" s="219">
        <v>66.840619000000004</v>
      </c>
      <c r="W275" s="219">
        <v>72.277186</v>
      </c>
      <c r="X275" s="219">
        <v>66.341734000000002</v>
      </c>
      <c r="Y275" s="219">
        <v>64.121843999999996</v>
      </c>
      <c r="Z275" s="219">
        <v>62.540144999999995</v>
      </c>
      <c r="AA275" s="219">
        <v>57.655388000000002</v>
      </c>
      <c r="AB275" s="219">
        <v>55.459643</v>
      </c>
      <c r="AC275" s="219">
        <v>59.268165000000003</v>
      </c>
      <c r="AD275" s="219">
        <v>62.914688000000005</v>
      </c>
      <c r="AE275" s="219">
        <v>62.733806999999999</v>
      </c>
      <c r="AF275" s="219">
        <v>45.508396000000005</v>
      </c>
      <c r="AG275" s="219">
        <v>49.808776999999992</v>
      </c>
      <c r="AH275" s="219">
        <v>56.477631999999993</v>
      </c>
      <c r="AI275" s="219">
        <v>54.686864999999997</v>
      </c>
      <c r="AJ275" s="219">
        <v>51.747193000000003</v>
      </c>
      <c r="AK275" s="219">
        <v>55.256137648982921</v>
      </c>
      <c r="AL275" s="219">
        <v>55.54077397347438</v>
      </c>
      <c r="AM275" s="219">
        <v>55.825410297965838</v>
      </c>
      <c r="AN275" s="219">
        <v>56.110046622457297</v>
      </c>
      <c r="AO275" s="219">
        <v>56.394682946948762</v>
      </c>
      <c r="AP275" s="219">
        <v>56.679319271440221</v>
      </c>
      <c r="AQ275" s="219">
        <v>55.173582005027782</v>
      </c>
      <c r="AR275" s="219">
        <v>53.667844738615337</v>
      </c>
      <c r="AS275" s="219">
        <v>52.162107472202891</v>
      </c>
      <c r="AT275" s="219">
        <v>50.656370205790452</v>
      </c>
      <c r="AU275" s="219">
        <v>49.150632939378013</v>
      </c>
      <c r="AV275" s="219">
        <v>47.644895672965568</v>
      </c>
      <c r="AW275" s="219">
        <v>46.139158406553122</v>
      </c>
      <c r="AX275" s="219">
        <v>44.633421140140683</v>
      </c>
      <c r="AY275" s="219">
        <v>43.127683873728245</v>
      </c>
      <c r="AZ275" s="219">
        <v>41.621946607315799</v>
      </c>
      <c r="BA275" s="219">
        <v>41.092705119530251</v>
      </c>
      <c r="BB275" s="219">
        <v>40.56346363174471</v>
      </c>
      <c r="BC275" s="219">
        <v>40.034222143959163</v>
      </c>
      <c r="BD275" s="219">
        <v>39.504980656173615</v>
      </c>
      <c r="BE275" s="219">
        <v>38.975739168388074</v>
      </c>
      <c r="BF275" s="219">
        <v>38.446497680602526</v>
      </c>
      <c r="BG275" s="219">
        <v>37.917256192816978</v>
      </c>
      <c r="BH275" s="219">
        <v>37.388014705031431</v>
      </c>
      <c r="BI275" s="219">
        <v>36.85877321724589</v>
      </c>
      <c r="BJ275" s="219">
        <v>36.329531729460342</v>
      </c>
    </row>
    <row r="276" spans="1:62">
      <c r="A276" s="91" t="s">
        <v>359</v>
      </c>
      <c r="B276" s="196"/>
      <c r="C276" s="196"/>
      <c r="D276" s="196"/>
      <c r="E276" s="196"/>
      <c r="F276" s="196"/>
      <c r="G276" s="196"/>
      <c r="H276" s="196"/>
      <c r="I276" s="196"/>
      <c r="J276" s="196"/>
      <c r="K276" s="196"/>
      <c r="L276" s="196"/>
      <c r="M276" s="196"/>
      <c r="N276" s="196"/>
      <c r="O276" s="196"/>
      <c r="P276" s="196"/>
      <c r="Q276" s="196"/>
      <c r="R276" s="196"/>
      <c r="S276" s="196"/>
      <c r="T276" s="196"/>
      <c r="U276" s="196"/>
      <c r="V276" s="219">
        <v>67.647476999999995</v>
      </c>
      <c r="W276" s="219">
        <v>68.294339999999991</v>
      </c>
      <c r="X276" s="219">
        <v>63.480457000000001</v>
      </c>
      <c r="Y276" s="219">
        <v>60.544188999999996</v>
      </c>
      <c r="Z276" s="219">
        <v>57.008199999999995</v>
      </c>
      <c r="AA276" s="219">
        <v>52.284305000000003</v>
      </c>
      <c r="AB276" s="219">
        <v>52.287596000000001</v>
      </c>
      <c r="AC276" s="219">
        <v>55.458109999999998</v>
      </c>
      <c r="AD276" s="219">
        <v>57.507466000000001</v>
      </c>
      <c r="AE276" s="219">
        <v>54.603900999999993</v>
      </c>
      <c r="AF276" s="219">
        <v>51.402165000000004</v>
      </c>
      <c r="AG276" s="219">
        <v>64.740752999999998</v>
      </c>
      <c r="AH276" s="219">
        <v>70.378664000000001</v>
      </c>
      <c r="AI276" s="219">
        <v>56.565090999999995</v>
      </c>
      <c r="AJ276" s="219">
        <v>53.176161999999991</v>
      </c>
      <c r="AK276" s="219">
        <v>52.085170057046192</v>
      </c>
      <c r="AL276" s="219">
        <v>49.845209585569293</v>
      </c>
      <c r="AM276" s="219">
        <v>47.605249114092395</v>
      </c>
      <c r="AN276" s="219">
        <v>45.365288642615496</v>
      </c>
      <c r="AO276" s="219">
        <v>43.125328171138591</v>
      </c>
      <c r="AP276" s="219">
        <v>40.885367699661693</v>
      </c>
      <c r="AQ276" s="219">
        <v>39.304545925069775</v>
      </c>
      <c r="AR276" s="219">
        <v>37.723724150477864</v>
      </c>
      <c r="AS276" s="219">
        <v>36.142902375885953</v>
      </c>
      <c r="AT276" s="219">
        <v>34.562080601294035</v>
      </c>
      <c r="AU276" s="219">
        <v>32.981258826702124</v>
      </c>
      <c r="AV276" s="219">
        <v>31.400437052110206</v>
      </c>
      <c r="AW276" s="219">
        <v>29.819615277518292</v>
      </c>
      <c r="AX276" s="219">
        <v>28.238793502926377</v>
      </c>
      <c r="AY276" s="219">
        <v>26.657971728334463</v>
      </c>
      <c r="AZ276" s="219">
        <v>25.077149953742548</v>
      </c>
      <c r="BA276" s="219">
        <v>24.465002532837673</v>
      </c>
      <c r="BB276" s="219">
        <v>23.852855111932797</v>
      </c>
      <c r="BC276" s="219">
        <v>23.240707691027922</v>
      </c>
      <c r="BD276" s="219">
        <v>22.628560270123046</v>
      </c>
      <c r="BE276" s="219">
        <v>22.01641284921817</v>
      </c>
      <c r="BF276" s="219">
        <v>21.404265428313295</v>
      </c>
      <c r="BG276" s="219">
        <v>20.792118007408419</v>
      </c>
      <c r="BH276" s="219">
        <v>20.179970586503543</v>
      </c>
      <c r="BI276" s="219">
        <v>19.567823165598668</v>
      </c>
      <c r="BJ276" s="219">
        <v>18.955675744693792</v>
      </c>
    </row>
    <row r="277" spans="1:62">
      <c r="A277" s="91" t="s">
        <v>360</v>
      </c>
      <c r="B277" s="196"/>
      <c r="C277" s="196"/>
      <c r="D277" s="196"/>
      <c r="E277" s="196"/>
      <c r="F277" s="196"/>
      <c r="G277" s="196"/>
      <c r="H277" s="196"/>
      <c r="I277" s="196"/>
      <c r="J277" s="196"/>
      <c r="K277" s="196"/>
      <c r="L277" s="196"/>
      <c r="M277" s="196"/>
      <c r="N277" s="196"/>
      <c r="O277" s="196"/>
      <c r="P277" s="196"/>
      <c r="Q277" s="196"/>
      <c r="R277" s="196"/>
      <c r="S277" s="196"/>
      <c r="T277" s="196"/>
      <c r="U277" s="196"/>
      <c r="V277" s="219">
        <v>67.594390000000004</v>
      </c>
      <c r="W277" s="219">
        <v>69.171311000000003</v>
      </c>
      <c r="X277" s="219">
        <v>66.107479999999995</v>
      </c>
      <c r="Y277" s="219">
        <v>65.527079000000001</v>
      </c>
      <c r="Z277" s="219">
        <v>64.931125999999992</v>
      </c>
      <c r="AA277" s="219">
        <v>61.923961000000006</v>
      </c>
      <c r="AB277" s="219">
        <v>62.282727000000001</v>
      </c>
      <c r="AC277" s="219">
        <v>63.254987999999997</v>
      </c>
      <c r="AD277" s="219">
        <v>64.771198999999996</v>
      </c>
      <c r="AE277" s="219">
        <v>61.897629000000002</v>
      </c>
      <c r="AF277" s="219">
        <v>62.230554999999995</v>
      </c>
      <c r="AG277" s="219">
        <v>64.411181999999997</v>
      </c>
      <c r="AH277" s="219">
        <v>65.852739999999997</v>
      </c>
      <c r="AI277" s="219">
        <v>62.511419000000011</v>
      </c>
      <c r="AJ277" s="219">
        <v>59.417898999999998</v>
      </c>
      <c r="AK277" s="219">
        <v>61.147291695913886</v>
      </c>
      <c r="AL277" s="219">
        <v>60.465228043870823</v>
      </c>
      <c r="AM277" s="219">
        <v>59.783164391827761</v>
      </c>
      <c r="AN277" s="219">
        <v>59.101100739784698</v>
      </c>
      <c r="AO277" s="219">
        <v>58.419037087741636</v>
      </c>
      <c r="AP277" s="219">
        <v>57.736973435698573</v>
      </c>
      <c r="AQ277" s="219">
        <v>57.103741856053652</v>
      </c>
      <c r="AR277" s="219">
        <v>56.470510276408739</v>
      </c>
      <c r="AS277" s="219">
        <v>55.837278696763818</v>
      </c>
      <c r="AT277" s="219">
        <v>55.204047117118897</v>
      </c>
      <c r="AU277" s="219">
        <v>54.570815537473976</v>
      </c>
      <c r="AV277" s="219">
        <v>53.937583957829062</v>
      </c>
      <c r="AW277" s="219">
        <v>53.304352378184142</v>
      </c>
      <c r="AX277" s="219">
        <v>52.671120798539221</v>
      </c>
      <c r="AY277" s="219">
        <v>52.037889218894307</v>
      </c>
      <c r="AZ277" s="219">
        <v>51.404657639249386</v>
      </c>
      <c r="BA277" s="219">
        <v>51.069875883789898</v>
      </c>
      <c r="BB277" s="219">
        <v>50.73509412833041</v>
      </c>
      <c r="BC277" s="219">
        <v>50.400312372870921</v>
      </c>
      <c r="BD277" s="219">
        <v>50.065530617411433</v>
      </c>
      <c r="BE277" s="219">
        <v>49.730748861951952</v>
      </c>
      <c r="BF277" s="219">
        <v>49.395967106492463</v>
      </c>
      <c r="BG277" s="219">
        <v>49.061185351032975</v>
      </c>
      <c r="BH277" s="219">
        <v>48.726403595573487</v>
      </c>
      <c r="BI277" s="219">
        <v>48.391621840113999</v>
      </c>
      <c r="BJ277" s="219">
        <v>48.05684008465451</v>
      </c>
    </row>
    <row r="278" spans="1:62">
      <c r="A278" s="91" t="s">
        <v>361</v>
      </c>
      <c r="B278" s="196"/>
      <c r="C278" s="196"/>
      <c r="D278" s="196"/>
      <c r="E278" s="196"/>
      <c r="F278" s="196"/>
      <c r="G278" s="196"/>
      <c r="H278" s="196"/>
      <c r="I278" s="196"/>
      <c r="J278" s="196"/>
      <c r="K278" s="196"/>
      <c r="L278" s="196"/>
      <c r="M278" s="196"/>
      <c r="N278" s="196"/>
      <c r="O278" s="196"/>
      <c r="P278" s="196"/>
      <c r="Q278" s="196"/>
      <c r="R278" s="196"/>
      <c r="S278" s="196"/>
      <c r="T278" s="196"/>
      <c r="U278" s="196"/>
      <c r="V278" s="219">
        <v>70.821937999999989</v>
      </c>
      <c r="W278" s="219">
        <v>78.597709000000009</v>
      </c>
      <c r="X278" s="219">
        <v>64.816307999999992</v>
      </c>
      <c r="Y278" s="219">
        <v>67.31824499999999</v>
      </c>
      <c r="Z278" s="219">
        <v>67.366703999999999</v>
      </c>
      <c r="AA278" s="219">
        <v>62.321775000000002</v>
      </c>
      <c r="AB278" s="219">
        <v>59.942353000000004</v>
      </c>
      <c r="AC278" s="219">
        <v>57.502593999999995</v>
      </c>
      <c r="AD278" s="219">
        <v>60.112099999999998</v>
      </c>
      <c r="AE278" s="219">
        <v>55.817444000000009</v>
      </c>
      <c r="AF278" s="219">
        <v>52.662671999999993</v>
      </c>
      <c r="AG278" s="219">
        <v>52.426633999999993</v>
      </c>
      <c r="AH278" s="219">
        <v>52.442778999999994</v>
      </c>
      <c r="AI278" s="219">
        <v>45.219228000000001</v>
      </c>
      <c r="AJ278" s="219">
        <v>42.827612999999999</v>
      </c>
      <c r="AK278" s="219">
        <v>46.424082214947447</v>
      </c>
      <c r="AL278" s="219">
        <v>47.02650932242117</v>
      </c>
      <c r="AM278" s="219">
        <v>47.628936429894893</v>
      </c>
      <c r="AN278" s="219">
        <v>48.231363537368615</v>
      </c>
      <c r="AO278" s="219">
        <v>48.833790644842338</v>
      </c>
      <c r="AP278" s="219">
        <v>49.436217752316061</v>
      </c>
      <c r="AQ278" s="219">
        <v>48.354466112278743</v>
      </c>
      <c r="AR278" s="219">
        <v>47.272714472241425</v>
      </c>
      <c r="AS278" s="219">
        <v>46.1909628322041</v>
      </c>
      <c r="AT278" s="219">
        <v>45.109211192166782</v>
      </c>
      <c r="AU278" s="219">
        <v>44.027459552129464</v>
      </c>
      <c r="AV278" s="219">
        <v>42.945707912092146</v>
      </c>
      <c r="AW278" s="219">
        <v>41.863956272054828</v>
      </c>
      <c r="AX278" s="219">
        <v>40.78220463201751</v>
      </c>
      <c r="AY278" s="219">
        <v>39.700452991980185</v>
      </c>
      <c r="AZ278" s="219">
        <v>38.618701351942867</v>
      </c>
      <c r="BA278" s="219">
        <v>37.937230896657809</v>
      </c>
      <c r="BB278" s="219">
        <v>37.255760441372757</v>
      </c>
      <c r="BC278" s="219">
        <v>36.574289986087699</v>
      </c>
      <c r="BD278" s="219">
        <v>35.89281953080264</v>
      </c>
      <c r="BE278" s="219">
        <v>35.211349075517589</v>
      </c>
      <c r="BF278" s="219">
        <v>34.52987862023253</v>
      </c>
      <c r="BG278" s="219">
        <v>33.848408164947472</v>
      </c>
      <c r="BH278" s="219">
        <v>33.166937709662413</v>
      </c>
      <c r="BI278" s="219">
        <v>32.485467254377362</v>
      </c>
      <c r="BJ278" s="219">
        <v>31.803996799092303</v>
      </c>
    </row>
    <row r="279" spans="1:62">
      <c r="A279" s="91" t="s">
        <v>379</v>
      </c>
      <c r="B279" s="196"/>
      <c r="C279" s="196"/>
      <c r="D279" s="196"/>
      <c r="E279" s="196"/>
      <c r="F279" s="196"/>
      <c r="G279" s="196"/>
      <c r="H279" s="196"/>
      <c r="I279" s="196"/>
      <c r="J279" s="196"/>
      <c r="K279" s="196"/>
      <c r="L279" s="196"/>
      <c r="M279" s="196"/>
      <c r="N279" s="196"/>
      <c r="O279" s="196"/>
      <c r="P279" s="196"/>
      <c r="Q279" s="196"/>
      <c r="R279" s="196"/>
      <c r="S279" s="196"/>
      <c r="T279" s="196"/>
      <c r="U279" s="196"/>
      <c r="V279" s="219">
        <v>82.147206000000011</v>
      </c>
      <c r="W279" s="219">
        <v>81.663320999999996</v>
      </c>
      <c r="X279" s="219">
        <v>77.738446999999994</v>
      </c>
      <c r="Y279" s="219">
        <v>75.095930999999993</v>
      </c>
      <c r="Z279" s="219">
        <v>73.738372999999996</v>
      </c>
      <c r="AA279" s="219">
        <v>67.50504699999999</v>
      </c>
      <c r="AB279" s="219">
        <v>68.236041</v>
      </c>
      <c r="AC279" s="219">
        <v>69.462103999999997</v>
      </c>
      <c r="AD279" s="219">
        <v>72.602136000000002</v>
      </c>
      <c r="AE279" s="219">
        <v>71.703926999999993</v>
      </c>
      <c r="AF279" s="219">
        <v>69.594387999999995</v>
      </c>
      <c r="AG279" s="219">
        <v>77.679573999999988</v>
      </c>
      <c r="AH279" s="219">
        <v>80.529116999999999</v>
      </c>
      <c r="AI279" s="219">
        <v>78.487554999999986</v>
      </c>
      <c r="AJ279" s="219">
        <v>76.485241000000002</v>
      </c>
      <c r="AK279" s="219">
        <v>75.084061016616843</v>
      </c>
      <c r="AL279" s="219">
        <v>73.382314024925279</v>
      </c>
      <c r="AM279" s="219">
        <v>71.6805670332337</v>
      </c>
      <c r="AN279" s="219">
        <v>69.978820041542136</v>
      </c>
      <c r="AO279" s="219">
        <v>68.277073049850557</v>
      </c>
      <c r="AP279" s="219">
        <v>66.575326058158993</v>
      </c>
      <c r="AQ279" s="219">
        <v>65.976209926512652</v>
      </c>
      <c r="AR279" s="219">
        <v>65.377093794866326</v>
      </c>
      <c r="AS279" s="219">
        <v>64.777977663219986</v>
      </c>
      <c r="AT279" s="219">
        <v>64.178861531573645</v>
      </c>
      <c r="AU279" s="219">
        <v>63.579745399927312</v>
      </c>
      <c r="AV279" s="219">
        <v>62.980629268280978</v>
      </c>
      <c r="AW279" s="219">
        <v>62.381513136634638</v>
      </c>
      <c r="AX279" s="219">
        <v>61.782397004988304</v>
      </c>
      <c r="AY279" s="219">
        <v>61.183280873341964</v>
      </c>
      <c r="AZ279" s="219">
        <v>60.584164741695631</v>
      </c>
      <c r="BA279" s="219">
        <v>60.604351234451691</v>
      </c>
      <c r="BB279" s="219">
        <v>60.624537727207752</v>
      </c>
      <c r="BC279" s="219">
        <v>60.644724219963813</v>
      </c>
      <c r="BD279" s="219">
        <v>60.664910712719873</v>
      </c>
      <c r="BE279" s="219">
        <v>60.685097205475941</v>
      </c>
      <c r="BF279" s="219">
        <v>60.705283698232002</v>
      </c>
      <c r="BG279" s="219">
        <v>60.725470190988062</v>
      </c>
      <c r="BH279" s="219">
        <v>60.745656683744123</v>
      </c>
      <c r="BI279" s="219">
        <v>60.765843176500184</v>
      </c>
      <c r="BJ279" s="219">
        <v>60.786029669256244</v>
      </c>
    </row>
    <row r="280" spans="1:62">
      <c r="A280" s="91" t="s">
        <v>362</v>
      </c>
      <c r="B280" s="196"/>
      <c r="C280" s="196"/>
      <c r="D280" s="196"/>
      <c r="E280" s="196"/>
      <c r="F280" s="196"/>
      <c r="G280" s="196"/>
      <c r="H280" s="196"/>
      <c r="I280" s="196"/>
      <c r="J280" s="196"/>
      <c r="K280" s="196"/>
      <c r="L280" s="196"/>
      <c r="M280" s="196"/>
      <c r="N280" s="196"/>
      <c r="O280" s="196"/>
      <c r="P280" s="196"/>
      <c r="Q280" s="196"/>
      <c r="R280" s="196"/>
      <c r="S280" s="196"/>
      <c r="T280" s="196"/>
      <c r="U280" s="196"/>
      <c r="V280" s="219">
        <f t="shared" ref="V280:AD280" si="219">SUM(V275:V279)</f>
        <v>355.05162999999993</v>
      </c>
      <c r="W280" s="219">
        <f t="shared" si="219"/>
        <v>370.00386700000001</v>
      </c>
      <c r="X280" s="219">
        <f t="shared" si="219"/>
        <v>338.48442599999998</v>
      </c>
      <c r="Y280" s="219">
        <f t="shared" si="219"/>
        <v>332.60728799999998</v>
      </c>
      <c r="Z280" s="219">
        <f t="shared" si="219"/>
        <v>325.58454799999998</v>
      </c>
      <c r="AA280" s="219">
        <f t="shared" si="219"/>
        <v>301.69047599999999</v>
      </c>
      <c r="AB280" s="219">
        <f t="shared" si="219"/>
        <v>298.20835999999997</v>
      </c>
      <c r="AC280" s="219">
        <f t="shared" si="219"/>
        <v>304.94596100000001</v>
      </c>
      <c r="AD280" s="219">
        <f t="shared" si="219"/>
        <v>317.90758900000003</v>
      </c>
      <c r="AE280" s="219">
        <v>306.756708</v>
      </c>
      <c r="AF280" s="219">
        <v>281.39817599999998</v>
      </c>
      <c r="AG280" s="219">
        <v>309.06691999999998</v>
      </c>
      <c r="AH280" s="219">
        <v>325.68093199999998</v>
      </c>
      <c r="AI280" s="219">
        <v>297.47015799999997</v>
      </c>
      <c r="AJ280" s="219">
        <v>283.65410799999995</v>
      </c>
      <c r="AK280" s="219">
        <v>289.99674263350727</v>
      </c>
      <c r="AL280" s="219">
        <v>286.26003495026089</v>
      </c>
      <c r="AM280" s="219">
        <v>282.52332726701457</v>
      </c>
      <c r="AN280" s="219">
        <v>278.78661958376824</v>
      </c>
      <c r="AO280" s="219">
        <v>275.04991190052186</v>
      </c>
      <c r="AP280" s="219">
        <v>271.31320421727548</v>
      </c>
      <c r="AQ280" s="219">
        <v>265.91254582494258</v>
      </c>
      <c r="AR280" s="219">
        <v>260.51188743260968</v>
      </c>
      <c r="AS280" s="219">
        <v>255.11122904027673</v>
      </c>
      <c r="AT280" s="219">
        <v>249.71057064794383</v>
      </c>
      <c r="AU280" s="219">
        <v>244.3099122556109</v>
      </c>
      <c r="AV280" s="219">
        <v>238.90925386327794</v>
      </c>
      <c r="AW280" s="219">
        <v>233.50859547094501</v>
      </c>
      <c r="AX280" s="219">
        <v>228.10793707861208</v>
      </c>
      <c r="AY280" s="219">
        <v>222.70727868627915</v>
      </c>
      <c r="AZ280" s="219">
        <v>217.30662029394625</v>
      </c>
      <c r="BA280" s="219">
        <v>215.16916566726732</v>
      </c>
      <c r="BB280" s="219">
        <v>213.03171104058842</v>
      </c>
      <c r="BC280" s="219">
        <v>210.89425641390952</v>
      </c>
      <c r="BD280" s="219">
        <v>208.75680178723059</v>
      </c>
      <c r="BE280" s="219">
        <v>206.61934716055174</v>
      </c>
      <c r="BF280" s="219">
        <v>204.48189253387281</v>
      </c>
      <c r="BG280" s="219">
        <v>202.34443790719391</v>
      </c>
      <c r="BH280" s="219">
        <v>200.206983280515</v>
      </c>
      <c r="BI280" s="219">
        <v>198.06952865383613</v>
      </c>
      <c r="BJ280" s="219">
        <v>195.9320740271572</v>
      </c>
    </row>
    <row r="281" spans="1:62">
      <c r="V281" s="314"/>
    </row>
    <row r="282" spans="1:62">
      <c r="V282" s="313"/>
    </row>
  </sheetData>
  <mergeCells count="19">
    <mergeCell ref="AK230:BJ230"/>
    <mergeCell ref="AK256:BJ256"/>
    <mergeCell ref="A2:AC2"/>
    <mergeCell ref="A150:AB150"/>
    <mergeCell ref="A205:AB205"/>
    <mergeCell ref="AK220:BJ220"/>
    <mergeCell ref="AK38:BJ38"/>
    <mergeCell ref="AK23:BJ23"/>
    <mergeCell ref="AK21:BJ21"/>
    <mergeCell ref="AK5:BJ5"/>
    <mergeCell ref="AK51:BJ51"/>
    <mergeCell ref="AK206:BJ206"/>
    <mergeCell ref="AK168:BJ168"/>
    <mergeCell ref="AK151:BJ151"/>
    <mergeCell ref="AK133:BJ133"/>
    <mergeCell ref="AK125:BJ125"/>
    <mergeCell ref="AK65:BJ65"/>
    <mergeCell ref="AK86:BJ86"/>
    <mergeCell ref="AK105:BJ105"/>
  </mergeCells>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G141"/>
  <sheetViews>
    <sheetView showGridLines="0" zoomScale="90" zoomScaleNormal="90" workbookViewId="0"/>
  </sheetViews>
  <sheetFormatPr baseColWidth="10" defaultColWidth="11.44140625" defaultRowHeight="14.4" outlineLevelCol="1"/>
  <cols>
    <col min="1" max="1" width="24.77734375" customWidth="1"/>
    <col min="3" max="6" width="0" hidden="1" customWidth="1" outlineLevel="1"/>
    <col min="7" max="7" width="11.5546875" collapsed="1"/>
    <col min="8" max="11" width="0" hidden="1" customWidth="1" outlineLevel="1"/>
    <col min="12" max="12" width="11.5546875" collapsed="1"/>
    <col min="13" max="16" width="0" hidden="1" customWidth="1" outlineLevel="1"/>
    <col min="17" max="17" width="11.5546875" collapsed="1"/>
    <col min="18" max="21" width="0" hidden="1" customWidth="1" outlineLevel="1"/>
    <col min="22" max="22" width="11.5546875" collapsed="1"/>
    <col min="23" max="26" width="0" hidden="1" customWidth="1" outlineLevel="1"/>
    <col min="27" max="27" width="11.5546875" collapsed="1"/>
  </cols>
  <sheetData>
    <row r="1" spans="1:59" ht="18">
      <c r="A1" s="56" t="s">
        <v>501</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t="s">
        <v>612</v>
      </c>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row>
    <row r="2" spans="1:59" ht="15">
      <c r="A2" s="498" t="s">
        <v>665</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499"/>
      <c r="AO2" s="499"/>
      <c r="AP2" s="499"/>
      <c r="AQ2" s="499"/>
      <c r="AR2" s="499"/>
      <c r="AS2" s="499"/>
      <c r="AT2" s="499"/>
      <c r="AU2" s="499"/>
      <c r="AV2" s="499"/>
      <c r="AW2" s="499"/>
      <c r="AX2" s="499"/>
      <c r="AY2" s="499"/>
      <c r="AZ2" s="499"/>
      <c r="BA2" s="499"/>
      <c r="BB2" s="499"/>
      <c r="BC2" s="499"/>
      <c r="BD2" s="499"/>
      <c r="BE2" s="499"/>
      <c r="BF2" s="499"/>
      <c r="BG2" s="499"/>
    </row>
    <row r="3" spans="1:59" ht="15">
      <c r="A3" s="59" t="s">
        <v>260</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row>
    <row r="4" spans="1:59" ht="22.2">
      <c r="A4" s="60"/>
      <c r="B4" s="61"/>
      <c r="C4" s="61"/>
      <c r="D4" s="61"/>
      <c r="E4" s="61"/>
      <c r="F4" s="61"/>
      <c r="G4" s="61"/>
      <c r="H4" s="61"/>
      <c r="I4" s="61"/>
      <c r="J4" s="61"/>
      <c r="K4" s="61"/>
      <c r="L4" s="61"/>
      <c r="M4" s="61"/>
      <c r="N4" s="61"/>
      <c r="O4" s="61"/>
      <c r="P4" s="61"/>
      <c r="Q4" s="61"/>
      <c r="R4" s="61"/>
      <c r="S4" s="61"/>
      <c r="T4" s="61"/>
      <c r="U4" s="61"/>
      <c r="V4" s="61"/>
      <c r="W4" s="61"/>
      <c r="X4" s="61"/>
      <c r="Y4" s="61"/>
      <c r="Z4" s="62"/>
      <c r="AA4" s="62"/>
      <c r="AB4" s="62"/>
      <c r="AC4" s="63"/>
      <c r="AD4" s="63"/>
      <c r="AE4" s="63"/>
      <c r="AF4" s="63"/>
      <c r="AG4" s="63"/>
      <c r="AH4" s="63"/>
    </row>
    <row r="5" spans="1:59" ht="18">
      <c r="A5" s="64" t="s">
        <v>261</v>
      </c>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510" t="s">
        <v>262</v>
      </c>
      <c r="AM5" s="510"/>
      <c r="AN5" s="510"/>
      <c r="AO5" s="510"/>
      <c r="AP5" s="510"/>
      <c r="AQ5" s="510"/>
      <c r="AR5" s="510"/>
    </row>
    <row r="6" spans="1:59" ht="52.8">
      <c r="A6" s="66" t="s">
        <v>341</v>
      </c>
      <c r="B6" s="393">
        <v>1990</v>
      </c>
      <c r="C6" s="393">
        <v>1991</v>
      </c>
      <c r="D6" s="393">
        <v>1992</v>
      </c>
      <c r="E6" s="393">
        <v>1993</v>
      </c>
      <c r="F6" s="393">
        <v>1994</v>
      </c>
      <c r="G6" s="393">
        <v>1995</v>
      </c>
      <c r="H6" s="393">
        <v>1996</v>
      </c>
      <c r="I6" s="393">
        <v>1997</v>
      </c>
      <c r="J6" s="393">
        <v>1998</v>
      </c>
      <c r="K6" s="393">
        <v>1999</v>
      </c>
      <c r="L6" s="393">
        <v>2000</v>
      </c>
      <c r="M6" s="393">
        <v>2001</v>
      </c>
      <c r="N6" s="393">
        <v>2002</v>
      </c>
      <c r="O6" s="393">
        <v>2003</v>
      </c>
      <c r="P6" s="393">
        <v>2004</v>
      </c>
      <c r="Q6" s="393">
        <v>2005</v>
      </c>
      <c r="R6" s="393">
        <v>2006</v>
      </c>
      <c r="S6" s="393">
        <v>2007</v>
      </c>
      <c r="T6" s="393">
        <v>2008</v>
      </c>
      <c r="U6" s="393">
        <v>2009</v>
      </c>
      <c r="V6" s="393">
        <v>2010</v>
      </c>
      <c r="W6" s="393">
        <v>2011</v>
      </c>
      <c r="X6" s="393">
        <v>2012</v>
      </c>
      <c r="Y6" s="393">
        <v>2013</v>
      </c>
      <c r="Z6" s="393">
        <v>2014</v>
      </c>
      <c r="AA6" s="393">
        <v>2015</v>
      </c>
      <c r="AB6" s="393">
        <v>2016</v>
      </c>
      <c r="AC6" s="393">
        <v>2017</v>
      </c>
      <c r="AD6" s="393">
        <v>2018</v>
      </c>
      <c r="AE6" s="393">
        <v>2019</v>
      </c>
      <c r="AF6" s="397">
        <v>2020</v>
      </c>
      <c r="AG6" s="397">
        <v>2021</v>
      </c>
      <c r="AH6" s="397">
        <v>2022</v>
      </c>
      <c r="AI6" s="393">
        <v>2023</v>
      </c>
      <c r="AJ6" s="394">
        <v>2024</v>
      </c>
      <c r="AK6" s="393">
        <v>2025</v>
      </c>
      <c r="AL6" s="394">
        <v>2026</v>
      </c>
      <c r="AM6" s="394">
        <v>2027</v>
      </c>
      <c r="AN6" s="393">
        <v>2028</v>
      </c>
      <c r="AO6" s="394">
        <v>2029</v>
      </c>
      <c r="AP6" s="393">
        <v>2030</v>
      </c>
      <c r="AQ6" s="395">
        <v>2040</v>
      </c>
      <c r="AR6" s="396">
        <v>2050</v>
      </c>
    </row>
    <row r="7" spans="1:59">
      <c r="A7" s="69" t="s">
        <v>264</v>
      </c>
      <c r="B7" s="70">
        <v>425.68935513545625</v>
      </c>
      <c r="C7" s="70">
        <v>444.02792700275228</v>
      </c>
      <c r="D7" s="70">
        <v>461.82364091720319</v>
      </c>
      <c r="E7" s="70">
        <v>453.97123914328108</v>
      </c>
      <c r="F7" s="70">
        <v>405.58345133011073</v>
      </c>
      <c r="G7" s="70">
        <v>407.8124474201212</v>
      </c>
      <c r="H7" s="70">
        <v>459.58427910319631</v>
      </c>
      <c r="I7" s="70">
        <v>467.36621648062822</v>
      </c>
      <c r="J7" s="70">
        <v>510.42655126179784</v>
      </c>
      <c r="K7" s="70">
        <v>485.38385662625961</v>
      </c>
      <c r="L7" s="70">
        <v>513.39912917425715</v>
      </c>
      <c r="M7" s="70">
        <v>572.40493815540492</v>
      </c>
      <c r="N7" s="70">
        <v>442.88606783451229</v>
      </c>
      <c r="O7" s="70">
        <v>271.21785426894286</v>
      </c>
      <c r="P7" s="70">
        <v>309.6238528943457</v>
      </c>
      <c r="Q7" s="70">
        <v>572.40493815540492</v>
      </c>
      <c r="R7" s="70">
        <v>277.24877363358019</v>
      </c>
      <c r="S7" s="70">
        <v>277.21751271268232</v>
      </c>
      <c r="T7" s="70">
        <v>259.80166117646019</v>
      </c>
      <c r="U7" s="70">
        <v>247.99890625893269</v>
      </c>
      <c r="V7" s="70">
        <v>442.88606783451229</v>
      </c>
      <c r="W7" s="70">
        <v>238.24225690491997</v>
      </c>
      <c r="X7" s="70">
        <v>190.22977506096646</v>
      </c>
      <c r="Y7" s="70">
        <v>201.65082761169404</v>
      </c>
      <c r="Z7" s="70">
        <v>243.98963282787702</v>
      </c>
      <c r="AA7" s="70">
        <v>271.21785426894286</v>
      </c>
      <c r="AB7" s="70">
        <v>309.6238528943457</v>
      </c>
      <c r="AC7" s="70">
        <v>338.83558097430335</v>
      </c>
      <c r="AD7" s="70">
        <v>277.24877363358019</v>
      </c>
      <c r="AE7" s="70">
        <v>277.21751271268232</v>
      </c>
      <c r="AF7" s="70">
        <v>259.80166117646019</v>
      </c>
      <c r="AG7" s="70">
        <v>247.99890625893269</v>
      </c>
      <c r="AH7" s="70">
        <v>251.16808044575288</v>
      </c>
      <c r="AI7" s="134">
        <v>238.24225690491997</v>
      </c>
      <c r="AJ7" s="134">
        <v>190.22977506096646</v>
      </c>
      <c r="AK7" s="134">
        <v>201.65082761169404</v>
      </c>
      <c r="AL7" s="134">
        <v>208.81738280184371</v>
      </c>
      <c r="AM7" s="134">
        <f>AL7+(AN7-AL7)/2</f>
        <v>253.49011192573249</v>
      </c>
      <c r="AN7" s="134">
        <v>298.16284104962131</v>
      </c>
      <c r="AO7" s="134">
        <f>AN7+(AP7-AN7)/2</f>
        <v>309.30912573752028</v>
      </c>
      <c r="AP7" s="134">
        <v>320.4554104254193</v>
      </c>
      <c r="AQ7" s="134">
        <v>294.22865033209291</v>
      </c>
      <c r="AR7" s="134">
        <v>272.49332541624182</v>
      </c>
    </row>
    <row r="8" spans="1:59">
      <c r="A8" s="69" t="s">
        <v>265</v>
      </c>
      <c r="B8" s="70">
        <v>21398.495972980807</v>
      </c>
      <c r="C8" s="70">
        <v>21707.511924228751</v>
      </c>
      <c r="D8" s="70">
        <v>22076.943861196782</v>
      </c>
      <c r="E8" s="70">
        <v>22091.372359367291</v>
      </c>
      <c r="F8" s="70">
        <v>22597.169993193977</v>
      </c>
      <c r="G8" s="70">
        <v>23647.45503067947</v>
      </c>
      <c r="H8" s="70">
        <v>23802.940730277773</v>
      </c>
      <c r="I8" s="70">
        <v>23256.38889532493</v>
      </c>
      <c r="J8" s="70">
        <v>17022.960463819159</v>
      </c>
      <c r="K8" s="70">
        <v>12328.117850964685</v>
      </c>
      <c r="L8" s="70">
        <v>11261.417145241676</v>
      </c>
      <c r="M8" s="70">
        <v>6780.5990951925842</v>
      </c>
      <c r="N8" s="70">
        <v>2727.307760192085</v>
      </c>
      <c r="O8" s="70">
        <v>2162.9072927903858</v>
      </c>
      <c r="P8" s="70">
        <v>1936.1553734295273</v>
      </c>
      <c r="Q8" s="70">
        <v>6780.5990951925842</v>
      </c>
      <c r="R8" s="70">
        <v>2022.2107359506067</v>
      </c>
      <c r="S8" s="70">
        <v>1790.6299914124149</v>
      </c>
      <c r="T8" s="70">
        <v>1593.8677370339478</v>
      </c>
      <c r="U8" s="70">
        <v>1509.7568665862223</v>
      </c>
      <c r="V8" s="70">
        <v>2727.307760192085</v>
      </c>
      <c r="W8" s="70">
        <v>1335.2762917429302</v>
      </c>
      <c r="X8" s="70">
        <v>1345.2062556506087</v>
      </c>
      <c r="Y8" s="70">
        <v>1310.537988382034</v>
      </c>
      <c r="Z8" s="70">
        <v>1838.3697053675542</v>
      </c>
      <c r="AA8" s="70">
        <v>2162.9072927903858</v>
      </c>
      <c r="AB8" s="70">
        <v>1936.1553734295273</v>
      </c>
      <c r="AC8" s="70">
        <v>2546.1101905792625</v>
      </c>
      <c r="AD8" s="70">
        <v>2022.2107359506067</v>
      </c>
      <c r="AE8" s="70">
        <v>1790.6299914124149</v>
      </c>
      <c r="AF8" s="70">
        <v>1593.8677370339478</v>
      </c>
      <c r="AG8" s="70">
        <v>1509.7568665862223</v>
      </c>
      <c r="AH8" s="70">
        <v>1573.0065483300625</v>
      </c>
      <c r="AI8" s="134">
        <v>1335.2762917429302</v>
      </c>
      <c r="AJ8" s="134">
        <v>1345.2062556506087</v>
      </c>
      <c r="AK8" s="134">
        <v>1310.537988382034</v>
      </c>
      <c r="AL8" s="134">
        <v>1299.3029164633292</v>
      </c>
      <c r="AM8" s="134">
        <f t="shared" ref="AM8:AO15" si="0">AL8+(AN8-AL8)/2</f>
        <v>1183.5349037176206</v>
      </c>
      <c r="AN8" s="134">
        <v>1067.7668909719118</v>
      </c>
      <c r="AO8" s="134">
        <f t="shared" si="0"/>
        <v>1044.4369929149009</v>
      </c>
      <c r="AP8" s="134">
        <v>1021.1070948578899</v>
      </c>
      <c r="AQ8" s="134">
        <v>908.21709988611451</v>
      </c>
      <c r="AR8" s="134">
        <v>822.30442551629812</v>
      </c>
    </row>
    <row r="9" spans="1:59">
      <c r="A9" s="69" t="s">
        <v>266</v>
      </c>
      <c r="B9" s="70">
        <v>2193.5943253331939</v>
      </c>
      <c r="C9" s="70">
        <v>2245.0753968928052</v>
      </c>
      <c r="D9" s="70">
        <v>2195.30817072632</v>
      </c>
      <c r="E9" s="70">
        <v>2173.5331100627736</v>
      </c>
      <c r="F9" s="70">
        <v>2151.4395968152398</v>
      </c>
      <c r="G9" s="70">
        <v>2184.0712733861837</v>
      </c>
      <c r="H9" s="70">
        <v>2168.2424085824846</v>
      </c>
      <c r="I9" s="70">
        <v>2152.4132019205981</v>
      </c>
      <c r="J9" s="70">
        <v>2155.3326603667542</v>
      </c>
      <c r="K9" s="70">
        <v>2177.091420555972</v>
      </c>
      <c r="L9" s="70">
        <v>2204.1975658434467</v>
      </c>
      <c r="M9" s="70">
        <v>2153.9305161733964</v>
      </c>
      <c r="N9" s="70">
        <v>2289.1939984551727</v>
      </c>
      <c r="O9" s="70">
        <v>2109.5943299673027</v>
      </c>
      <c r="P9" s="70">
        <v>2078.7972891861896</v>
      </c>
      <c r="Q9" s="70">
        <v>2153.9305161733964</v>
      </c>
      <c r="R9" s="70">
        <v>2098.3053962531512</v>
      </c>
      <c r="S9" s="70">
        <v>2139.5761190084313</v>
      </c>
      <c r="T9" s="70">
        <v>2142.8132583878996</v>
      </c>
      <c r="U9" s="70">
        <v>2147.028149734911</v>
      </c>
      <c r="V9" s="70">
        <v>2289.1939984551727</v>
      </c>
      <c r="W9" s="70">
        <v>2062.7433217588514</v>
      </c>
      <c r="X9" s="70">
        <v>2054.2090751988844</v>
      </c>
      <c r="Y9" s="70">
        <v>2054.2090751988844</v>
      </c>
      <c r="Z9" s="70">
        <v>2117.3202262058271</v>
      </c>
      <c r="AA9" s="70">
        <v>2109.5943299673027</v>
      </c>
      <c r="AB9" s="70">
        <v>2078.7972891861896</v>
      </c>
      <c r="AC9" s="70">
        <v>2084.860624512949</v>
      </c>
      <c r="AD9" s="70">
        <v>2098.3053962531512</v>
      </c>
      <c r="AE9" s="70">
        <v>2139.5761190084313</v>
      </c>
      <c r="AF9" s="70">
        <v>2142.8132583878996</v>
      </c>
      <c r="AG9" s="70">
        <v>2147.028149734911</v>
      </c>
      <c r="AH9" s="70">
        <v>2080.9928482904734</v>
      </c>
      <c r="AI9" s="134">
        <v>2062.7433217588514</v>
      </c>
      <c r="AJ9" s="134">
        <v>2054.2090751988844</v>
      </c>
      <c r="AK9" s="134">
        <v>2054.2090751988844</v>
      </c>
      <c r="AL9" s="134">
        <v>2053.0788391481292</v>
      </c>
      <c r="AM9" s="134">
        <f t="shared" si="0"/>
        <v>2063.5186832439435</v>
      </c>
      <c r="AN9" s="134">
        <v>2073.9585273397579</v>
      </c>
      <c r="AO9" s="134">
        <f t="shared" si="0"/>
        <v>2070.4250380384237</v>
      </c>
      <c r="AP9" s="134">
        <v>2066.8915487370896</v>
      </c>
      <c r="AQ9" s="134">
        <v>2044.1137066502386</v>
      </c>
      <c r="AR9" s="134">
        <v>1916.1320318418645</v>
      </c>
    </row>
    <row r="10" spans="1:59">
      <c r="A10" s="69" t="s">
        <v>267</v>
      </c>
      <c r="B10" s="70">
        <v>787.84958020224951</v>
      </c>
      <c r="C10" s="70">
        <v>868.06286592662207</v>
      </c>
      <c r="D10" s="70">
        <v>835.07454865078375</v>
      </c>
      <c r="E10" s="71">
        <v>811.48866605251555</v>
      </c>
      <c r="F10" s="71">
        <v>740.58941591629844</v>
      </c>
      <c r="G10" s="71">
        <v>748.85307173491924</v>
      </c>
      <c r="H10" s="71">
        <v>796.0741871077189</v>
      </c>
      <c r="I10" s="71">
        <v>747.69535237177456</v>
      </c>
      <c r="J10" s="71">
        <v>765.44360726476589</v>
      </c>
      <c r="K10" s="71">
        <v>739.40978030745839</v>
      </c>
      <c r="L10" s="71">
        <v>705.1780419063216</v>
      </c>
      <c r="M10" s="71">
        <v>689.48733307452665</v>
      </c>
      <c r="N10" s="71">
        <v>716.77655147044447</v>
      </c>
      <c r="O10" s="71">
        <v>666.22232607508317</v>
      </c>
      <c r="P10" s="71">
        <v>685.5025625460687</v>
      </c>
      <c r="Q10" s="71">
        <v>689.48733307452665</v>
      </c>
      <c r="R10" s="71">
        <v>663.0298007812421</v>
      </c>
      <c r="S10" s="71">
        <v>664.4772199093361</v>
      </c>
      <c r="T10" s="71">
        <v>642.74621198459135</v>
      </c>
      <c r="U10" s="71">
        <v>690.70097269863516</v>
      </c>
      <c r="V10" s="71">
        <v>716.77655147044447</v>
      </c>
      <c r="W10" s="71">
        <v>639.58975822647574</v>
      </c>
      <c r="X10" s="71">
        <v>634.96683107594754</v>
      </c>
      <c r="Y10" s="71">
        <v>636.56713226167403</v>
      </c>
      <c r="Z10" s="71">
        <v>657.66377724608446</v>
      </c>
      <c r="AA10" s="71">
        <v>666.22232607508317</v>
      </c>
      <c r="AB10" s="71">
        <v>685.5025625460687</v>
      </c>
      <c r="AC10" s="71">
        <v>676.45242578998068</v>
      </c>
      <c r="AD10" s="71">
        <v>663.0298007812421</v>
      </c>
      <c r="AE10" s="71">
        <v>664.4772199093361</v>
      </c>
      <c r="AF10" s="71">
        <v>642.74621198459135</v>
      </c>
      <c r="AG10" s="71">
        <v>690.70097269863516</v>
      </c>
      <c r="AH10" s="71">
        <v>644.76544802948365</v>
      </c>
      <c r="AI10" s="134">
        <v>639.58975822647574</v>
      </c>
      <c r="AJ10" s="134">
        <v>634.96683107594754</v>
      </c>
      <c r="AK10" s="134">
        <v>636.56713226167403</v>
      </c>
      <c r="AL10" s="134">
        <v>619.6694148811323</v>
      </c>
      <c r="AM10" s="134">
        <f t="shared" si="0"/>
        <v>577.63687507522286</v>
      </c>
      <c r="AN10" s="134">
        <v>535.60433526931342</v>
      </c>
      <c r="AO10" s="134">
        <f t="shared" si="0"/>
        <v>527.10862417210046</v>
      </c>
      <c r="AP10" s="134">
        <v>518.61291307488739</v>
      </c>
      <c r="AQ10" s="134">
        <v>394.4855021028938</v>
      </c>
      <c r="AR10" s="134">
        <v>351.7169919047227</v>
      </c>
    </row>
    <row r="11" spans="1:59">
      <c r="A11" s="69" t="s">
        <v>268</v>
      </c>
      <c r="B11" s="70">
        <v>27489.378584638733</v>
      </c>
      <c r="C11" s="70">
        <v>27605.7215900667</v>
      </c>
      <c r="D11" s="70">
        <v>27684.9689493695</v>
      </c>
      <c r="E11" s="70">
        <v>26629.154030824258</v>
      </c>
      <c r="F11" s="70">
        <v>25717.486305845618</v>
      </c>
      <c r="G11" s="70">
        <v>25757.656841032163</v>
      </c>
      <c r="H11" s="70">
        <v>26454.396488952381</v>
      </c>
      <c r="I11" s="70">
        <v>26797.842368680023</v>
      </c>
      <c r="J11" s="70">
        <v>26929.457730332651</v>
      </c>
      <c r="K11" s="70">
        <v>27230.452042239343</v>
      </c>
      <c r="L11" s="70">
        <v>27587.878229529586</v>
      </c>
      <c r="M11" s="70">
        <v>25947.246895305499</v>
      </c>
      <c r="N11" s="70">
        <v>24528.415189144816</v>
      </c>
      <c r="O11" s="70">
        <v>25197.577240271621</v>
      </c>
      <c r="P11" s="70">
        <v>24517.541329413783</v>
      </c>
      <c r="Q11" s="70">
        <v>25947.246895305499</v>
      </c>
      <c r="R11" s="70">
        <v>24296.728822217025</v>
      </c>
      <c r="S11" s="70">
        <v>24095.188899138579</v>
      </c>
      <c r="T11" s="70">
        <v>23648.754462042092</v>
      </c>
      <c r="U11" s="70">
        <v>24281.860037201015</v>
      </c>
      <c r="V11" s="70">
        <v>24528.415189144816</v>
      </c>
      <c r="W11" s="70">
        <v>22677.695934370448</v>
      </c>
      <c r="X11" s="70">
        <v>22447.4644063368</v>
      </c>
      <c r="Y11" s="70">
        <v>22652.528679665371</v>
      </c>
      <c r="Z11" s="70">
        <v>25502.365357146489</v>
      </c>
      <c r="AA11" s="70">
        <v>25197.577240271621</v>
      </c>
      <c r="AB11" s="70">
        <v>24517.541329413783</v>
      </c>
      <c r="AC11" s="70">
        <v>24804.773513654105</v>
      </c>
      <c r="AD11" s="70">
        <v>24296.728822217025</v>
      </c>
      <c r="AE11" s="70">
        <v>24095.188899138579</v>
      </c>
      <c r="AF11" s="70">
        <v>23648.754462042092</v>
      </c>
      <c r="AG11" s="70">
        <v>24281.860037201015</v>
      </c>
      <c r="AH11" s="70">
        <v>22744.706539075461</v>
      </c>
      <c r="AI11" s="134">
        <v>22677.695934370448</v>
      </c>
      <c r="AJ11" s="134">
        <v>22447.4644063368</v>
      </c>
      <c r="AK11" s="134">
        <v>22652.528679665371</v>
      </c>
      <c r="AL11" s="134">
        <v>22097.245161826773</v>
      </c>
      <c r="AM11" s="134">
        <f t="shared" si="0"/>
        <v>20829.349508437619</v>
      </c>
      <c r="AN11" s="134">
        <v>19561.453855048461</v>
      </c>
      <c r="AO11" s="134">
        <f t="shared" si="0"/>
        <v>19163.551580008956</v>
      </c>
      <c r="AP11" s="134">
        <v>18765.649304969451</v>
      </c>
      <c r="AQ11" s="134">
        <v>16777.95102445727</v>
      </c>
      <c r="AR11" s="134">
        <v>14859.10198264049</v>
      </c>
    </row>
    <row r="12" spans="1:59">
      <c r="A12" s="69" t="s">
        <v>257</v>
      </c>
      <c r="B12" s="70">
        <v>907.72471105547731</v>
      </c>
      <c r="C12" s="70">
        <v>865.18854103860235</v>
      </c>
      <c r="D12" s="70">
        <v>910.02067207856658</v>
      </c>
      <c r="E12" s="70">
        <v>1004.0653776747167</v>
      </c>
      <c r="F12" s="70">
        <v>1194.4489781158122</v>
      </c>
      <c r="G12" s="70">
        <v>1529.0390397544593</v>
      </c>
      <c r="H12" s="70">
        <v>1759.3403465786603</v>
      </c>
      <c r="I12" s="70">
        <v>2022.7614444665687</v>
      </c>
      <c r="J12" s="70">
        <v>2137.1559184438165</v>
      </c>
      <c r="K12" s="70">
        <v>1250.0199717572793</v>
      </c>
      <c r="L12" s="70">
        <v>1284.1674248809272</v>
      </c>
      <c r="M12" s="70">
        <v>1300.0343290551345</v>
      </c>
      <c r="N12" s="70">
        <v>1166.0604556547933</v>
      </c>
      <c r="O12" s="70">
        <v>1385.7010215321541</v>
      </c>
      <c r="P12" s="70">
        <v>1428.6870202319642</v>
      </c>
      <c r="Q12" s="70">
        <v>1300.0343290551345</v>
      </c>
      <c r="R12" s="70">
        <v>1374.6206626556195</v>
      </c>
      <c r="S12" s="70">
        <v>1349.4022595011083</v>
      </c>
      <c r="T12" s="70">
        <v>1151.5705622512639</v>
      </c>
      <c r="U12" s="70">
        <v>1254.4223996341295</v>
      </c>
      <c r="V12" s="70">
        <v>1166.0604556547933</v>
      </c>
      <c r="W12" s="70">
        <v>1213.5876535885488</v>
      </c>
      <c r="X12" s="70">
        <v>1190.0291967563842</v>
      </c>
      <c r="Y12" s="70">
        <v>1187.9039829872938</v>
      </c>
      <c r="Z12" s="70">
        <v>1303.0654407774125</v>
      </c>
      <c r="AA12" s="70">
        <v>1385.7010215321541</v>
      </c>
      <c r="AB12" s="70">
        <v>1428.6870202319642</v>
      </c>
      <c r="AC12" s="70">
        <v>1414.9313980297402</v>
      </c>
      <c r="AD12" s="70">
        <v>1374.6206626556195</v>
      </c>
      <c r="AE12" s="70">
        <v>1349.4022595011083</v>
      </c>
      <c r="AF12" s="70">
        <v>1151.5705622512639</v>
      </c>
      <c r="AG12" s="70">
        <v>1254.4223996341295</v>
      </c>
      <c r="AH12" s="70">
        <v>1266.3767205357269</v>
      </c>
      <c r="AI12" s="134">
        <v>1213.5876535885488</v>
      </c>
      <c r="AJ12" s="134">
        <v>1190.0291967563842</v>
      </c>
      <c r="AK12" s="134">
        <v>1187.9039829872938</v>
      </c>
      <c r="AL12" s="134">
        <v>1147.3143595057729</v>
      </c>
      <c r="AM12" s="134">
        <f t="shared" si="0"/>
        <v>1132.2379356682179</v>
      </c>
      <c r="AN12" s="134">
        <v>1117.1615118306629</v>
      </c>
      <c r="AO12" s="134">
        <f t="shared" si="0"/>
        <v>974.48714311562117</v>
      </c>
      <c r="AP12" s="134">
        <v>831.81277440057931</v>
      </c>
      <c r="AQ12" s="134">
        <v>330.54303176590219</v>
      </c>
      <c r="AR12" s="134">
        <v>87.41641362290234</v>
      </c>
    </row>
    <row r="13" spans="1:59">
      <c r="A13" s="72" t="s">
        <v>269</v>
      </c>
      <c r="B13" s="73">
        <v>109.02349259513855</v>
      </c>
      <c r="C13" s="73">
        <v>112.80826291327131</v>
      </c>
      <c r="D13" s="73">
        <v>122.37338458274338</v>
      </c>
      <c r="E13" s="73">
        <v>122.18339180337463</v>
      </c>
      <c r="F13" s="73">
        <v>119.92812499953658</v>
      </c>
      <c r="G13" s="73">
        <v>117.74055986671928</v>
      </c>
      <c r="H13" s="73">
        <v>128.54325952642023</v>
      </c>
      <c r="I13" s="73">
        <v>135.74532384334145</v>
      </c>
      <c r="J13" s="73">
        <v>147.27996024665828</v>
      </c>
      <c r="K13" s="73">
        <v>157.80571018145679</v>
      </c>
      <c r="L13" s="73">
        <v>157.78857181533795</v>
      </c>
      <c r="M13" s="73">
        <v>168.99924727579486</v>
      </c>
      <c r="N13" s="73">
        <v>164.81417067390856</v>
      </c>
      <c r="O13" s="73">
        <v>158.95557748546298</v>
      </c>
      <c r="P13" s="73">
        <v>154.43878516275848</v>
      </c>
      <c r="Q13" s="73">
        <v>168.99924727579486</v>
      </c>
      <c r="R13" s="73">
        <v>168.56453038474186</v>
      </c>
      <c r="S13" s="73">
        <v>170.79218678724942</v>
      </c>
      <c r="T13" s="73">
        <v>76.977075363568503</v>
      </c>
      <c r="U13" s="73">
        <v>85.127149360325177</v>
      </c>
      <c r="V13" s="73">
        <v>164.81417067390856</v>
      </c>
      <c r="W13" s="73">
        <v>145.12754349837715</v>
      </c>
      <c r="X13" s="73">
        <v>157.75380171509059</v>
      </c>
      <c r="Y13" s="73">
        <v>161.23373660709129</v>
      </c>
      <c r="Z13" s="73">
        <v>159.09844672932479</v>
      </c>
      <c r="AA13" s="73">
        <v>158.95557748546298</v>
      </c>
      <c r="AB13" s="73">
        <v>154.43878516275848</v>
      </c>
      <c r="AC13" s="73">
        <v>159.74089977179221</v>
      </c>
      <c r="AD13" s="73">
        <v>168.56453038474186</v>
      </c>
      <c r="AE13" s="73">
        <v>170.79218678724942</v>
      </c>
      <c r="AF13" s="73">
        <v>76.977075363568503</v>
      </c>
      <c r="AG13" s="73">
        <v>85.127149360325177</v>
      </c>
      <c r="AH13" s="73">
        <v>129.14629962810923</v>
      </c>
      <c r="AI13" s="134">
        <v>145.12754349837715</v>
      </c>
      <c r="AJ13" s="134">
        <v>157.75380171509059</v>
      </c>
      <c r="AK13" s="134">
        <v>161.23373660709129</v>
      </c>
      <c r="AL13" s="134">
        <v>162.20346532954812</v>
      </c>
      <c r="AM13" s="134">
        <f t="shared" si="0"/>
        <v>159.74535380251081</v>
      </c>
      <c r="AN13" s="134">
        <v>157.28724227547346</v>
      </c>
      <c r="AO13" s="134">
        <f t="shared" si="0"/>
        <v>155.60206186744409</v>
      </c>
      <c r="AP13" s="134">
        <v>153.9168814594147</v>
      </c>
      <c r="AQ13" s="134">
        <v>101.92952712721694</v>
      </c>
      <c r="AR13" s="134">
        <v>44.171177799029181</v>
      </c>
    </row>
    <row r="14" spans="1:59">
      <c r="A14" s="74" t="s">
        <v>270</v>
      </c>
      <c r="B14" s="76">
        <v>53202.732529345914</v>
      </c>
      <c r="C14" s="76">
        <v>53735.588245156236</v>
      </c>
      <c r="D14" s="76">
        <v>54164.139842939156</v>
      </c>
      <c r="E14" s="76">
        <v>53163.584783124839</v>
      </c>
      <c r="F14" s="76">
        <v>52806.717741217057</v>
      </c>
      <c r="G14" s="76">
        <v>54274.88770400732</v>
      </c>
      <c r="H14" s="76">
        <v>55440.578440602221</v>
      </c>
      <c r="I14" s="76">
        <v>55444.467479244515</v>
      </c>
      <c r="J14" s="76">
        <v>49520.776931488945</v>
      </c>
      <c r="K14" s="76">
        <v>44210.474922450994</v>
      </c>
      <c r="L14" s="76">
        <v>43556.237536576213</v>
      </c>
      <c r="M14" s="76">
        <v>37443.703106956542</v>
      </c>
      <c r="N14" s="76">
        <v>31870.640022751824</v>
      </c>
      <c r="O14" s="76">
        <v>31793.22006490549</v>
      </c>
      <c r="P14" s="76">
        <v>30956.307427701875</v>
      </c>
      <c r="Q14" s="76">
        <v>37443.703106956542</v>
      </c>
      <c r="R14" s="76">
        <v>30732.144191491225</v>
      </c>
      <c r="S14" s="76">
        <v>30316.492001682553</v>
      </c>
      <c r="T14" s="76">
        <v>29439.553892876258</v>
      </c>
      <c r="U14" s="76">
        <v>30131.767332113846</v>
      </c>
      <c r="V14" s="76">
        <v>31870.640022751824</v>
      </c>
      <c r="W14" s="76">
        <v>28167.135216592171</v>
      </c>
      <c r="X14" s="76">
        <v>27862.105540079589</v>
      </c>
      <c r="Y14" s="76">
        <v>28043.39768610695</v>
      </c>
      <c r="Z14" s="76">
        <v>31662.774139571244</v>
      </c>
      <c r="AA14" s="76">
        <v>31793.22006490549</v>
      </c>
      <c r="AB14" s="76">
        <v>30956.307427701875</v>
      </c>
      <c r="AC14" s="76">
        <v>31865.963733540342</v>
      </c>
      <c r="AD14" s="76">
        <v>30732.144191491225</v>
      </c>
      <c r="AE14" s="76">
        <v>30316.492001682553</v>
      </c>
      <c r="AF14" s="76">
        <v>29439.553892876258</v>
      </c>
      <c r="AG14" s="76">
        <v>30131.767332113846</v>
      </c>
      <c r="AH14" s="75">
        <v>28561.016184706958</v>
      </c>
      <c r="AI14" s="76">
        <v>28167.135216592171</v>
      </c>
      <c r="AJ14" s="76">
        <v>27862.105540079589</v>
      </c>
      <c r="AK14" s="76">
        <v>28043.39768610695</v>
      </c>
      <c r="AL14" s="76">
        <v>27425.428074626983</v>
      </c>
      <c r="AM14" s="76">
        <f t="shared" si="0"/>
        <v>26039.768018068356</v>
      </c>
      <c r="AN14" s="76">
        <v>24654.10796150973</v>
      </c>
      <c r="AO14" s="76">
        <f t="shared" si="0"/>
        <v>24089.318503987524</v>
      </c>
      <c r="AP14" s="76">
        <v>23524.529046465315</v>
      </c>
      <c r="AQ14" s="76">
        <v>20749.53901519451</v>
      </c>
      <c r="AR14" s="76">
        <v>18309.16517094252</v>
      </c>
    </row>
    <row r="15" spans="1:59">
      <c r="A15" s="69" t="s">
        <v>271</v>
      </c>
      <c r="B15" s="70">
        <v>1995.1401606708635</v>
      </c>
      <c r="C15" s="70">
        <v>2016.4601043719204</v>
      </c>
      <c r="D15" s="70">
        <v>1985.5005684784073</v>
      </c>
      <c r="E15" s="70">
        <v>1907.7553384297244</v>
      </c>
      <c r="F15" s="70">
        <v>1804.4864719465966</v>
      </c>
      <c r="G15" s="70">
        <v>1974.8988868550935</v>
      </c>
      <c r="H15" s="70">
        <v>1608.9739265936118</v>
      </c>
      <c r="I15" s="70">
        <v>1539.8773481019944</v>
      </c>
      <c r="J15" s="70">
        <v>1466.1056460976804</v>
      </c>
      <c r="K15" s="70">
        <v>1398.5368350970869</v>
      </c>
      <c r="L15" s="70">
        <v>1845.1197682312416</v>
      </c>
      <c r="M15" s="70">
        <v>1644.2577957393689</v>
      </c>
      <c r="N15" s="70">
        <v>1250.2511740016059</v>
      </c>
      <c r="O15" s="70">
        <v>1038.8054171642616</v>
      </c>
      <c r="P15" s="70">
        <v>989.93180078107173</v>
      </c>
      <c r="Q15" s="70">
        <v>1644.2577957393689</v>
      </c>
      <c r="R15" s="70">
        <v>878.66974280546958</v>
      </c>
      <c r="S15" s="70">
        <v>851.05717932834023</v>
      </c>
      <c r="T15" s="70">
        <v>786.11581498156829</v>
      </c>
      <c r="U15" s="70">
        <v>793.03007524993984</v>
      </c>
      <c r="V15" s="70">
        <v>1250.2511740016059</v>
      </c>
      <c r="W15" s="70">
        <v>818.80390614750013</v>
      </c>
      <c r="X15" s="70">
        <v>753.27597511062015</v>
      </c>
      <c r="Y15" s="70">
        <v>769.11807175111699</v>
      </c>
      <c r="Z15" s="70">
        <v>1158.6604571756341</v>
      </c>
      <c r="AA15" s="70">
        <v>1038.8054171642616</v>
      </c>
      <c r="AB15" s="70">
        <v>989.93180078107173</v>
      </c>
      <c r="AC15" s="70">
        <v>933.31139492085765</v>
      </c>
      <c r="AD15" s="70">
        <v>878.66974280546958</v>
      </c>
      <c r="AE15" s="70">
        <v>851.05717932834023</v>
      </c>
      <c r="AF15" s="70">
        <v>786.11581498156829</v>
      </c>
      <c r="AG15" s="70">
        <v>793.03007524993984</v>
      </c>
      <c r="AH15" s="70">
        <v>838.42139710026186</v>
      </c>
      <c r="AI15" s="135">
        <v>818.80390614750013</v>
      </c>
      <c r="AJ15" s="134">
        <v>753.27597511062015</v>
      </c>
      <c r="AK15" s="134">
        <v>769.11807175111699</v>
      </c>
      <c r="AL15" s="134">
        <v>753.22779355147918</v>
      </c>
      <c r="AM15" s="134">
        <f t="shared" si="0"/>
        <v>764.74944044977144</v>
      </c>
      <c r="AN15" s="134">
        <v>776.2710873480637</v>
      </c>
      <c r="AO15" s="134">
        <f t="shared" si="0"/>
        <v>775.69650085400258</v>
      </c>
      <c r="AP15" s="134">
        <v>775.12191435994134</v>
      </c>
      <c r="AQ15" s="134">
        <v>768.73761998148404</v>
      </c>
      <c r="AR15" s="134">
        <v>762.35332560302652</v>
      </c>
    </row>
    <row r="16" spans="1:59">
      <c r="A16" s="72" t="s">
        <v>272</v>
      </c>
      <c r="B16" s="73">
        <v>28.596196267808573</v>
      </c>
      <c r="C16" s="73">
        <v>28.668350868148419</v>
      </c>
      <c r="D16" s="73">
        <v>28.426052303821315</v>
      </c>
      <c r="E16" s="73">
        <v>28.642953084435458</v>
      </c>
      <c r="F16" s="73">
        <v>29.221355166073202</v>
      </c>
      <c r="G16" s="73">
        <v>29.124954819133578</v>
      </c>
      <c r="H16" s="73">
        <v>28.88395395178453</v>
      </c>
      <c r="I16" s="73">
        <v>29.293655426277919</v>
      </c>
      <c r="J16" s="73">
        <v>29.124954819133585</v>
      </c>
      <c r="K16" s="73">
        <v>29.378005729850091</v>
      </c>
      <c r="L16" s="73">
        <v>29.378005729850088</v>
      </c>
      <c r="M16" s="73">
        <v>29.85310465504617</v>
      </c>
      <c r="N16" s="73">
        <v>31.98090757463174</v>
      </c>
      <c r="O16" s="73">
        <v>32.550424804542068</v>
      </c>
      <c r="P16" s="73">
        <v>32.632938469774174</v>
      </c>
      <c r="Q16" s="73">
        <v>29.85310465504617</v>
      </c>
      <c r="R16" s="73">
        <v>32.776203989770835</v>
      </c>
      <c r="S16" s="73">
        <v>32.755576376718778</v>
      </c>
      <c r="T16" s="73">
        <v>32.702085955832359</v>
      </c>
      <c r="U16" s="73">
        <v>32.736789826326969</v>
      </c>
      <c r="V16" s="73">
        <v>31.98090757463174</v>
      </c>
      <c r="W16" s="73">
        <v>33.241257060355899</v>
      </c>
      <c r="X16" s="73">
        <v>33.241257060355899</v>
      </c>
      <c r="Y16" s="73">
        <v>33.241257060355899</v>
      </c>
      <c r="Z16" s="73">
        <v>32.513555835414422</v>
      </c>
      <c r="AA16" s="73">
        <v>32.550424804542068</v>
      </c>
      <c r="AB16" s="73">
        <v>32.632938469774174</v>
      </c>
      <c r="AC16" s="73">
        <v>32.70165862366165</v>
      </c>
      <c r="AD16" s="73">
        <v>32.776203989770835</v>
      </c>
      <c r="AE16" s="73">
        <v>32.755576376718778</v>
      </c>
      <c r="AF16" s="73">
        <v>32.702085955832359</v>
      </c>
      <c r="AG16" s="73">
        <v>32.736789826326969</v>
      </c>
      <c r="AH16" s="73">
        <v>32.925535698777203</v>
      </c>
      <c r="AI16" s="73">
        <v>33.241257060355899</v>
      </c>
      <c r="AJ16" s="73">
        <v>33.241257060355899</v>
      </c>
      <c r="AK16" s="73">
        <v>33.241257060355899</v>
      </c>
      <c r="AL16" s="271"/>
      <c r="AM16" s="271"/>
      <c r="AN16" s="271"/>
      <c r="AO16" s="271"/>
      <c r="AP16" s="271"/>
      <c r="AQ16" s="271"/>
      <c r="AR16" s="271"/>
    </row>
    <row r="17" spans="1:44">
      <c r="A17" s="74" t="s">
        <v>273</v>
      </c>
      <c r="B17" s="76">
        <v>55197.872690016775</v>
      </c>
      <c r="C17" s="76">
        <v>55752.048349528159</v>
      </c>
      <c r="D17" s="76">
        <v>56149.64041141756</v>
      </c>
      <c r="E17" s="76">
        <v>55071.34012155456</v>
      </c>
      <c r="F17" s="76">
        <v>54611.204213163655</v>
      </c>
      <c r="G17" s="76">
        <v>56249.786590862415</v>
      </c>
      <c r="H17" s="76">
        <v>57049.552367195836</v>
      </c>
      <c r="I17" s="76">
        <v>56984.344827346511</v>
      </c>
      <c r="J17" s="76">
        <v>50986.882577586628</v>
      </c>
      <c r="K17" s="76">
        <v>45609.011757548084</v>
      </c>
      <c r="L17" s="76">
        <v>45401.357304807454</v>
      </c>
      <c r="M17" s="76">
        <v>39087.960902695908</v>
      </c>
      <c r="N17" s="76">
        <v>33120.89119675343</v>
      </c>
      <c r="O17" s="76">
        <v>32832.025482069752</v>
      </c>
      <c r="P17" s="76">
        <v>31946.239228482948</v>
      </c>
      <c r="Q17" s="76">
        <v>39087.960902695908</v>
      </c>
      <c r="R17" s="76">
        <v>31610.813934296693</v>
      </c>
      <c r="S17" s="76">
        <v>31167.549181010894</v>
      </c>
      <c r="T17" s="76">
        <v>30225.669707857825</v>
      </c>
      <c r="U17" s="76">
        <v>30924.797407363785</v>
      </c>
      <c r="V17" s="76">
        <v>33120.89119675343</v>
      </c>
      <c r="W17" s="76">
        <v>28985.93912273967</v>
      </c>
      <c r="X17" s="76">
        <v>28615.381515190209</v>
      </c>
      <c r="Y17" s="76">
        <v>28812.515757858066</v>
      </c>
      <c r="Z17" s="76">
        <v>32821.434596746876</v>
      </c>
      <c r="AA17" s="76">
        <v>32832.025482069752</v>
      </c>
      <c r="AB17" s="76">
        <v>31946.239228482948</v>
      </c>
      <c r="AC17" s="76">
        <v>32799.275128461202</v>
      </c>
      <c r="AD17" s="76">
        <v>31610.813934296693</v>
      </c>
      <c r="AE17" s="76">
        <v>31167.549181010894</v>
      </c>
      <c r="AF17" s="76">
        <v>30225.669707857825</v>
      </c>
      <c r="AG17" s="76">
        <v>30924.797407363785</v>
      </c>
      <c r="AH17" s="76">
        <v>29399.437581807219</v>
      </c>
      <c r="AI17" s="76">
        <v>28985.93912273967</v>
      </c>
      <c r="AJ17" s="76">
        <v>28615.381515190209</v>
      </c>
      <c r="AK17" s="76">
        <v>28812.515757858066</v>
      </c>
      <c r="AL17" s="76">
        <v>28178.655868178459</v>
      </c>
      <c r="AM17" s="76">
        <f t="shared" ref="AM17" si="1">AM14+AM15</f>
        <v>26804.517458518127</v>
      </c>
      <c r="AN17" s="76">
        <v>25430.379048857794</v>
      </c>
      <c r="AO17" s="76">
        <f t="shared" ref="AO17" si="2">AO14+AO15</f>
        <v>24865.015004841527</v>
      </c>
      <c r="AP17" s="76">
        <v>24299.650960825256</v>
      </c>
      <c r="AQ17" s="76">
        <v>21518.276635175993</v>
      </c>
      <c r="AR17" s="76">
        <v>19071.518496545548</v>
      </c>
    </row>
    <row r="18" spans="1:44">
      <c r="A18" s="72" t="s">
        <v>274</v>
      </c>
      <c r="B18" s="73">
        <v>137.61968886294713</v>
      </c>
      <c r="C18" s="73">
        <v>141.47661378141973</v>
      </c>
      <c r="D18" s="73">
        <v>150.79943688656471</v>
      </c>
      <c r="E18" s="73">
        <v>150.82634488781008</v>
      </c>
      <c r="F18" s="73">
        <v>149.14948016560979</v>
      </c>
      <c r="G18" s="73">
        <v>146.86551468585287</v>
      </c>
      <c r="H18" s="73">
        <v>157.42721347820475</v>
      </c>
      <c r="I18" s="73">
        <v>165.03897926961938</v>
      </c>
      <c r="J18" s="73">
        <v>176.40491506579187</v>
      </c>
      <c r="K18" s="73">
        <v>187.18371591130688</v>
      </c>
      <c r="L18" s="73">
        <v>187.16657754518803</v>
      </c>
      <c r="M18" s="73">
        <v>198.85235193084102</v>
      </c>
      <c r="N18" s="73">
        <v>196.79507824854031</v>
      </c>
      <c r="O18" s="73">
        <v>191.50600229000506</v>
      </c>
      <c r="P18" s="73">
        <v>187.07172363253267</v>
      </c>
      <c r="Q18" s="73">
        <v>198.85235193084102</v>
      </c>
      <c r="R18" s="73">
        <v>201.34073437451269</v>
      </c>
      <c r="S18" s="73">
        <v>203.5477631639682</v>
      </c>
      <c r="T18" s="73">
        <v>109.67916131940086</v>
      </c>
      <c r="U18" s="73">
        <v>117.86393918665215</v>
      </c>
      <c r="V18" s="73">
        <v>196.79507824854031</v>
      </c>
      <c r="W18" s="73">
        <v>178.36880055873306</v>
      </c>
      <c r="X18" s="73">
        <v>190.99505877544649</v>
      </c>
      <c r="Y18" s="73">
        <v>194.47499366744719</v>
      </c>
      <c r="Z18" s="73">
        <v>191.61200256473921</v>
      </c>
      <c r="AA18" s="73">
        <v>191.50600229000506</v>
      </c>
      <c r="AB18" s="73">
        <v>187.07172363253267</v>
      </c>
      <c r="AC18" s="73">
        <v>192.44255839545386</v>
      </c>
      <c r="AD18" s="73">
        <v>201.34073437451269</v>
      </c>
      <c r="AE18" s="73">
        <v>203.5477631639682</v>
      </c>
      <c r="AF18" s="73">
        <v>109.67916131940086</v>
      </c>
      <c r="AG18" s="73">
        <v>117.86393918665215</v>
      </c>
      <c r="AH18" s="73">
        <v>162.07183532688643</v>
      </c>
      <c r="AI18" s="73">
        <v>178.36880055873306</v>
      </c>
      <c r="AJ18" s="73">
        <v>190.99505877544649</v>
      </c>
      <c r="AK18" s="73">
        <v>194.47499366744719</v>
      </c>
      <c r="AL18" s="271"/>
      <c r="AM18" s="271"/>
      <c r="AN18" s="271"/>
      <c r="AO18" s="271"/>
      <c r="AP18" s="271"/>
      <c r="AQ18" s="271"/>
      <c r="AR18" s="271"/>
    </row>
    <row r="19" spans="1:44">
      <c r="A19" s="77"/>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7"/>
      <c r="AI19" s="272"/>
      <c r="AJ19" s="272"/>
      <c r="AK19" s="272"/>
      <c r="AL19" s="272"/>
      <c r="AM19" s="272"/>
      <c r="AN19" s="272"/>
      <c r="AO19" s="272"/>
      <c r="AP19" s="272"/>
    </row>
    <row r="20" spans="1:44">
      <c r="A20" s="77"/>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9"/>
      <c r="AE20" s="77"/>
      <c r="AF20" s="77"/>
      <c r="AG20" s="77"/>
      <c r="AH20" s="77"/>
    </row>
    <row r="21" spans="1:44" ht="18">
      <c r="A21" s="64" t="s">
        <v>275</v>
      </c>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510" t="s">
        <v>262</v>
      </c>
      <c r="AM21" s="510"/>
      <c r="AN21" s="510"/>
      <c r="AO21" s="510"/>
      <c r="AP21" s="510"/>
      <c r="AQ21" s="510"/>
      <c r="AR21" s="510"/>
    </row>
    <row r="22" spans="1:44">
      <c r="A22" s="77"/>
      <c r="B22" s="77"/>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row>
    <row r="23" spans="1:44">
      <c r="A23" s="80" t="s">
        <v>264</v>
      </c>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509" t="s">
        <v>262</v>
      </c>
      <c r="AM23" s="509"/>
      <c r="AN23" s="509"/>
      <c r="AO23" s="509"/>
      <c r="AP23" s="509"/>
      <c r="AQ23" s="509"/>
      <c r="AR23" s="509"/>
    </row>
    <row r="24" spans="1:44" ht="52.8">
      <c r="A24" s="66" t="s">
        <v>341</v>
      </c>
      <c r="B24" s="393">
        <v>1990</v>
      </c>
      <c r="C24" s="393">
        <v>1991</v>
      </c>
      <c r="D24" s="393">
        <v>1992</v>
      </c>
      <c r="E24" s="393">
        <v>1993</v>
      </c>
      <c r="F24" s="393">
        <v>1994</v>
      </c>
      <c r="G24" s="393">
        <v>1995</v>
      </c>
      <c r="H24" s="393">
        <v>1996</v>
      </c>
      <c r="I24" s="393">
        <v>1997</v>
      </c>
      <c r="J24" s="393">
        <v>1998</v>
      </c>
      <c r="K24" s="393">
        <v>1999</v>
      </c>
      <c r="L24" s="393">
        <v>2000</v>
      </c>
      <c r="M24" s="393">
        <v>2001</v>
      </c>
      <c r="N24" s="393">
        <v>2002</v>
      </c>
      <c r="O24" s="393">
        <v>2003</v>
      </c>
      <c r="P24" s="393">
        <v>2004</v>
      </c>
      <c r="Q24" s="393">
        <v>2005</v>
      </c>
      <c r="R24" s="393">
        <v>2006</v>
      </c>
      <c r="S24" s="393">
        <v>2007</v>
      </c>
      <c r="T24" s="393">
        <v>2008</v>
      </c>
      <c r="U24" s="393">
        <v>2009</v>
      </c>
      <c r="V24" s="393">
        <v>2010</v>
      </c>
      <c r="W24" s="393">
        <v>2011</v>
      </c>
      <c r="X24" s="393">
        <v>2012</v>
      </c>
      <c r="Y24" s="393">
        <v>2013</v>
      </c>
      <c r="Z24" s="393">
        <v>2014</v>
      </c>
      <c r="AA24" s="393">
        <v>2015</v>
      </c>
      <c r="AB24" s="393">
        <v>2016</v>
      </c>
      <c r="AC24" s="393">
        <v>2017</v>
      </c>
      <c r="AD24" s="393">
        <v>2018</v>
      </c>
      <c r="AE24" s="393">
        <v>2019</v>
      </c>
      <c r="AF24" s="393">
        <v>2020</v>
      </c>
      <c r="AG24" s="397">
        <v>2021</v>
      </c>
      <c r="AH24" s="397">
        <v>2022</v>
      </c>
      <c r="AI24" s="393">
        <v>2023</v>
      </c>
      <c r="AJ24" s="394">
        <v>2024</v>
      </c>
      <c r="AK24" s="393">
        <v>2025</v>
      </c>
      <c r="AL24" s="394">
        <v>2026</v>
      </c>
      <c r="AM24" s="394">
        <v>2027</v>
      </c>
      <c r="AN24" s="393">
        <v>2028</v>
      </c>
      <c r="AO24" s="394">
        <v>2029</v>
      </c>
      <c r="AP24" s="393">
        <v>2030</v>
      </c>
      <c r="AQ24" s="395">
        <v>2040</v>
      </c>
      <c r="AR24" s="396">
        <v>2050</v>
      </c>
    </row>
    <row r="25" spans="1:44">
      <c r="A25" s="82" t="s">
        <v>74</v>
      </c>
      <c r="B25" s="83">
        <v>189.28993955273103</v>
      </c>
      <c r="C25" s="83">
        <v>189.83035813852467</v>
      </c>
      <c r="D25" s="83">
        <v>192.47797365350158</v>
      </c>
      <c r="E25" s="83">
        <v>171.4423226987584</v>
      </c>
      <c r="F25" s="83">
        <v>122.43706625400878</v>
      </c>
      <c r="G25" s="83">
        <v>122.6945199829579</v>
      </c>
      <c r="H25" s="83">
        <v>164.32981784289325</v>
      </c>
      <c r="I25" s="83">
        <v>168.78705326397375</v>
      </c>
      <c r="J25" s="83">
        <v>209.16432581019777</v>
      </c>
      <c r="K25" s="83">
        <v>163.80089927935097</v>
      </c>
      <c r="L25" s="83">
        <v>178.82757251022525</v>
      </c>
      <c r="M25" s="83">
        <v>144.1301276249398</v>
      </c>
      <c r="N25" s="83">
        <v>137.90351113570628</v>
      </c>
      <c r="O25" s="83">
        <v>166.75768799591629</v>
      </c>
      <c r="P25" s="83">
        <v>164.95425288054452</v>
      </c>
      <c r="Q25" s="83">
        <v>182.38763797915649</v>
      </c>
      <c r="R25" s="83">
        <v>180.95348394413196</v>
      </c>
      <c r="S25" s="83">
        <v>158.61907910070047</v>
      </c>
      <c r="T25" s="83">
        <v>154.76648924274485</v>
      </c>
      <c r="U25" s="83">
        <v>151.28291638143872</v>
      </c>
      <c r="V25" s="83">
        <v>162.00414039837503</v>
      </c>
      <c r="W25" s="83">
        <v>129.28549556284565</v>
      </c>
      <c r="X25" s="83">
        <v>141.29807810683812</v>
      </c>
      <c r="Y25" s="83">
        <v>119.97087587142764</v>
      </c>
      <c r="Z25" s="83">
        <v>66.21799438581526</v>
      </c>
      <c r="AA25" s="83">
        <v>82.938459290728673</v>
      </c>
      <c r="AB25" s="83">
        <v>103.62438085656726</v>
      </c>
      <c r="AC25" s="83">
        <v>121.47982564775147</v>
      </c>
      <c r="AD25" s="83">
        <v>93.533137473067242</v>
      </c>
      <c r="AE25" s="83">
        <v>97.961834686777024</v>
      </c>
      <c r="AF25" s="83">
        <v>89.779871835951894</v>
      </c>
      <c r="AG25" s="83">
        <v>99.329014459440174</v>
      </c>
      <c r="AH25" s="83">
        <v>117.52737268441061</v>
      </c>
      <c r="AI25" s="293">
        <v>96.455840716559294</v>
      </c>
      <c r="AJ25" s="279">
        <v>80.981210978562785</v>
      </c>
      <c r="AK25" s="293">
        <v>91.120055664335538</v>
      </c>
      <c r="AL25" s="293">
        <v>92.32425498725803</v>
      </c>
      <c r="AM25" s="293">
        <f>AL25+(AN25-AL25)/2</f>
        <v>78.740238655577897</v>
      </c>
      <c r="AN25" s="293">
        <v>65.156222323897765</v>
      </c>
      <c r="AO25" s="293">
        <f>AN25+(AP25-AN25)/2</f>
        <v>63.804883294133489</v>
      </c>
      <c r="AP25" s="293">
        <v>62.453544264369214</v>
      </c>
      <c r="AQ25" s="293">
        <v>47.831089692466911</v>
      </c>
      <c r="AR25" s="293">
        <v>42.408076654818522</v>
      </c>
    </row>
    <row r="26" spans="1:44">
      <c r="A26" s="82" t="s">
        <v>76</v>
      </c>
      <c r="B26" s="83">
        <v>17.054765468100001</v>
      </c>
      <c r="C26" s="83">
        <v>18.925425782172002</v>
      </c>
      <c r="D26" s="83">
        <v>18.558806379300002</v>
      </c>
      <c r="E26" s="83">
        <v>18.136078350786001</v>
      </c>
      <c r="F26" s="83">
        <v>16.710452602937998</v>
      </c>
      <c r="G26" s="83">
        <v>17.15705742292656</v>
      </c>
      <c r="H26" s="83">
        <v>18.25596521300659</v>
      </c>
      <c r="I26" s="83">
        <v>16.330096647682019</v>
      </c>
      <c r="J26" s="83">
        <v>16.163483688253265</v>
      </c>
      <c r="K26" s="83">
        <v>15.815067000269666</v>
      </c>
      <c r="L26" s="83">
        <v>16.020076890437249</v>
      </c>
      <c r="M26" s="83">
        <v>14.809027037498774</v>
      </c>
      <c r="N26" s="83">
        <v>12.696031386</v>
      </c>
      <c r="O26" s="83">
        <v>13.683980954817695</v>
      </c>
      <c r="P26" s="83">
        <v>12.326040696177767</v>
      </c>
      <c r="Q26" s="83">
        <v>12.343784373598263</v>
      </c>
      <c r="R26" s="83">
        <v>11.686070120905333</v>
      </c>
      <c r="S26" s="83">
        <v>10.678043386268302</v>
      </c>
      <c r="T26" s="83">
        <v>11.565454223022812</v>
      </c>
      <c r="U26" s="83">
        <v>12.518710267003499</v>
      </c>
      <c r="V26" s="83">
        <v>19.641032302807623</v>
      </c>
      <c r="W26" s="83">
        <v>16.079907052247172</v>
      </c>
      <c r="X26" s="83">
        <v>21.277273032916437</v>
      </c>
      <c r="Y26" s="83">
        <v>26.281886132295256</v>
      </c>
      <c r="Z26" s="83">
        <v>25.867301140663272</v>
      </c>
      <c r="AA26" s="83">
        <v>49.239652626498291</v>
      </c>
      <c r="AB26" s="83">
        <v>58.340523779359913</v>
      </c>
      <c r="AC26" s="83">
        <v>61.78284438323459</v>
      </c>
      <c r="AD26" s="83">
        <v>60.531129455330131</v>
      </c>
      <c r="AE26" s="83">
        <v>65.588895459633719</v>
      </c>
      <c r="AF26" s="83">
        <v>62.277129750928097</v>
      </c>
      <c r="AG26" s="83">
        <v>76.65142799040278</v>
      </c>
      <c r="AH26" s="83">
        <v>70.104906013981761</v>
      </c>
      <c r="AI26" s="293">
        <v>70.753941402339706</v>
      </c>
      <c r="AJ26" s="279">
        <v>63.195538296375666</v>
      </c>
      <c r="AK26" s="293">
        <v>64.154242619000698</v>
      </c>
      <c r="AL26" s="293">
        <v>71.07918363786392</v>
      </c>
      <c r="AM26" s="293">
        <f t="shared" ref="AM26:AO33" si="3">AL26+(AN26-AL26)/2</f>
        <v>121.82702124409442</v>
      </c>
      <c r="AN26" s="293">
        <v>172.57485885032494</v>
      </c>
      <c r="AO26" s="293">
        <f t="shared" si="3"/>
        <v>185.90204914439892</v>
      </c>
      <c r="AP26" s="293">
        <v>199.22923943847289</v>
      </c>
      <c r="AQ26" s="293">
        <v>204.10890557783256</v>
      </c>
      <c r="AR26" s="293">
        <v>198.3728054054352</v>
      </c>
    </row>
    <row r="27" spans="1:44">
      <c r="A27" s="82" t="s">
        <v>78</v>
      </c>
      <c r="B27" s="83">
        <v>36.942840000055348</v>
      </c>
      <c r="C27" s="83">
        <v>37.475548684376072</v>
      </c>
      <c r="D27" s="83">
        <v>37.951558077025069</v>
      </c>
      <c r="E27" s="83">
        <v>37.869987538982095</v>
      </c>
      <c r="F27" s="83">
        <v>38.867231781555013</v>
      </c>
      <c r="G27" s="83">
        <v>37.898844227832612</v>
      </c>
      <c r="H27" s="83">
        <v>41.358839775548816</v>
      </c>
      <c r="I27" s="83">
        <v>42.939620308883427</v>
      </c>
      <c r="J27" s="83">
        <v>42.354957396089631</v>
      </c>
      <c r="K27" s="83">
        <v>40.934500512861788</v>
      </c>
      <c r="L27" s="83">
        <v>42.475646671616794</v>
      </c>
      <c r="M27" s="83">
        <v>43.192417414963145</v>
      </c>
      <c r="N27" s="83">
        <v>40.915992589081299</v>
      </c>
      <c r="O27" s="83">
        <v>40.418200948794166</v>
      </c>
      <c r="P27" s="83">
        <v>41.848220722840878</v>
      </c>
      <c r="Q27" s="83">
        <v>40.408645361517927</v>
      </c>
      <c r="R27" s="83">
        <v>39.774250847828107</v>
      </c>
      <c r="S27" s="83">
        <v>42.567076203872183</v>
      </c>
      <c r="T27" s="83">
        <v>42.109518569232833</v>
      </c>
      <c r="U27" s="83">
        <v>45.293844163599211</v>
      </c>
      <c r="V27" s="83">
        <v>32.991927925070975</v>
      </c>
      <c r="W27" s="83">
        <v>25.04746778289682</v>
      </c>
      <c r="X27" s="83">
        <v>19.353958510935005</v>
      </c>
      <c r="Y27" s="83">
        <v>17.156928711046117</v>
      </c>
      <c r="Z27" s="83">
        <v>17.074785031282293</v>
      </c>
      <c r="AA27" s="83">
        <v>16.375992255711886</v>
      </c>
      <c r="AB27" s="83">
        <v>15.835721456589473</v>
      </c>
      <c r="AC27" s="83">
        <v>14.737384689268668</v>
      </c>
      <c r="AD27" s="83">
        <v>14.29044041809432</v>
      </c>
      <c r="AE27" s="83">
        <v>15.634536505720124</v>
      </c>
      <c r="AF27" s="83">
        <v>12.263105151012752</v>
      </c>
      <c r="AG27" s="83">
        <v>10.879371586670265</v>
      </c>
      <c r="AH27" s="83">
        <v>9.7710131719320437</v>
      </c>
      <c r="AI27" s="293">
        <v>10.623747292237454</v>
      </c>
      <c r="AJ27" s="279">
        <v>10.327681929804381</v>
      </c>
      <c r="AK27" s="293">
        <v>10.652175236775308</v>
      </c>
      <c r="AL27" s="293">
        <v>10.420626403233811</v>
      </c>
      <c r="AM27" s="293">
        <f t="shared" si="3"/>
        <v>9.6375517920631175</v>
      </c>
      <c r="AN27" s="293">
        <v>8.8544771808924239</v>
      </c>
      <c r="AO27" s="293">
        <f t="shared" si="3"/>
        <v>8.5028833715464742</v>
      </c>
      <c r="AP27" s="293">
        <v>8.1512895622005228</v>
      </c>
      <c r="AQ27" s="293">
        <v>5.1031718929954657</v>
      </c>
      <c r="AR27" s="293">
        <v>2.1525424497394852</v>
      </c>
    </row>
    <row r="28" spans="1:44" ht="24">
      <c r="A28" s="82" t="s">
        <v>80</v>
      </c>
      <c r="B28" s="83">
        <v>9.9666123717478534</v>
      </c>
      <c r="C28" s="83">
        <v>9.4950501531544944</v>
      </c>
      <c r="D28" s="83">
        <v>8.8451397157410554</v>
      </c>
      <c r="E28" s="83">
        <v>6.9912803767912859</v>
      </c>
      <c r="F28" s="83">
        <v>5.8022683664206687</v>
      </c>
      <c r="G28" s="83">
        <v>6.5660983724666853</v>
      </c>
      <c r="H28" s="83">
        <v>6.1455709611821323</v>
      </c>
      <c r="I28" s="83">
        <v>5.6114769097522448</v>
      </c>
      <c r="J28" s="83">
        <v>6.8872845002762135</v>
      </c>
      <c r="K28" s="83">
        <v>5.3248567834895368</v>
      </c>
      <c r="L28" s="83">
        <v>5.7907714008370812</v>
      </c>
      <c r="M28" s="83">
        <v>5.5539217324805161</v>
      </c>
      <c r="N28" s="83">
        <v>4.8344533079001462</v>
      </c>
      <c r="O28" s="83">
        <v>4.9528478928576103</v>
      </c>
      <c r="P28" s="83">
        <v>3.7411430750700001</v>
      </c>
      <c r="Q28" s="83">
        <v>0.5142827969999999</v>
      </c>
      <c r="R28" s="83">
        <v>2.4205105565000005</v>
      </c>
      <c r="S28" s="83">
        <v>8.0951598449999995</v>
      </c>
      <c r="T28" s="83">
        <v>0.65483763099999992</v>
      </c>
      <c r="U28" s="83">
        <v>0.86759980817081328</v>
      </c>
      <c r="V28" s="83">
        <v>0.36789253049999998</v>
      </c>
      <c r="W28" s="83">
        <v>0.36709753050000005</v>
      </c>
      <c r="X28" s="83">
        <v>0.36314876549999997</v>
      </c>
      <c r="Y28" s="83">
        <v>0.37683047700000005</v>
      </c>
      <c r="Z28" s="83">
        <v>0.38411372595961113</v>
      </c>
      <c r="AA28" s="83">
        <v>0.38146295012634368</v>
      </c>
      <c r="AB28" s="83">
        <v>0.37113710175640224</v>
      </c>
      <c r="AC28" s="83">
        <v>0.38573797003941179</v>
      </c>
      <c r="AD28" s="83">
        <v>0.37974458653209064</v>
      </c>
      <c r="AE28" s="83">
        <v>0.36949802168756429</v>
      </c>
      <c r="AF28" s="83">
        <v>0.27326455682916645</v>
      </c>
      <c r="AG28" s="83">
        <v>0.28090627806248458</v>
      </c>
      <c r="AH28" s="83">
        <v>0.28518201010302652</v>
      </c>
      <c r="AI28" s="293">
        <v>0.26460425593250531</v>
      </c>
      <c r="AJ28" s="279">
        <v>0.22685639624145598</v>
      </c>
      <c r="AK28" s="293">
        <v>0.23925199458102117</v>
      </c>
      <c r="AL28" s="293">
        <v>0.25025517795075936</v>
      </c>
      <c r="AM28" s="293">
        <f t="shared" si="3"/>
        <v>0.33581854910990516</v>
      </c>
      <c r="AN28" s="293">
        <v>0.42138192026905097</v>
      </c>
      <c r="AO28" s="293">
        <f t="shared" si="3"/>
        <v>0.39977454739577334</v>
      </c>
      <c r="AP28" s="293">
        <v>0.37816717452249576</v>
      </c>
      <c r="AQ28" s="293">
        <v>0.30416360433845557</v>
      </c>
      <c r="AR28" s="293">
        <v>0.23607992535493505</v>
      </c>
    </row>
    <row r="29" spans="1:44" ht="24">
      <c r="A29" s="82" t="s">
        <v>244</v>
      </c>
      <c r="B29" s="83">
        <v>0</v>
      </c>
      <c r="C29" s="83">
        <v>0</v>
      </c>
      <c r="D29" s="83">
        <v>0</v>
      </c>
      <c r="E29" s="83">
        <v>0</v>
      </c>
      <c r="F29" s="83">
        <v>0</v>
      </c>
      <c r="G29" s="83">
        <v>0</v>
      </c>
      <c r="H29" s="83">
        <v>0</v>
      </c>
      <c r="I29" s="83">
        <v>0</v>
      </c>
      <c r="J29" s="83">
        <v>0</v>
      </c>
      <c r="K29" s="83">
        <v>0</v>
      </c>
      <c r="L29" s="83">
        <v>0</v>
      </c>
      <c r="M29" s="83">
        <v>0</v>
      </c>
      <c r="N29" s="83">
        <v>0</v>
      </c>
      <c r="O29" s="83">
        <v>0</v>
      </c>
      <c r="P29" s="83">
        <v>0</v>
      </c>
      <c r="Q29" s="83">
        <v>0</v>
      </c>
      <c r="R29" s="83">
        <v>0</v>
      </c>
      <c r="S29" s="83">
        <v>0</v>
      </c>
      <c r="T29" s="83">
        <v>0</v>
      </c>
      <c r="U29" s="83">
        <v>0</v>
      </c>
      <c r="V29" s="83">
        <v>0</v>
      </c>
      <c r="W29" s="83">
        <v>0</v>
      </c>
      <c r="X29" s="83">
        <v>0</v>
      </c>
      <c r="Y29" s="83">
        <v>0</v>
      </c>
      <c r="Z29" s="83">
        <v>0</v>
      </c>
      <c r="AA29" s="83">
        <v>0</v>
      </c>
      <c r="AB29" s="83">
        <v>0</v>
      </c>
      <c r="AC29" s="83">
        <v>0</v>
      </c>
      <c r="AD29" s="83">
        <v>0</v>
      </c>
      <c r="AE29" s="83">
        <v>0</v>
      </c>
      <c r="AF29" s="83">
        <v>0</v>
      </c>
      <c r="AG29" s="83">
        <v>0</v>
      </c>
      <c r="AH29" s="83">
        <v>0</v>
      </c>
      <c r="AI29" s="293">
        <v>0</v>
      </c>
      <c r="AJ29" s="279">
        <v>0</v>
      </c>
      <c r="AK29" s="293">
        <v>0</v>
      </c>
      <c r="AL29" s="293">
        <v>0</v>
      </c>
      <c r="AM29" s="293">
        <f t="shared" si="3"/>
        <v>0</v>
      </c>
      <c r="AN29" s="293">
        <v>0</v>
      </c>
      <c r="AO29" s="293">
        <f t="shared" si="3"/>
        <v>0</v>
      </c>
      <c r="AP29" s="293">
        <v>0</v>
      </c>
      <c r="AQ29" s="293">
        <v>0</v>
      </c>
      <c r="AR29" s="293">
        <v>0</v>
      </c>
    </row>
    <row r="30" spans="1:44" ht="24">
      <c r="A30" s="82" t="s">
        <v>245</v>
      </c>
      <c r="B30" s="83">
        <v>0.66000368697803868</v>
      </c>
      <c r="C30" s="83">
        <v>0.6440710582910687</v>
      </c>
      <c r="D30" s="83">
        <v>0.62551936735418612</v>
      </c>
      <c r="E30" s="83">
        <v>0.6008565311675067</v>
      </c>
      <c r="F30" s="83">
        <v>0.6043486141673905</v>
      </c>
      <c r="G30" s="83">
        <v>0.54258239610694603</v>
      </c>
      <c r="H30" s="83">
        <v>0.45986368004719819</v>
      </c>
      <c r="I30" s="83">
        <v>0.38849423373707304</v>
      </c>
      <c r="J30" s="83">
        <v>0.37299811542508859</v>
      </c>
      <c r="K30" s="83">
        <v>0.33589473355132332</v>
      </c>
      <c r="L30" s="83">
        <v>0.30948585586470201</v>
      </c>
      <c r="M30" s="83">
        <v>0.30184692430245619</v>
      </c>
      <c r="N30" s="83">
        <v>0.28744208192793547</v>
      </c>
      <c r="O30" s="83">
        <v>0.26605307355364721</v>
      </c>
      <c r="P30" s="83">
        <v>0.24837440336673544</v>
      </c>
      <c r="Q30" s="83">
        <v>0.2354973473046639</v>
      </c>
      <c r="R30" s="83">
        <v>0.23025922280483824</v>
      </c>
      <c r="S30" s="83">
        <v>0.21258055261792649</v>
      </c>
      <c r="T30" s="83">
        <v>0.21279880780541918</v>
      </c>
      <c r="U30" s="83">
        <v>0.19621141355597119</v>
      </c>
      <c r="V30" s="83">
        <v>0.19555664799349293</v>
      </c>
      <c r="W30" s="83">
        <v>0.19533839280600013</v>
      </c>
      <c r="X30" s="83">
        <v>0.17613193630663929</v>
      </c>
      <c r="Y30" s="83">
        <v>0.17307636368174095</v>
      </c>
      <c r="Z30" s="83">
        <v>0.16718347361943703</v>
      </c>
      <c r="AA30" s="83">
        <v>0.18246133674392867</v>
      </c>
      <c r="AB30" s="83">
        <v>0.17787797780658116</v>
      </c>
      <c r="AC30" s="83">
        <v>0.16543743211949513</v>
      </c>
      <c r="AD30" s="83">
        <v>0.16892951511937895</v>
      </c>
      <c r="AE30" s="83">
        <v>0.1582350109322348</v>
      </c>
      <c r="AF30" s="83">
        <v>0.14186587187027944</v>
      </c>
      <c r="AG30" s="83">
        <v>0.14339365818272864</v>
      </c>
      <c r="AH30" s="83">
        <v>0.1298618365581789</v>
      </c>
      <c r="AI30" s="293">
        <v>0.1274610294957588</v>
      </c>
      <c r="AJ30" s="279">
        <v>0.11960384274602019</v>
      </c>
      <c r="AK30" s="293">
        <v>0.12410909102105516</v>
      </c>
      <c r="AL30" s="293">
        <v>0</v>
      </c>
      <c r="AM30" s="293">
        <f t="shared" si="3"/>
        <v>5.3821119887471153E-2</v>
      </c>
      <c r="AN30" s="293">
        <v>0.10764223977494231</v>
      </c>
      <c r="AO30" s="293">
        <f t="shared" si="3"/>
        <v>0.10183720679206162</v>
      </c>
      <c r="AP30" s="293">
        <v>9.6032173809180929E-2</v>
      </c>
      <c r="AQ30" s="293">
        <v>4.3261977805223471E-2</v>
      </c>
      <c r="AR30" s="293">
        <v>1.8702042287099655E-2</v>
      </c>
    </row>
    <row r="31" spans="1:44" ht="24">
      <c r="A31" s="82" t="s">
        <v>246</v>
      </c>
      <c r="B31" s="83">
        <v>2.0265873519720765</v>
      </c>
      <c r="C31" s="83">
        <v>2.1552775246657756</v>
      </c>
      <c r="D31" s="83">
        <v>2.1088591050168808</v>
      </c>
      <c r="E31" s="83">
        <v>1.8106182298273219</v>
      </c>
      <c r="F31" s="83">
        <v>2.5116929960101975</v>
      </c>
      <c r="G31" s="83">
        <v>2.7726590047776605</v>
      </c>
      <c r="H31" s="83">
        <v>3.1163242319296067</v>
      </c>
      <c r="I31" s="83">
        <v>3.2390032219097491</v>
      </c>
      <c r="J31" s="83">
        <v>2.8854189962149395</v>
      </c>
      <c r="K31" s="83">
        <v>3.2797529423901821</v>
      </c>
      <c r="L31" s="83">
        <v>2.8979906398936182</v>
      </c>
      <c r="M31" s="83">
        <v>2.6474939248863714</v>
      </c>
      <c r="N31" s="83">
        <v>3.1246229515784418</v>
      </c>
      <c r="O31" s="83">
        <v>3.6492044179353842</v>
      </c>
      <c r="P31" s="83">
        <v>4.3394723960733943</v>
      </c>
      <c r="Q31" s="83">
        <v>14.703733708310082</v>
      </c>
      <c r="R31" s="83">
        <v>14.834883438718439</v>
      </c>
      <c r="S31" s="83">
        <v>22.590283467953643</v>
      </c>
      <c r="T31" s="83">
        <v>14.389505296787783</v>
      </c>
      <c r="U31" s="83">
        <v>12.072306357366285</v>
      </c>
      <c r="V31" s="83">
        <v>13.076734533054379</v>
      </c>
      <c r="W31" s="83">
        <v>2.6485786927490094</v>
      </c>
      <c r="X31" s="83">
        <v>3.4095908044663363</v>
      </c>
      <c r="Y31" s="83">
        <v>3.3687637485926354</v>
      </c>
      <c r="Z31" s="83">
        <v>2.4399837181658781</v>
      </c>
      <c r="AA31" s="83">
        <v>2.3430763722595116</v>
      </c>
      <c r="AB31" s="83">
        <v>2.645831765195505</v>
      </c>
      <c r="AC31" s="83">
        <v>2.4303841539713984</v>
      </c>
      <c r="AD31" s="83">
        <v>3.3684644033216919</v>
      </c>
      <c r="AE31" s="83">
        <v>2.6280974464409126</v>
      </c>
      <c r="AF31" s="83">
        <v>1.8351339268575744</v>
      </c>
      <c r="AG31" s="83">
        <v>1.9155785325928172</v>
      </c>
      <c r="AH31" s="83">
        <v>2.3330209165807463</v>
      </c>
      <c r="AI31" s="293">
        <v>2.6904357237092906</v>
      </c>
      <c r="AJ31" s="279">
        <v>1.7821907028430513</v>
      </c>
      <c r="AK31" s="293">
        <v>1.7643000915873026</v>
      </c>
      <c r="AL31" s="293">
        <v>0.12003886938144592</v>
      </c>
      <c r="AM31" s="293">
        <f t="shared" si="3"/>
        <v>1.0372045906248002</v>
      </c>
      <c r="AN31" s="293">
        <v>1.9543703118681546</v>
      </c>
      <c r="AO31" s="293">
        <f t="shared" si="3"/>
        <v>1.8931481556988916</v>
      </c>
      <c r="AP31" s="293">
        <v>1.8319259995296289</v>
      </c>
      <c r="AQ31" s="293">
        <v>0.89250852439413564</v>
      </c>
      <c r="AR31" s="293">
        <v>0.41299997124005505</v>
      </c>
    </row>
    <row r="32" spans="1:44" ht="24">
      <c r="A32" s="82" t="s">
        <v>276</v>
      </c>
      <c r="B32" s="83">
        <v>0.52598918918918902</v>
      </c>
      <c r="C32" s="83">
        <v>0.51051891891891887</v>
      </c>
      <c r="D32" s="83">
        <v>0.49504864864864861</v>
      </c>
      <c r="E32" s="83">
        <v>0.4795783783783783</v>
      </c>
      <c r="F32" s="83">
        <v>0.46410810810810799</v>
      </c>
      <c r="G32" s="83">
        <v>0.44863783783783767</v>
      </c>
      <c r="H32" s="83">
        <v>0.43316756756756752</v>
      </c>
      <c r="I32" s="83">
        <v>0.41769729729729721</v>
      </c>
      <c r="J32" s="83">
        <v>0.40222702702702701</v>
      </c>
      <c r="K32" s="83">
        <v>0.38675675675675664</v>
      </c>
      <c r="L32" s="83">
        <v>0.37128648648648643</v>
      </c>
      <c r="M32" s="83">
        <v>0.37128648648648643</v>
      </c>
      <c r="N32" s="83">
        <v>0.37128648648648643</v>
      </c>
      <c r="O32" s="83">
        <v>0.36686640926640918</v>
      </c>
      <c r="P32" s="83">
        <v>0.36244633204633198</v>
      </c>
      <c r="Q32" s="83">
        <v>0.35802625482625478</v>
      </c>
      <c r="R32" s="83">
        <v>0.35360617760617757</v>
      </c>
      <c r="S32" s="83">
        <v>0.34918610038610037</v>
      </c>
      <c r="T32" s="83">
        <v>0.34476602316602312</v>
      </c>
      <c r="U32" s="83">
        <v>0.34034594594594592</v>
      </c>
      <c r="V32" s="83">
        <v>0.30940540540540534</v>
      </c>
      <c r="W32" s="83">
        <v>0.27846486486486483</v>
      </c>
      <c r="X32" s="83">
        <v>0.30940540540540534</v>
      </c>
      <c r="Y32" s="83">
        <v>0.36942932575572818</v>
      </c>
      <c r="Z32" s="83">
        <v>0.35444863380445951</v>
      </c>
      <c r="AA32" s="83">
        <v>0.45710835197692773</v>
      </c>
      <c r="AB32" s="83">
        <v>0.58497528442526459</v>
      </c>
      <c r="AC32" s="83">
        <v>0.43722176158111808</v>
      </c>
      <c r="AD32" s="83">
        <v>0.28078935035467001</v>
      </c>
      <c r="AE32" s="83">
        <v>0.25620928185934061</v>
      </c>
      <c r="AF32" s="83">
        <v>0.26839816356175705</v>
      </c>
      <c r="AG32" s="83">
        <v>0.23607992535493499</v>
      </c>
      <c r="AH32" s="83">
        <v>0.23607992535493499</v>
      </c>
      <c r="AI32" s="279">
        <v>0.23607992535493499</v>
      </c>
      <c r="AJ32" s="279">
        <v>0.23607992535493499</v>
      </c>
      <c r="AK32" s="279">
        <v>0.23607992535493499</v>
      </c>
      <c r="AL32" s="293">
        <v>1.6880561739717901</v>
      </c>
      <c r="AM32" s="293">
        <f t="shared" si="3"/>
        <v>0.84402808698589504</v>
      </c>
      <c r="AN32" s="293">
        <v>0</v>
      </c>
      <c r="AO32" s="293">
        <f t="shared" si="3"/>
        <v>0</v>
      </c>
      <c r="AP32" s="293">
        <v>0</v>
      </c>
      <c r="AQ32" s="293">
        <v>0</v>
      </c>
      <c r="AR32" s="293">
        <v>0</v>
      </c>
    </row>
    <row r="33" spans="1:45" ht="24">
      <c r="A33" s="82" t="s">
        <v>83</v>
      </c>
      <c r="B33" s="83">
        <v>169.22261751468272</v>
      </c>
      <c r="C33" s="83">
        <v>184.99167674264925</v>
      </c>
      <c r="D33" s="83">
        <v>200.76073597061574</v>
      </c>
      <c r="E33" s="83">
        <v>216.64051703859008</v>
      </c>
      <c r="F33" s="83">
        <v>218.18628260690258</v>
      </c>
      <c r="G33" s="83">
        <v>219.73204817521503</v>
      </c>
      <c r="H33" s="83">
        <v>225.48472983102116</v>
      </c>
      <c r="I33" s="83">
        <v>229.65277459739266</v>
      </c>
      <c r="J33" s="83">
        <v>232.19585572831394</v>
      </c>
      <c r="K33" s="83">
        <v>255.50612861758935</v>
      </c>
      <c r="L33" s="83">
        <v>266.70629871889599</v>
      </c>
      <c r="M33" s="83">
        <v>287.19665979434717</v>
      </c>
      <c r="N33" s="83">
        <v>307.6870208697984</v>
      </c>
      <c r="O33" s="83">
        <v>322.68659591331493</v>
      </c>
      <c r="P33" s="83">
        <v>337.68617095683146</v>
      </c>
      <c r="Q33" s="83">
        <v>321.45333033369127</v>
      </c>
      <c r="R33" s="83">
        <v>203.68346498235002</v>
      </c>
      <c r="S33" s="83">
        <v>152.03556913345935</v>
      </c>
      <c r="T33" s="83">
        <v>169.13657862859586</v>
      </c>
      <c r="U33" s="83">
        <v>152.36919222177039</v>
      </c>
      <c r="V33" s="83">
        <v>214.29937809130539</v>
      </c>
      <c r="W33" s="83">
        <v>138.51684515397122</v>
      </c>
      <c r="X33" s="83">
        <v>158.32707272880901</v>
      </c>
      <c r="Y33" s="83">
        <v>145.02225511580593</v>
      </c>
      <c r="Z33" s="83">
        <v>131.48382271856681</v>
      </c>
      <c r="AA33" s="83">
        <v>119.29964108489729</v>
      </c>
      <c r="AB33" s="83">
        <v>128.04340467264529</v>
      </c>
      <c r="AC33" s="83">
        <v>137.41674493633721</v>
      </c>
      <c r="AD33" s="83">
        <v>104.69613843176064</v>
      </c>
      <c r="AE33" s="83">
        <v>94.620206299631434</v>
      </c>
      <c r="AF33" s="83">
        <v>92.96289191944868</v>
      </c>
      <c r="AG33" s="83">
        <v>58.563133828226547</v>
      </c>
      <c r="AH33" s="83">
        <v>50.780643886831548</v>
      </c>
      <c r="AI33" s="293">
        <v>57.090146559291021</v>
      </c>
      <c r="AJ33" s="279">
        <v>33.360612989038138</v>
      </c>
      <c r="AK33" s="293">
        <v>33.360612989038138</v>
      </c>
      <c r="AL33" s="293">
        <v>0.18943719100254677</v>
      </c>
      <c r="AM33" s="293">
        <f t="shared" si="3"/>
        <v>24.641662706798311</v>
      </c>
      <c r="AN33" s="293">
        <v>49.093888222594074</v>
      </c>
      <c r="AO33" s="293">
        <f t="shared" si="3"/>
        <v>48.704550017554737</v>
      </c>
      <c r="AP33" s="293">
        <v>48.315211812515393</v>
      </c>
      <c r="AQ33" s="293">
        <v>35.945549062260199</v>
      </c>
      <c r="AR33" s="293">
        <v>28.892118967366542</v>
      </c>
      <c r="AS33" s="398"/>
    </row>
    <row r="34" spans="1:45">
      <c r="A34" s="84" t="s">
        <v>277</v>
      </c>
      <c r="B34" s="85">
        <v>425.68935513545625</v>
      </c>
      <c r="C34" s="85">
        <v>444.02792700275228</v>
      </c>
      <c r="D34" s="85">
        <v>461.82364091720319</v>
      </c>
      <c r="E34" s="85">
        <v>453.97123914328108</v>
      </c>
      <c r="F34" s="85">
        <v>405.58345133011073</v>
      </c>
      <c r="G34" s="85">
        <v>407.8124474201212</v>
      </c>
      <c r="H34" s="85">
        <v>459.58427910319631</v>
      </c>
      <c r="I34" s="85">
        <v>467.36621648062822</v>
      </c>
      <c r="J34" s="85">
        <v>510.42655126179784</v>
      </c>
      <c r="K34" s="85">
        <v>485.38385662625961</v>
      </c>
      <c r="L34" s="85">
        <v>513.39912917425715</v>
      </c>
      <c r="M34" s="85">
        <v>498.2027809399047</v>
      </c>
      <c r="N34" s="85">
        <v>507.82036080847899</v>
      </c>
      <c r="O34" s="85">
        <v>552.78143760645617</v>
      </c>
      <c r="P34" s="85">
        <v>565.50612146295111</v>
      </c>
      <c r="Q34" s="85">
        <v>572.40493815540492</v>
      </c>
      <c r="R34" s="85">
        <v>453.93652929084487</v>
      </c>
      <c r="S34" s="85">
        <v>395.14697779025801</v>
      </c>
      <c r="T34" s="85">
        <v>393.17994842235555</v>
      </c>
      <c r="U34" s="85">
        <v>374.94112655885078</v>
      </c>
      <c r="V34" s="85">
        <v>442.88606783451229</v>
      </c>
      <c r="W34" s="85">
        <v>312.41919503288074</v>
      </c>
      <c r="X34" s="85">
        <v>344.51465929117694</v>
      </c>
      <c r="Y34" s="85">
        <v>312.72004574560503</v>
      </c>
      <c r="Z34" s="85">
        <v>243.98963282787702</v>
      </c>
      <c r="AA34" s="85">
        <v>271.21785426894286</v>
      </c>
      <c r="AB34" s="85">
        <v>309.6238528943457</v>
      </c>
      <c r="AC34" s="85">
        <v>338.83558097430335</v>
      </c>
      <c r="AD34" s="85">
        <v>277.24877363358019</v>
      </c>
      <c r="AE34" s="85">
        <v>277.21751271268232</v>
      </c>
      <c r="AF34" s="85">
        <v>259.80166117646019</v>
      </c>
      <c r="AG34" s="85">
        <v>247.99890625893269</v>
      </c>
      <c r="AH34" s="85">
        <v>251.16808044575288</v>
      </c>
      <c r="AI34" s="85">
        <v>238.24225690491997</v>
      </c>
      <c r="AJ34" s="85">
        <v>190.22977506096646</v>
      </c>
      <c r="AK34" s="85">
        <v>201.65082761169404</v>
      </c>
      <c r="AL34" s="85">
        <v>208.81738280184371</v>
      </c>
      <c r="AM34" s="85">
        <f t="shared" ref="AM34" si="4">SUM(AM25:AM33)</f>
        <v>237.11734674514182</v>
      </c>
      <c r="AN34" s="85">
        <v>298.16284104962131</v>
      </c>
      <c r="AO34" s="85">
        <f t="shared" ref="AO34" si="5">SUM(AO25:AO33)</f>
        <v>309.30912573752039</v>
      </c>
      <c r="AP34" s="85">
        <v>320.4554104254193</v>
      </c>
      <c r="AQ34" s="85">
        <v>294.22865033209291</v>
      </c>
      <c r="AR34" s="85">
        <v>272.49332541624182</v>
      </c>
    </row>
    <row r="35" spans="1:45" ht="15">
      <c r="A35" s="86"/>
      <c r="B35" s="87"/>
      <c r="C35" s="87"/>
      <c r="D35" s="87"/>
      <c r="E35" s="87"/>
      <c r="F35" s="87"/>
      <c r="G35" s="87"/>
      <c r="H35" s="87"/>
      <c r="I35" s="87"/>
      <c r="J35" s="87"/>
      <c r="K35" s="61"/>
      <c r="L35" s="61"/>
      <c r="M35" s="61"/>
      <c r="N35" s="61"/>
      <c r="O35" s="61"/>
      <c r="P35" s="61"/>
      <c r="Q35" s="61"/>
      <c r="R35" s="61"/>
      <c r="S35" s="61"/>
      <c r="T35" s="61"/>
      <c r="U35" s="61"/>
      <c r="V35" s="61"/>
      <c r="W35" s="61"/>
      <c r="X35" s="61"/>
      <c r="Y35" s="61"/>
      <c r="Z35" s="61"/>
      <c r="AA35" s="61"/>
      <c r="AB35" s="61"/>
      <c r="AC35" s="61"/>
      <c r="AD35" s="61"/>
      <c r="AE35" s="61"/>
      <c r="AF35" s="61"/>
      <c r="AG35" s="88"/>
      <c r="AH35" s="61"/>
      <c r="AJ35" s="143"/>
    </row>
    <row r="36" spans="1:45">
      <c r="A36" s="89" t="s">
        <v>265</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510" t="s">
        <v>262</v>
      </c>
      <c r="AM36" s="510"/>
      <c r="AN36" s="510"/>
      <c r="AO36" s="510"/>
      <c r="AP36" s="510"/>
      <c r="AQ36" s="510"/>
      <c r="AR36" s="510"/>
    </row>
    <row r="37" spans="1:45" ht="52.8">
      <c r="A37" s="66" t="s">
        <v>341</v>
      </c>
      <c r="B37" s="393">
        <v>1990</v>
      </c>
      <c r="C37" s="393">
        <v>1991</v>
      </c>
      <c r="D37" s="393">
        <v>1992</v>
      </c>
      <c r="E37" s="393">
        <v>1993</v>
      </c>
      <c r="F37" s="393">
        <v>1994</v>
      </c>
      <c r="G37" s="393">
        <v>1995</v>
      </c>
      <c r="H37" s="393">
        <v>1996</v>
      </c>
      <c r="I37" s="393">
        <v>1997</v>
      </c>
      <c r="J37" s="393">
        <v>1998</v>
      </c>
      <c r="K37" s="393">
        <v>1999</v>
      </c>
      <c r="L37" s="393">
        <v>2000</v>
      </c>
      <c r="M37" s="393">
        <v>2001</v>
      </c>
      <c r="N37" s="393">
        <v>2002</v>
      </c>
      <c r="O37" s="393">
        <v>2003</v>
      </c>
      <c r="P37" s="393">
        <v>2004</v>
      </c>
      <c r="Q37" s="393">
        <v>2005</v>
      </c>
      <c r="R37" s="393">
        <v>2006</v>
      </c>
      <c r="S37" s="393">
        <v>2007</v>
      </c>
      <c r="T37" s="393">
        <v>2008</v>
      </c>
      <c r="U37" s="393">
        <v>2009</v>
      </c>
      <c r="V37" s="393">
        <v>2010</v>
      </c>
      <c r="W37" s="393">
        <v>2011</v>
      </c>
      <c r="X37" s="393">
        <v>2012</v>
      </c>
      <c r="Y37" s="393">
        <v>2013</v>
      </c>
      <c r="Z37" s="393">
        <v>2014</v>
      </c>
      <c r="AA37" s="393">
        <v>2015</v>
      </c>
      <c r="AB37" s="393">
        <v>2016</v>
      </c>
      <c r="AC37" s="393">
        <v>2017</v>
      </c>
      <c r="AD37" s="393">
        <v>2018</v>
      </c>
      <c r="AE37" s="393">
        <v>2019</v>
      </c>
      <c r="AF37" s="393">
        <v>2020</v>
      </c>
      <c r="AG37" s="397">
        <v>2021</v>
      </c>
      <c r="AH37" s="397">
        <v>2022</v>
      </c>
      <c r="AI37" s="393">
        <v>2023</v>
      </c>
      <c r="AJ37" s="394">
        <v>2024</v>
      </c>
      <c r="AK37" s="393">
        <v>2025</v>
      </c>
      <c r="AL37" s="394">
        <v>2026</v>
      </c>
      <c r="AM37" s="394">
        <v>2027</v>
      </c>
      <c r="AN37" s="393">
        <v>2028</v>
      </c>
      <c r="AO37" s="394">
        <v>2029</v>
      </c>
      <c r="AP37" s="393">
        <v>2030</v>
      </c>
      <c r="AQ37" s="395">
        <v>2040</v>
      </c>
      <c r="AR37" s="396">
        <v>2050</v>
      </c>
    </row>
    <row r="38" spans="1:45">
      <c r="A38" s="91" t="s">
        <v>100</v>
      </c>
      <c r="B38" s="83">
        <v>20841.708900766746</v>
      </c>
      <c r="C38" s="83">
        <v>21136.922769078072</v>
      </c>
      <c r="D38" s="83">
        <v>21545.770938505797</v>
      </c>
      <c r="E38" s="83">
        <v>21557.957940012599</v>
      </c>
      <c r="F38" s="83">
        <v>22135.698450836633</v>
      </c>
      <c r="G38" s="83">
        <v>23120.953733960596</v>
      </c>
      <c r="H38" s="83">
        <v>23294.985000132561</v>
      </c>
      <c r="I38" s="83">
        <v>22775.14356271004</v>
      </c>
      <c r="J38" s="83">
        <v>16352.401205833692</v>
      </c>
      <c r="K38" s="83">
        <v>11714.607277491054</v>
      </c>
      <c r="L38" s="83">
        <v>10670.808489597406</v>
      </c>
      <c r="M38" s="83">
        <v>10420.651923457015</v>
      </c>
      <c r="N38" s="83">
        <v>8483.5066596443521</v>
      </c>
      <c r="O38" s="83">
        <v>8366.2558854253894</v>
      </c>
      <c r="P38" s="83">
        <v>5902.840012713963</v>
      </c>
      <c r="Q38" s="83">
        <v>5947.9871508977549</v>
      </c>
      <c r="R38" s="83">
        <v>5313.4012343215009</v>
      </c>
      <c r="S38" s="83">
        <v>4944.2379981321219</v>
      </c>
      <c r="T38" s="83">
        <v>4048.8634601184312</v>
      </c>
      <c r="U38" s="83">
        <v>3406.8748312680723</v>
      </c>
      <c r="V38" s="83">
        <v>1953.5263214700039</v>
      </c>
      <c r="W38" s="83">
        <v>1148.7962937250986</v>
      </c>
      <c r="X38" s="83">
        <v>820.88675276115055</v>
      </c>
      <c r="Y38" s="83">
        <v>804.93792942838161</v>
      </c>
      <c r="Z38" s="83">
        <v>965.62200085620009</v>
      </c>
      <c r="AA38" s="83">
        <v>1067.4630946912528</v>
      </c>
      <c r="AB38" s="83">
        <v>836.41826131226071</v>
      </c>
      <c r="AC38" s="83">
        <v>1389.9678262280809</v>
      </c>
      <c r="AD38" s="83">
        <v>886.70975029030876</v>
      </c>
      <c r="AE38" s="83">
        <v>727.82784633854271</v>
      </c>
      <c r="AF38" s="83">
        <v>573.214484897538</v>
      </c>
      <c r="AG38" s="83">
        <v>453.99140865291542</v>
      </c>
      <c r="AH38" s="83">
        <v>424.0804818102913</v>
      </c>
      <c r="AI38" s="134">
        <v>304.32799647917972</v>
      </c>
      <c r="AJ38" s="134">
        <v>232.96049481910123</v>
      </c>
      <c r="AK38" s="134">
        <v>205.47810042023747</v>
      </c>
      <c r="AL38" s="134">
        <v>211.93786772946635</v>
      </c>
      <c r="AM38" s="134">
        <f>AL38+(AN38-AL38)/2</f>
        <v>264.56849937402467</v>
      </c>
      <c r="AN38" s="134">
        <v>317.19913101858299</v>
      </c>
      <c r="AO38" s="134">
        <f>AN38+(AP38-AN38)/2</f>
        <v>309.30067031303389</v>
      </c>
      <c r="AP38" s="134">
        <v>301.40220960748479</v>
      </c>
      <c r="AQ38" s="134">
        <v>300.62007768960495</v>
      </c>
      <c r="AR38" s="134">
        <v>297.08685149130008</v>
      </c>
    </row>
    <row r="39" spans="1:45">
      <c r="A39" s="91" t="s">
        <v>16</v>
      </c>
      <c r="B39" s="83">
        <v>233.24971246084306</v>
      </c>
      <c r="C39" s="83">
        <v>235.59385027309048</v>
      </c>
      <c r="D39" s="83">
        <v>240.39946237875833</v>
      </c>
      <c r="E39" s="83">
        <v>240.02988586084317</v>
      </c>
      <c r="F39" s="83">
        <v>167.57201533250404</v>
      </c>
      <c r="G39" s="83">
        <v>204.5800874259244</v>
      </c>
      <c r="H39" s="83">
        <v>211.63641510800915</v>
      </c>
      <c r="I39" s="83">
        <v>179.30727641550052</v>
      </c>
      <c r="J39" s="83">
        <v>353.33583944090719</v>
      </c>
      <c r="K39" s="83">
        <v>305.07418946540207</v>
      </c>
      <c r="L39" s="83">
        <v>257.70890898133638</v>
      </c>
      <c r="M39" s="83">
        <v>338.11990454523806</v>
      </c>
      <c r="N39" s="83">
        <v>471.96020235207362</v>
      </c>
      <c r="O39" s="83">
        <v>454.17524652507461</v>
      </c>
      <c r="P39" s="83">
        <v>419.23770583507729</v>
      </c>
      <c r="Q39" s="83">
        <v>386.3735125250746</v>
      </c>
      <c r="R39" s="83">
        <v>378.55666543507732</v>
      </c>
      <c r="S39" s="83">
        <v>311.61298549341291</v>
      </c>
      <c r="T39" s="83">
        <v>268.65503548007587</v>
      </c>
      <c r="U39" s="83">
        <v>210.54364399257256</v>
      </c>
      <c r="V39" s="83">
        <v>189.36638578002291</v>
      </c>
      <c r="W39" s="83">
        <v>313.86020721916145</v>
      </c>
      <c r="X39" s="83">
        <v>312.8813863961218</v>
      </c>
      <c r="Y39" s="83">
        <v>312.29020313274754</v>
      </c>
      <c r="Z39" s="83">
        <v>310.03495199395996</v>
      </c>
      <c r="AA39" s="83">
        <v>384.21547832931856</v>
      </c>
      <c r="AB39" s="83">
        <v>361.66909477286896</v>
      </c>
      <c r="AC39" s="83">
        <v>400.07449889245333</v>
      </c>
      <c r="AD39" s="83">
        <v>376.56850773069772</v>
      </c>
      <c r="AE39" s="83">
        <v>421.20029002503128</v>
      </c>
      <c r="AF39" s="83">
        <v>404.04924424674755</v>
      </c>
      <c r="AG39" s="83">
        <v>418.04145739689551</v>
      </c>
      <c r="AH39" s="83">
        <v>451.23923086030862</v>
      </c>
      <c r="AI39" s="134">
        <v>413.07002227457355</v>
      </c>
      <c r="AJ39" s="134">
        <v>420.81917775314946</v>
      </c>
      <c r="AK39" s="134">
        <v>419.14354849939639</v>
      </c>
      <c r="AL39" s="134">
        <v>386.98021200381032</v>
      </c>
      <c r="AM39" s="134">
        <f t="shared" ref="AM39:AO46" si="6">AL39+(AN39-AL39)/2</f>
        <v>283.36269132143997</v>
      </c>
      <c r="AN39" s="134">
        <v>179.74517063906961</v>
      </c>
      <c r="AO39" s="134">
        <f t="shared" si="6"/>
        <v>148.2684541201086</v>
      </c>
      <c r="AP39" s="134">
        <v>116.7917376011476</v>
      </c>
      <c r="AQ39" s="134">
        <v>35.858574158963023</v>
      </c>
      <c r="AR39" s="134">
        <v>0.15572434442160804</v>
      </c>
    </row>
    <row r="40" spans="1:45" ht="24">
      <c r="A40" s="91" t="s">
        <v>101</v>
      </c>
      <c r="B40" s="83">
        <v>9.7162370390844526</v>
      </c>
      <c r="C40" s="83">
        <v>10.656272759227788</v>
      </c>
      <c r="D40" s="83">
        <v>8.7801343880519518</v>
      </c>
      <c r="E40" s="83">
        <v>10.878249963345624</v>
      </c>
      <c r="F40" s="83">
        <v>9.5897954811102082</v>
      </c>
      <c r="G40" s="83">
        <v>10.632396301388239</v>
      </c>
      <c r="H40" s="83">
        <v>12.102662920691332</v>
      </c>
      <c r="I40" s="83">
        <v>14.117888729878475</v>
      </c>
      <c r="J40" s="83">
        <v>9.0676472612836996</v>
      </c>
      <c r="K40" s="83">
        <v>9.060325640414165</v>
      </c>
      <c r="L40" s="83">
        <v>8.3944186119382849</v>
      </c>
      <c r="M40" s="83">
        <v>8.1934895200154365</v>
      </c>
      <c r="N40" s="83">
        <v>6.498496841377432</v>
      </c>
      <c r="O40" s="83">
        <v>7.5796173780360814</v>
      </c>
      <c r="P40" s="83">
        <v>7.0485080581471236</v>
      </c>
      <c r="Q40" s="83">
        <v>8.2277336557907645</v>
      </c>
      <c r="R40" s="83">
        <v>5.6728020896219347</v>
      </c>
      <c r="S40" s="83">
        <v>5.5268277627461471</v>
      </c>
      <c r="T40" s="83">
        <v>5.1600250963846959</v>
      </c>
      <c r="U40" s="83">
        <v>4.2894475386576252</v>
      </c>
      <c r="V40" s="83">
        <v>5.4610603481190063</v>
      </c>
      <c r="W40" s="83">
        <v>3.3031961390654239</v>
      </c>
      <c r="X40" s="83">
        <v>4.1082104448439214</v>
      </c>
      <c r="Y40" s="83">
        <v>3.4281170549528879</v>
      </c>
      <c r="Z40" s="83">
        <v>3.4081909423965007</v>
      </c>
      <c r="AA40" s="83">
        <v>4.5454483036584996</v>
      </c>
      <c r="AB40" s="83">
        <v>4.5389524530872425</v>
      </c>
      <c r="AC40" s="83">
        <v>4.1220897141814348</v>
      </c>
      <c r="AD40" s="83">
        <v>3.7567782357663777</v>
      </c>
      <c r="AE40" s="83">
        <v>4.303082698384519</v>
      </c>
      <c r="AF40" s="83">
        <v>4.3940779346675258</v>
      </c>
      <c r="AG40" s="83">
        <v>4.9450859637645248</v>
      </c>
      <c r="AH40" s="83">
        <v>4.7263810393553536</v>
      </c>
      <c r="AI40" s="134">
        <v>29.828624808805841</v>
      </c>
      <c r="AJ40" s="134">
        <v>36.705390794988055</v>
      </c>
      <c r="AK40" s="134">
        <v>36.143447715784113</v>
      </c>
      <c r="AL40" s="134">
        <v>32.942821343185607</v>
      </c>
      <c r="AM40" s="134">
        <f t="shared" si="6"/>
        <v>20.353542092448322</v>
      </c>
      <c r="AN40" s="134">
        <v>7.76426284171104</v>
      </c>
      <c r="AO40" s="134">
        <f t="shared" si="6"/>
        <v>6.9866821925086064</v>
      </c>
      <c r="AP40" s="134">
        <v>6.2091015433061738</v>
      </c>
      <c r="AQ40" s="134">
        <v>4.5572782222863895</v>
      </c>
      <c r="AR40" s="134">
        <v>3.0858667644544093</v>
      </c>
    </row>
    <row r="41" spans="1:45">
      <c r="A41" s="91" t="s">
        <v>232</v>
      </c>
      <c r="B41" s="83">
        <v>164.5718328989627</v>
      </c>
      <c r="C41" s="83">
        <v>164.62850200871782</v>
      </c>
      <c r="D41" s="83">
        <v>160.71189472467663</v>
      </c>
      <c r="E41" s="83">
        <v>163.55129572063822</v>
      </c>
      <c r="F41" s="83">
        <v>164.06876414725502</v>
      </c>
      <c r="G41" s="83">
        <v>173.27792738778646</v>
      </c>
      <c r="H41" s="83">
        <v>162.46647685097815</v>
      </c>
      <c r="I41" s="83">
        <v>163.39187327174653</v>
      </c>
      <c r="J41" s="83">
        <v>185.65903033568028</v>
      </c>
      <c r="K41" s="83">
        <v>178.92452642771761</v>
      </c>
      <c r="L41" s="83">
        <v>185.1249718447134</v>
      </c>
      <c r="M41" s="83">
        <v>206.77218106492217</v>
      </c>
      <c r="N41" s="83">
        <v>229.01913257574708</v>
      </c>
      <c r="O41" s="83">
        <v>227.49606595723242</v>
      </c>
      <c r="P41" s="83">
        <v>264.88927924079849</v>
      </c>
      <c r="Q41" s="83">
        <v>270.01004235881391</v>
      </c>
      <c r="R41" s="83">
        <v>272.96009246102318</v>
      </c>
      <c r="S41" s="83">
        <v>322.76443154833925</v>
      </c>
      <c r="T41" s="83">
        <v>334.1137842451601</v>
      </c>
      <c r="U41" s="83">
        <v>326.6820093171761</v>
      </c>
      <c r="V41" s="83">
        <v>382.22471234591944</v>
      </c>
      <c r="W41" s="83">
        <v>432.12148259197988</v>
      </c>
      <c r="X41" s="83">
        <v>413.58164427654555</v>
      </c>
      <c r="Y41" s="83">
        <v>413.80277749971589</v>
      </c>
      <c r="Z41" s="83">
        <v>436.86227443047437</v>
      </c>
      <c r="AA41" s="83">
        <v>542.71537823504048</v>
      </c>
      <c r="AB41" s="83">
        <v>555.0866490216381</v>
      </c>
      <c r="AC41" s="83">
        <v>563.27967902771456</v>
      </c>
      <c r="AD41" s="83">
        <v>559.14942741648417</v>
      </c>
      <c r="AE41" s="83">
        <v>451.75859921618098</v>
      </c>
      <c r="AF41" s="83">
        <v>446.66864793440158</v>
      </c>
      <c r="AG41" s="83">
        <v>453.69029244707889</v>
      </c>
      <c r="AH41" s="83">
        <v>497.16996191789201</v>
      </c>
      <c r="AI41" s="134">
        <v>405.65862899412372</v>
      </c>
      <c r="AJ41" s="134">
        <v>430.87196446622744</v>
      </c>
      <c r="AK41" s="134">
        <v>430.38228647095258</v>
      </c>
      <c r="AL41" s="134">
        <v>448.41640684200024</v>
      </c>
      <c r="AM41" s="134">
        <f t="shared" si="6"/>
        <v>450.82016014277281</v>
      </c>
      <c r="AN41" s="134">
        <v>453.22391344354537</v>
      </c>
      <c r="AO41" s="134">
        <f t="shared" si="6"/>
        <v>469.80021389472188</v>
      </c>
      <c r="AP41" s="134">
        <v>486.37651434589844</v>
      </c>
      <c r="AQ41" s="134">
        <v>465.11199038107191</v>
      </c>
      <c r="AR41" s="134">
        <v>433.28036258109762</v>
      </c>
    </row>
    <row r="42" spans="1:45" ht="24">
      <c r="A42" s="91" t="s">
        <v>234</v>
      </c>
      <c r="B42" s="83">
        <v>14.508849898382291</v>
      </c>
      <c r="C42" s="83">
        <v>16.919830275564781</v>
      </c>
      <c r="D42" s="83">
        <v>14.006794570043352</v>
      </c>
      <c r="E42" s="83">
        <v>13.702208639890014</v>
      </c>
      <c r="F42" s="83">
        <v>12.647524210979103</v>
      </c>
      <c r="G42" s="83">
        <v>10.614990014724508</v>
      </c>
      <c r="H42" s="83">
        <v>10.977659757318166</v>
      </c>
      <c r="I42" s="83">
        <v>11.692486063323559</v>
      </c>
      <c r="J42" s="83">
        <v>11.890583692905466</v>
      </c>
      <c r="K42" s="83">
        <v>12.76233313598833</v>
      </c>
      <c r="L42" s="83">
        <v>16.140489445651216</v>
      </c>
      <c r="M42" s="83">
        <v>12.351022543986831</v>
      </c>
      <c r="N42" s="83">
        <v>11.007457924465275</v>
      </c>
      <c r="O42" s="83">
        <v>11.494482795194902</v>
      </c>
      <c r="P42" s="83">
        <v>10.155413281963764</v>
      </c>
      <c r="Q42" s="83">
        <v>11.786653206777203</v>
      </c>
      <c r="R42" s="83">
        <v>11.2319157927191</v>
      </c>
      <c r="S42" s="83">
        <v>13.76939205991046</v>
      </c>
      <c r="T42" s="83">
        <v>14.463708691224785</v>
      </c>
      <c r="U42" s="83">
        <v>10.544311685736719</v>
      </c>
      <c r="V42" s="83">
        <v>17.811456420749657</v>
      </c>
      <c r="W42" s="83">
        <v>10.41578429088942</v>
      </c>
      <c r="X42" s="83">
        <v>11.174299776728603</v>
      </c>
      <c r="Y42" s="83">
        <v>9.9992054736238885</v>
      </c>
      <c r="Z42" s="83">
        <v>9.3909638484273987</v>
      </c>
      <c r="AA42" s="83">
        <v>12.940032137179749</v>
      </c>
      <c r="AB42" s="83">
        <v>13.77636839621996</v>
      </c>
      <c r="AC42" s="83">
        <v>17.287001463258896</v>
      </c>
      <c r="AD42" s="83">
        <v>11.165318090657795</v>
      </c>
      <c r="AE42" s="83">
        <v>7.0634538000015246</v>
      </c>
      <c r="AF42" s="83">
        <v>5.7908125031569835</v>
      </c>
      <c r="AG42" s="83">
        <v>6.6793248496870889</v>
      </c>
      <c r="AH42" s="83">
        <v>6.1759550599925044</v>
      </c>
      <c r="AI42" s="134">
        <v>7.9616297921044916</v>
      </c>
      <c r="AJ42" s="134">
        <v>10.050431829137786</v>
      </c>
      <c r="AK42" s="134">
        <v>9.5153111913527244</v>
      </c>
      <c r="AL42" s="134">
        <v>9.7662506103876794</v>
      </c>
      <c r="AM42" s="134">
        <f t="shared" si="6"/>
        <v>8.2161106005178031</v>
      </c>
      <c r="AN42" s="134">
        <v>6.6659705906479259</v>
      </c>
      <c r="AO42" s="134">
        <f t="shared" si="6"/>
        <v>6.7763452320852355</v>
      </c>
      <c r="AP42" s="134">
        <v>6.8867198735225443</v>
      </c>
      <c r="AQ42" s="134">
        <v>7.487943816296351</v>
      </c>
      <c r="AR42" s="134">
        <v>5.5476811955858381</v>
      </c>
    </row>
    <row r="43" spans="1:45">
      <c r="A43" s="91" t="s">
        <v>29</v>
      </c>
      <c r="B43" s="83">
        <v>7.2122556791762342</v>
      </c>
      <c r="C43" s="83">
        <v>11.244666798467668</v>
      </c>
      <c r="D43" s="83">
        <v>9.2455425518787973</v>
      </c>
      <c r="E43" s="83">
        <v>5.3289942040465466</v>
      </c>
      <c r="F43" s="83">
        <v>5.09749329095549</v>
      </c>
      <c r="G43" s="83">
        <v>5.7752056157092806</v>
      </c>
      <c r="H43" s="83">
        <v>5.7141344362615305</v>
      </c>
      <c r="I43" s="83">
        <v>5.2357791684296018</v>
      </c>
      <c r="J43" s="83">
        <v>5.4586593828441758</v>
      </c>
      <c r="K43" s="83">
        <v>4.9460916005080788</v>
      </c>
      <c r="L43" s="83">
        <v>4.8059161529703633</v>
      </c>
      <c r="M43" s="83">
        <v>4.9639738955290182</v>
      </c>
      <c r="N43" s="83">
        <v>4.2087600553180469</v>
      </c>
      <c r="O43" s="83">
        <v>2.994387354039953</v>
      </c>
      <c r="P43" s="83">
        <v>3.0991467253731271</v>
      </c>
      <c r="Q43" s="83">
        <v>1.9756212601264982</v>
      </c>
      <c r="R43" s="83">
        <v>1.7921296452205013</v>
      </c>
      <c r="S43" s="83">
        <v>1.8136393736187963</v>
      </c>
      <c r="T43" s="83">
        <v>1.9027235386955015</v>
      </c>
      <c r="U43" s="83">
        <v>1.5630976837013375</v>
      </c>
      <c r="V43" s="83">
        <v>1.8617782043643496</v>
      </c>
      <c r="W43" s="83">
        <v>1.3790808575753914</v>
      </c>
      <c r="X43" s="83">
        <v>1.1595436523241747</v>
      </c>
      <c r="Y43" s="83">
        <v>0.98806184483039527</v>
      </c>
      <c r="Z43" s="83">
        <v>0.96839087395488643</v>
      </c>
      <c r="AA43" s="83">
        <v>1.1089244015332975</v>
      </c>
      <c r="AB43" s="83">
        <v>1.4554083744392561</v>
      </c>
      <c r="AC43" s="83">
        <v>1.2685104968411143</v>
      </c>
      <c r="AD43" s="83">
        <v>1.2421165935242175</v>
      </c>
      <c r="AE43" s="83">
        <v>1.4070487019681275</v>
      </c>
      <c r="AF43" s="83">
        <v>1.2146760942264621</v>
      </c>
      <c r="AG43" s="83">
        <v>1.402676994969192</v>
      </c>
      <c r="AH43" s="83">
        <v>1.5294258618061463</v>
      </c>
      <c r="AI43" s="134">
        <v>1.4628971526625725</v>
      </c>
      <c r="AJ43" s="134">
        <v>1.1938379773485481</v>
      </c>
      <c r="AK43" s="134">
        <v>1.1850662691310951</v>
      </c>
      <c r="AL43" s="134">
        <v>1.112963257480593</v>
      </c>
      <c r="AM43" s="134">
        <f t="shared" si="6"/>
        <v>1.0545522300696593</v>
      </c>
      <c r="AN43" s="134">
        <v>0.99614120265872563</v>
      </c>
      <c r="AO43" s="134">
        <f t="shared" si="6"/>
        <v>0.84673429160531</v>
      </c>
      <c r="AP43" s="134">
        <v>0.69732738055189436</v>
      </c>
      <c r="AQ43" s="134">
        <v>0.46009381042399344</v>
      </c>
      <c r="AR43" s="134">
        <v>0.3259506716673386</v>
      </c>
    </row>
    <row r="44" spans="1:45" ht="24">
      <c r="A44" s="91" t="s">
        <v>31</v>
      </c>
      <c r="B44" s="83">
        <v>70.534255740542235</v>
      </c>
      <c r="C44" s="83">
        <v>79.47374203086126</v>
      </c>
      <c r="D44" s="83">
        <v>53.010789037146125</v>
      </c>
      <c r="E44" s="83">
        <v>46.242261820868471</v>
      </c>
      <c r="F44" s="83">
        <v>50.065063247750786</v>
      </c>
      <c r="G44" s="83">
        <v>49.287554116535283</v>
      </c>
      <c r="H44" s="83">
        <v>51.456411104272071</v>
      </c>
      <c r="I44" s="83">
        <v>50.648162232855178</v>
      </c>
      <c r="J44" s="83">
        <v>52.419655543067954</v>
      </c>
      <c r="K44" s="83">
        <v>55.139150933595971</v>
      </c>
      <c r="L44" s="83">
        <v>54.552141334029592</v>
      </c>
      <c r="M44" s="83">
        <v>54.620173510186874</v>
      </c>
      <c r="N44" s="83">
        <v>49.97404070849349</v>
      </c>
      <c r="O44" s="83">
        <v>54.257209488209966</v>
      </c>
      <c r="P44" s="83">
        <v>53.547449957680449</v>
      </c>
      <c r="Q44" s="83">
        <v>70.900990919638858</v>
      </c>
      <c r="R44" s="83">
        <v>58.236903747887723</v>
      </c>
      <c r="S44" s="83">
        <v>59.323581843644675</v>
      </c>
      <c r="T44" s="83">
        <v>68.617169923077697</v>
      </c>
      <c r="U44" s="83">
        <v>60.090596677647326</v>
      </c>
      <c r="V44" s="83">
        <v>63.866607723656159</v>
      </c>
      <c r="W44" s="83">
        <v>53.17421776028565</v>
      </c>
      <c r="X44" s="83">
        <v>54.330553767389517</v>
      </c>
      <c r="Y44" s="83">
        <v>59.199193482420704</v>
      </c>
      <c r="Z44" s="83">
        <v>60.881951553039372</v>
      </c>
      <c r="AA44" s="83">
        <v>65.419835700185516</v>
      </c>
      <c r="AB44" s="83">
        <v>63.53048795018681</v>
      </c>
      <c r="AC44" s="83">
        <v>61.932732861926127</v>
      </c>
      <c r="AD44" s="83">
        <v>65.059799714618464</v>
      </c>
      <c r="AE44" s="83">
        <v>62.907624123100646</v>
      </c>
      <c r="AF44" s="83">
        <v>47.651243725604623</v>
      </c>
      <c r="AG44" s="83">
        <v>46.238420249318033</v>
      </c>
      <c r="AH44" s="83">
        <v>56.11926263983311</v>
      </c>
      <c r="AI44" s="134">
        <v>54.628753498476854</v>
      </c>
      <c r="AJ44" s="134">
        <v>54.805780059057234</v>
      </c>
      <c r="AK44" s="134">
        <v>53.261676669681883</v>
      </c>
      <c r="AL44" s="134">
        <v>52.329962033063886</v>
      </c>
      <c r="AM44" s="134">
        <f t="shared" si="6"/>
        <v>43.875816296412033</v>
      </c>
      <c r="AN44" s="134">
        <v>35.42167055976018</v>
      </c>
      <c r="AO44" s="134">
        <f t="shared" si="6"/>
        <v>35.260920869385352</v>
      </c>
      <c r="AP44" s="134">
        <v>35.100171179010523</v>
      </c>
      <c r="AQ44" s="134">
        <v>27.34720363626769</v>
      </c>
      <c r="AR44" s="134">
        <v>21.219925752401306</v>
      </c>
    </row>
    <row r="45" spans="1:45">
      <c r="A45" s="91" t="s">
        <v>34</v>
      </c>
      <c r="B45" s="83">
        <v>38.792625284210644</v>
      </c>
      <c r="C45" s="83">
        <v>34.210952907568199</v>
      </c>
      <c r="D45" s="83">
        <v>32.146012216759985</v>
      </c>
      <c r="E45" s="83">
        <v>24.648008774111055</v>
      </c>
      <c r="F45" s="83">
        <v>26.189528068384728</v>
      </c>
      <c r="G45" s="83">
        <v>30.912688372179495</v>
      </c>
      <c r="H45" s="83">
        <v>27.011477090507363</v>
      </c>
      <c r="I45" s="83">
        <v>27.003567772962771</v>
      </c>
      <c r="J45" s="83">
        <v>27.083682078700587</v>
      </c>
      <c r="K45" s="83">
        <v>25.064135126763578</v>
      </c>
      <c r="L45" s="83">
        <v>29.252165354275764</v>
      </c>
      <c r="M45" s="83">
        <v>25.184099464936089</v>
      </c>
      <c r="N45" s="83">
        <v>24.142071902556989</v>
      </c>
      <c r="O45" s="83">
        <v>27.621752855039151</v>
      </c>
      <c r="P45" s="83">
        <v>23.826903932994004</v>
      </c>
      <c r="Q45" s="83">
        <v>41.269714995396598</v>
      </c>
      <c r="R45" s="83">
        <v>26.812697409088379</v>
      </c>
      <c r="S45" s="83">
        <v>28.312207928019639</v>
      </c>
      <c r="T45" s="83">
        <v>27.519846326394116</v>
      </c>
      <c r="U45" s="83">
        <v>25.709183626412504</v>
      </c>
      <c r="V45" s="83">
        <v>63.760815846242238</v>
      </c>
      <c r="W45" s="83">
        <v>34.298321951967885</v>
      </c>
      <c r="X45" s="83">
        <v>32.048178322821443</v>
      </c>
      <c r="Y45" s="83">
        <v>30.636365551612968</v>
      </c>
      <c r="Z45" s="83">
        <v>27.79175233518243</v>
      </c>
      <c r="AA45" s="83">
        <v>40.440085399751879</v>
      </c>
      <c r="AB45" s="83">
        <v>49.563734227546981</v>
      </c>
      <c r="AC45" s="83">
        <v>61.306466568535534</v>
      </c>
      <c r="AD45" s="83">
        <v>65.51674033394788</v>
      </c>
      <c r="AE45" s="83">
        <v>69.798484342934529</v>
      </c>
      <c r="AF45" s="83">
        <v>65.144106777729661</v>
      </c>
      <c r="AG45" s="83">
        <v>68.488445608651048</v>
      </c>
      <c r="AH45" s="83">
        <v>64.87423837342817</v>
      </c>
      <c r="AI45" s="134">
        <v>61.56795628043723</v>
      </c>
      <c r="AJ45" s="134">
        <v>86.196537919037695</v>
      </c>
      <c r="AK45" s="134">
        <v>84.809126456008599</v>
      </c>
      <c r="AL45" s="134">
        <v>85.95273781310658</v>
      </c>
      <c r="AM45" s="134">
        <f t="shared" si="6"/>
        <v>61.890773371161984</v>
      </c>
      <c r="AN45" s="134">
        <v>37.828808929217388</v>
      </c>
      <c r="AO45" s="134">
        <f t="shared" si="6"/>
        <v>37.996330834817435</v>
      </c>
      <c r="AP45" s="134">
        <v>38.163852740417482</v>
      </c>
      <c r="AQ45" s="134">
        <v>32.418200605110115</v>
      </c>
      <c r="AR45" s="134">
        <v>26.113974192181821</v>
      </c>
    </row>
    <row r="46" spans="1:45">
      <c r="A46" s="91" t="s">
        <v>35</v>
      </c>
      <c r="B46" s="83">
        <v>18.201303212860587</v>
      </c>
      <c r="C46" s="83">
        <v>17.861338097182898</v>
      </c>
      <c r="D46" s="83">
        <v>12.872292823668602</v>
      </c>
      <c r="E46" s="83">
        <v>29.033514370949067</v>
      </c>
      <c r="F46" s="83">
        <v>26.241358578397151</v>
      </c>
      <c r="G46" s="83">
        <v>41.42044748462601</v>
      </c>
      <c r="H46" s="83">
        <v>26.590492877179326</v>
      </c>
      <c r="I46" s="83">
        <v>29.848298960198608</v>
      </c>
      <c r="J46" s="83">
        <v>25.644160250081704</v>
      </c>
      <c r="K46" s="83">
        <v>22.539821143242044</v>
      </c>
      <c r="L46" s="83">
        <v>34.629643919352844</v>
      </c>
      <c r="M46" s="83">
        <v>21.532884519194184</v>
      </c>
      <c r="N46" s="83">
        <v>19.615945475991936</v>
      </c>
      <c r="O46" s="83">
        <v>13.744448957716379</v>
      </c>
      <c r="P46" s="83">
        <v>18.982880383018205</v>
      </c>
      <c r="Q46" s="83">
        <v>42.067675373210626</v>
      </c>
      <c r="R46" s="83">
        <v>9.7262412457798408</v>
      </c>
      <c r="S46" s="83">
        <v>23.487777013948513</v>
      </c>
      <c r="T46" s="83">
        <v>21.615928968770014</v>
      </c>
      <c r="U46" s="83">
        <v>29.466595446355825</v>
      </c>
      <c r="V46" s="83">
        <v>49.428622053007508</v>
      </c>
      <c r="W46" s="83">
        <v>17.671339928480876</v>
      </c>
      <c r="X46" s="83">
        <v>19.891648459543468</v>
      </c>
      <c r="Y46" s="83">
        <v>26.849406518264935</v>
      </c>
      <c r="Z46" s="83">
        <v>23.409228533919013</v>
      </c>
      <c r="AA46" s="83">
        <v>44.059015592465023</v>
      </c>
      <c r="AB46" s="83">
        <v>50.116416921279324</v>
      </c>
      <c r="AC46" s="83">
        <v>46.871385326270875</v>
      </c>
      <c r="AD46" s="83">
        <v>53.042297544600991</v>
      </c>
      <c r="AE46" s="83">
        <v>44.363562166270611</v>
      </c>
      <c r="AF46" s="83">
        <v>45.740442919875399</v>
      </c>
      <c r="AG46" s="83">
        <v>56.279754422942325</v>
      </c>
      <c r="AH46" s="83">
        <v>67.091610767155302</v>
      </c>
      <c r="AI46" s="134">
        <v>56.769782462565836</v>
      </c>
      <c r="AJ46" s="134">
        <v>71.602640032561311</v>
      </c>
      <c r="AK46" s="134">
        <v>70.619424689488966</v>
      </c>
      <c r="AL46" s="134">
        <v>69.863694830827725</v>
      </c>
      <c r="AM46" s="134">
        <f t="shared" si="6"/>
        <v>49.392758288773216</v>
      </c>
      <c r="AN46" s="134">
        <v>28.921821746718702</v>
      </c>
      <c r="AO46" s="134">
        <f t="shared" si="6"/>
        <v>29.200641166634629</v>
      </c>
      <c r="AP46" s="134">
        <v>29.479460586550555</v>
      </c>
      <c r="AQ46" s="134">
        <v>34.355737566089957</v>
      </c>
      <c r="AR46" s="134">
        <v>35.488088523188189</v>
      </c>
    </row>
    <row r="47" spans="1:45">
      <c r="A47" s="92" t="s">
        <v>278</v>
      </c>
      <c r="B47" s="93">
        <v>21398.495972980807</v>
      </c>
      <c r="C47" s="93">
        <v>21707.511924228751</v>
      </c>
      <c r="D47" s="93">
        <v>22076.943861196782</v>
      </c>
      <c r="E47" s="93">
        <v>22091.372359367291</v>
      </c>
      <c r="F47" s="93">
        <v>22597.169993193977</v>
      </c>
      <c r="G47" s="93">
        <v>23647.45503067947</v>
      </c>
      <c r="H47" s="93">
        <v>23802.940730277773</v>
      </c>
      <c r="I47" s="93">
        <v>23256.38889532493</v>
      </c>
      <c r="J47" s="93">
        <v>17022.960463819159</v>
      </c>
      <c r="K47" s="93">
        <v>12328.117850964685</v>
      </c>
      <c r="L47" s="93">
        <v>11261.417145241676</v>
      </c>
      <c r="M47" s="93">
        <v>11092.389652521024</v>
      </c>
      <c r="N47" s="93">
        <v>9299.9327674803772</v>
      </c>
      <c r="O47" s="93">
        <v>9165.6190967359307</v>
      </c>
      <c r="P47" s="93">
        <v>6703.6273001290165</v>
      </c>
      <c r="Q47" s="93">
        <v>6780.5990951925842</v>
      </c>
      <c r="R47" s="93">
        <v>6078.3906821479186</v>
      </c>
      <c r="S47" s="93">
        <v>5710.8488411557619</v>
      </c>
      <c r="T47" s="93">
        <v>4790.9116823882141</v>
      </c>
      <c r="U47" s="93">
        <v>4075.763717236332</v>
      </c>
      <c r="V47" s="93">
        <v>2727.307760192085</v>
      </c>
      <c r="W47" s="93">
        <v>2015.0199244645048</v>
      </c>
      <c r="X47" s="93">
        <v>1670.062217857469</v>
      </c>
      <c r="Y47" s="93">
        <v>1662.1312599865507</v>
      </c>
      <c r="Z47" s="93">
        <v>1838.3697053675542</v>
      </c>
      <c r="AA47" s="93">
        <v>2162.9072927903858</v>
      </c>
      <c r="AB47" s="93">
        <v>1936.1553734295273</v>
      </c>
      <c r="AC47" s="93">
        <v>2546.1101905792625</v>
      </c>
      <c r="AD47" s="93">
        <v>2022.2107359506067</v>
      </c>
      <c r="AE47" s="93">
        <v>1790.6299914124149</v>
      </c>
      <c r="AF47" s="93">
        <v>1593.8677370339478</v>
      </c>
      <c r="AG47" s="93">
        <v>1509.7568665862223</v>
      </c>
      <c r="AH47" s="93">
        <v>1573.0065483300625</v>
      </c>
      <c r="AI47" s="93">
        <v>1335.2762917429302</v>
      </c>
      <c r="AJ47" s="93">
        <v>1345.2062556506087</v>
      </c>
      <c r="AK47" s="93">
        <v>1310.537988382034</v>
      </c>
      <c r="AL47" s="289">
        <v>1299.3029164633292</v>
      </c>
      <c r="AM47" s="289">
        <f>AM38+AM39+AM40+AM41+AM42+AM43+AM44+AM45+AM46</f>
        <v>1183.5349037176204</v>
      </c>
      <c r="AN47" s="289">
        <f>SUM(AN38:AN46)</f>
        <v>1067.7668909719118</v>
      </c>
      <c r="AO47" s="289">
        <f>AO38+AO39+AO40+AO41+AO42+AO43+AO44+AO45+AO46</f>
        <v>1044.4369929149009</v>
      </c>
      <c r="AP47" s="289">
        <v>1021.1070948578899</v>
      </c>
      <c r="AQ47" s="289">
        <v>908.21709988611451</v>
      </c>
      <c r="AR47" s="289">
        <v>822.30442551629812</v>
      </c>
    </row>
    <row r="48" spans="1:45" ht="15">
      <c r="A48" s="94"/>
      <c r="B48" s="87"/>
      <c r="C48" s="87"/>
      <c r="D48" s="87"/>
      <c r="E48" s="87"/>
      <c r="F48" s="87"/>
      <c r="G48" s="87"/>
      <c r="H48" s="87"/>
      <c r="I48" s="87"/>
      <c r="J48" s="87"/>
      <c r="K48" s="61"/>
      <c r="L48" s="61"/>
      <c r="M48" s="61"/>
      <c r="N48" s="61"/>
      <c r="O48" s="61"/>
      <c r="P48" s="61"/>
      <c r="Q48" s="61"/>
      <c r="R48" s="61"/>
      <c r="S48" s="61"/>
      <c r="T48" s="61"/>
      <c r="U48" s="61"/>
      <c r="V48" s="61"/>
      <c r="W48" s="61"/>
      <c r="X48" s="61"/>
      <c r="Y48" s="61"/>
      <c r="Z48" s="61"/>
      <c r="AA48" s="61"/>
      <c r="AB48" s="61"/>
      <c r="AC48" s="61"/>
      <c r="AD48" s="61"/>
      <c r="AE48" s="61"/>
      <c r="AF48" s="61"/>
      <c r="AG48" s="61"/>
      <c r="AH48" s="61"/>
    </row>
    <row r="49" spans="1:44">
      <c r="A49" s="95" t="s">
        <v>266</v>
      </c>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511" t="s">
        <v>262</v>
      </c>
      <c r="AM49" s="511"/>
      <c r="AN49" s="511"/>
      <c r="AO49" s="511"/>
      <c r="AP49" s="511"/>
      <c r="AQ49" s="511"/>
      <c r="AR49" s="511"/>
    </row>
    <row r="50" spans="1:44" ht="52.8">
      <c r="A50" s="66" t="s">
        <v>341</v>
      </c>
      <c r="B50" s="393">
        <v>1990</v>
      </c>
      <c r="C50" s="393">
        <v>1991</v>
      </c>
      <c r="D50" s="393">
        <v>1992</v>
      </c>
      <c r="E50" s="393">
        <v>1993</v>
      </c>
      <c r="F50" s="393">
        <v>1994</v>
      </c>
      <c r="G50" s="393">
        <v>1995</v>
      </c>
      <c r="H50" s="393">
        <v>1996</v>
      </c>
      <c r="I50" s="393">
        <v>1997</v>
      </c>
      <c r="J50" s="393">
        <v>1998</v>
      </c>
      <c r="K50" s="393">
        <v>1999</v>
      </c>
      <c r="L50" s="393">
        <v>2000</v>
      </c>
      <c r="M50" s="393">
        <v>2001</v>
      </c>
      <c r="N50" s="393">
        <v>2002</v>
      </c>
      <c r="O50" s="393">
        <v>2003</v>
      </c>
      <c r="P50" s="393">
        <v>2004</v>
      </c>
      <c r="Q50" s="393">
        <v>2005</v>
      </c>
      <c r="R50" s="393">
        <v>2006</v>
      </c>
      <c r="S50" s="393">
        <v>2007</v>
      </c>
      <c r="T50" s="393">
        <v>2008</v>
      </c>
      <c r="U50" s="393">
        <v>2009</v>
      </c>
      <c r="V50" s="393">
        <v>2010</v>
      </c>
      <c r="W50" s="393">
        <v>2011</v>
      </c>
      <c r="X50" s="393">
        <v>2012</v>
      </c>
      <c r="Y50" s="393">
        <v>2013</v>
      </c>
      <c r="Z50" s="393">
        <v>2014</v>
      </c>
      <c r="AA50" s="393">
        <v>2015</v>
      </c>
      <c r="AB50" s="393">
        <v>2016</v>
      </c>
      <c r="AC50" s="393">
        <v>2017</v>
      </c>
      <c r="AD50" s="393">
        <v>2018</v>
      </c>
      <c r="AE50" s="393">
        <v>2019</v>
      </c>
      <c r="AF50" s="393">
        <v>2020</v>
      </c>
      <c r="AG50" s="397">
        <v>2021</v>
      </c>
      <c r="AH50" s="397">
        <v>2022</v>
      </c>
      <c r="AI50" s="393">
        <v>2023</v>
      </c>
      <c r="AJ50" s="394">
        <v>2024</v>
      </c>
      <c r="AK50" s="393">
        <v>2025</v>
      </c>
      <c r="AL50" s="394">
        <v>2026</v>
      </c>
      <c r="AM50" s="394">
        <v>2027</v>
      </c>
      <c r="AN50" s="393">
        <v>2028</v>
      </c>
      <c r="AO50" s="394">
        <v>2029</v>
      </c>
      <c r="AP50" s="393">
        <v>2030</v>
      </c>
      <c r="AQ50" s="395">
        <v>2040</v>
      </c>
      <c r="AR50" s="396">
        <v>2050</v>
      </c>
    </row>
    <row r="51" spans="1:44">
      <c r="A51" s="91" t="s">
        <v>67</v>
      </c>
      <c r="B51" s="83">
        <v>0</v>
      </c>
      <c r="C51" s="83">
        <v>0</v>
      </c>
      <c r="D51" s="83">
        <v>0</v>
      </c>
      <c r="E51" s="83">
        <v>0</v>
      </c>
      <c r="F51" s="83">
        <v>0</v>
      </c>
      <c r="G51" s="83">
        <v>0</v>
      </c>
      <c r="H51" s="83">
        <v>0</v>
      </c>
      <c r="I51" s="83">
        <v>0</v>
      </c>
      <c r="J51" s="83">
        <v>0</v>
      </c>
      <c r="K51" s="83">
        <v>0</v>
      </c>
      <c r="L51" s="83">
        <v>0</v>
      </c>
      <c r="M51" s="83">
        <v>0</v>
      </c>
      <c r="N51" s="83">
        <v>0</v>
      </c>
      <c r="O51" s="83">
        <v>0</v>
      </c>
      <c r="P51" s="83">
        <v>0</v>
      </c>
      <c r="Q51" s="83">
        <v>0</v>
      </c>
      <c r="R51" s="83">
        <v>5.4660409723292086E-3</v>
      </c>
      <c r="S51" s="83">
        <v>0</v>
      </c>
      <c r="T51" s="83">
        <v>3.1177659738280249E-3</v>
      </c>
      <c r="U51" s="83">
        <v>2.335602510616801E-3</v>
      </c>
      <c r="V51" s="83">
        <v>0.24431160509241009</v>
      </c>
      <c r="W51" s="83">
        <v>2.3470550850097933E-3</v>
      </c>
      <c r="X51" s="83">
        <v>4.3696063465039365E-3</v>
      </c>
      <c r="Y51" s="83">
        <v>2.2949835121212694E-3</v>
      </c>
      <c r="Z51" s="83">
        <v>2.5937198872291469E-3</v>
      </c>
      <c r="AA51" s="83">
        <v>3.8531844148081459E-2</v>
      </c>
      <c r="AB51" s="83">
        <v>6.4312120286533686E-2</v>
      </c>
      <c r="AC51" s="83">
        <v>4.361946893959965E-2</v>
      </c>
      <c r="AD51" s="83">
        <v>5.6877590956037109E-2</v>
      </c>
      <c r="AE51" s="83">
        <v>0.22933514759454554</v>
      </c>
      <c r="AF51" s="83">
        <v>0.13172404415013864</v>
      </c>
      <c r="AG51" s="83">
        <v>0.15511209971088036</v>
      </c>
      <c r="AH51" s="83">
        <v>3.5281532092578817E-2</v>
      </c>
      <c r="AI51" s="277">
        <v>9.7717937269877181E-2</v>
      </c>
      <c r="AJ51" s="277">
        <v>8.6749213031041578E-2</v>
      </c>
      <c r="AK51" s="277">
        <v>8.6749213031041578E-2</v>
      </c>
      <c r="AL51" s="277">
        <v>0.13990098590765351</v>
      </c>
      <c r="AM51" s="277">
        <f>AL51+(AN51-AL51)/2</f>
        <v>7.0105510538992832E-2</v>
      </c>
      <c r="AN51" s="277">
        <v>3.1003517033214765E-4</v>
      </c>
      <c r="AO51" s="277">
        <f>AN51+(AP51-AN51)/2</f>
        <v>3.1003517033214765E-4</v>
      </c>
      <c r="AP51" s="277">
        <v>3.1003517033214765E-4</v>
      </c>
      <c r="AQ51" s="277">
        <v>3.1003517033214765E-4</v>
      </c>
      <c r="AR51" s="277">
        <v>3.1003517033214765E-4</v>
      </c>
    </row>
    <row r="52" spans="1:44" ht="24">
      <c r="A52" s="91" t="s">
        <v>68</v>
      </c>
      <c r="B52" s="83">
        <v>142.61564594339387</v>
      </c>
      <c r="C52" s="83">
        <v>142.87489362452894</v>
      </c>
      <c r="D52" s="83">
        <v>144.68759112730629</v>
      </c>
      <c r="E52" s="83">
        <v>144.99609814476668</v>
      </c>
      <c r="F52" s="83">
        <v>144.85313916360269</v>
      </c>
      <c r="G52" s="83">
        <v>141.49250729970504</v>
      </c>
      <c r="H52" s="83">
        <v>137.87269365756654</v>
      </c>
      <c r="I52" s="83">
        <v>128.59312022730475</v>
      </c>
      <c r="J52" s="83">
        <v>120.55311913464976</v>
      </c>
      <c r="K52" s="83">
        <v>113.83244915960201</v>
      </c>
      <c r="L52" s="83">
        <v>118.64140148681028</v>
      </c>
      <c r="M52" s="83">
        <v>110.00691512343145</v>
      </c>
      <c r="N52" s="83">
        <v>103.38924649665685</v>
      </c>
      <c r="O52" s="83">
        <v>104.12284432660884</v>
      </c>
      <c r="P52" s="83">
        <v>102.47015595236842</v>
      </c>
      <c r="Q52" s="83">
        <v>104.05585188281333</v>
      </c>
      <c r="R52" s="83">
        <v>100.21721377432091</v>
      </c>
      <c r="S52" s="83">
        <v>89.602451462993145</v>
      </c>
      <c r="T52" s="83">
        <v>83.587926368070953</v>
      </c>
      <c r="U52" s="83">
        <v>79.882829976110401</v>
      </c>
      <c r="V52" s="83">
        <v>100.41654016917751</v>
      </c>
      <c r="W52" s="83">
        <v>91.709737217579615</v>
      </c>
      <c r="X52" s="83">
        <v>96.837318829340887</v>
      </c>
      <c r="Y52" s="83">
        <v>69.911664993288966</v>
      </c>
      <c r="Z52" s="83">
        <v>76.527358136296684</v>
      </c>
      <c r="AA52" s="83">
        <v>87.554060861772854</v>
      </c>
      <c r="AB52" s="83">
        <v>67.647413972994556</v>
      </c>
      <c r="AC52" s="83">
        <v>65.03460742352128</v>
      </c>
      <c r="AD52" s="83">
        <v>62.116987625942187</v>
      </c>
      <c r="AE52" s="83">
        <v>89.007579899035434</v>
      </c>
      <c r="AF52" s="83">
        <v>90.543859871435089</v>
      </c>
      <c r="AG52" s="83">
        <v>83.162815709991264</v>
      </c>
      <c r="AH52" s="83">
        <v>70.035396798719489</v>
      </c>
      <c r="AI52" s="277">
        <v>54.166975871439377</v>
      </c>
      <c r="AJ52" s="277">
        <v>54.504074401666138</v>
      </c>
      <c r="AK52" s="277">
        <v>54.504074401666138</v>
      </c>
      <c r="AL52" s="277">
        <v>55.691819877380887</v>
      </c>
      <c r="AM52" s="277">
        <f>AL52+(AN52-AL52)/2</f>
        <v>68.824661613842281</v>
      </c>
      <c r="AN52" s="277">
        <v>81.957503350303682</v>
      </c>
      <c r="AO52" s="277">
        <f>AN52+(AP52-AN52)/2</f>
        <v>82.19726121803501</v>
      </c>
      <c r="AP52" s="277">
        <v>82.437019085766352</v>
      </c>
      <c r="AQ52" s="277">
        <v>84.524008782852604</v>
      </c>
      <c r="AR52" s="277">
        <v>70.395571552475658</v>
      </c>
    </row>
    <row r="53" spans="1:44" ht="24">
      <c r="A53" s="91" t="s">
        <v>69</v>
      </c>
      <c r="B53" s="83">
        <v>30.093103075999387</v>
      </c>
      <c r="C53" s="83">
        <v>30.85433174529696</v>
      </c>
      <c r="D53" s="83">
        <v>31.634826507139014</v>
      </c>
      <c r="E53" s="83">
        <v>32.435074971013847</v>
      </c>
      <c r="F53" s="83">
        <v>36.305169998942212</v>
      </c>
      <c r="G53" s="83">
        <v>40.114851201393456</v>
      </c>
      <c r="H53" s="83">
        <v>42.637039913798496</v>
      </c>
      <c r="I53" s="83">
        <v>39.868516814928803</v>
      </c>
      <c r="J53" s="83">
        <v>44.777003970607055</v>
      </c>
      <c r="K53" s="83">
        <v>59.532225045061722</v>
      </c>
      <c r="L53" s="83">
        <v>64.527625342177174</v>
      </c>
      <c r="M53" s="83">
        <v>66.908776129398348</v>
      </c>
      <c r="N53" s="83">
        <v>69.210198797659089</v>
      </c>
      <c r="O53" s="83">
        <v>73.595783003846023</v>
      </c>
      <c r="P53" s="83">
        <v>77.734937616936179</v>
      </c>
      <c r="Q53" s="83">
        <v>81.127812747505658</v>
      </c>
      <c r="R53" s="83">
        <v>85.077761473222807</v>
      </c>
      <c r="S53" s="83">
        <v>86.080138725032072</v>
      </c>
      <c r="T53" s="83">
        <v>87.301340743428639</v>
      </c>
      <c r="U53" s="83">
        <v>90.739152980766548</v>
      </c>
      <c r="V53" s="83">
        <v>95.298398599725743</v>
      </c>
      <c r="W53" s="83">
        <v>113.04371607001634</v>
      </c>
      <c r="X53" s="83">
        <v>130.71259790268618</v>
      </c>
      <c r="Y53" s="83">
        <v>135.19112652315033</v>
      </c>
      <c r="Z53" s="83">
        <v>139.633350935854</v>
      </c>
      <c r="AA53" s="83">
        <v>142.68882612557181</v>
      </c>
      <c r="AB53" s="83">
        <v>145.77738535428227</v>
      </c>
      <c r="AC53" s="83">
        <v>151.09105981165348</v>
      </c>
      <c r="AD53" s="83">
        <v>156.40274431693484</v>
      </c>
      <c r="AE53" s="83">
        <v>151.91974933381721</v>
      </c>
      <c r="AF53" s="83">
        <v>147.35446422349412</v>
      </c>
      <c r="AG53" s="83">
        <v>132.23482275446781</v>
      </c>
      <c r="AH53" s="83">
        <v>117.4086739932454</v>
      </c>
      <c r="AI53" s="277">
        <v>117.40867617980571</v>
      </c>
      <c r="AJ53" s="277">
        <v>117.40867368217594</v>
      </c>
      <c r="AK53" s="277">
        <v>117.40867368217594</v>
      </c>
      <c r="AL53" s="277">
        <v>119.60623499141218</v>
      </c>
      <c r="AM53" s="277">
        <f>AL53+(AN53-AL53)/2</f>
        <v>125.59507069211294</v>
      </c>
      <c r="AN53" s="277">
        <v>131.5839063928137</v>
      </c>
      <c r="AO53" s="277">
        <f>AN53+(AP53-AN53)/2</f>
        <v>133.89943748870243</v>
      </c>
      <c r="AP53" s="277">
        <v>136.21496858459116</v>
      </c>
      <c r="AQ53" s="277">
        <v>139.3760759173791</v>
      </c>
      <c r="AR53" s="277">
        <v>142.52738283342555</v>
      </c>
    </row>
    <row r="54" spans="1:44">
      <c r="A54" s="91" t="s">
        <v>70</v>
      </c>
      <c r="B54" s="83">
        <v>2020.8855763138006</v>
      </c>
      <c r="C54" s="83">
        <v>2071.3461715229791</v>
      </c>
      <c r="D54" s="83">
        <v>2018.9857530918746</v>
      </c>
      <c r="E54" s="83">
        <v>1996.1019369469932</v>
      </c>
      <c r="F54" s="83">
        <v>1970.281287652695</v>
      </c>
      <c r="G54" s="83">
        <v>2002.4639148850852</v>
      </c>
      <c r="H54" s="83">
        <v>1987.7326750111195</v>
      </c>
      <c r="I54" s="83">
        <v>1983.9515648783645</v>
      </c>
      <c r="J54" s="83">
        <v>1990.0025372614973</v>
      </c>
      <c r="K54" s="83">
        <v>2003.7267463513081</v>
      </c>
      <c r="L54" s="83">
        <v>2021.0285390144591</v>
      </c>
      <c r="M54" s="83">
        <v>2030.5489092070586</v>
      </c>
      <c r="N54" s="83">
        <v>2024.9761774961853</v>
      </c>
      <c r="O54" s="83">
        <v>2018.758821542531</v>
      </c>
      <c r="P54" s="83">
        <v>2009.5771960699785</v>
      </c>
      <c r="Q54" s="83">
        <v>1968.7468515430774</v>
      </c>
      <c r="R54" s="83">
        <v>1941.1301274363796</v>
      </c>
      <c r="S54" s="83">
        <v>1882.2380886933286</v>
      </c>
      <c r="T54" s="83">
        <v>1950.9291273751517</v>
      </c>
      <c r="U54" s="83">
        <v>2022.3534384594627</v>
      </c>
      <c r="V54" s="83">
        <v>2093.2347480811773</v>
      </c>
      <c r="W54" s="83">
        <v>2037.8234101971921</v>
      </c>
      <c r="X54" s="83">
        <v>1978.7311362679409</v>
      </c>
      <c r="Y54" s="83">
        <v>1920.1532258917607</v>
      </c>
      <c r="Z54" s="83">
        <v>1901.1569234137892</v>
      </c>
      <c r="AA54" s="83">
        <v>1879.3129111358101</v>
      </c>
      <c r="AB54" s="83">
        <v>1865.3081777386262</v>
      </c>
      <c r="AC54" s="83">
        <v>1868.6913378088345</v>
      </c>
      <c r="AD54" s="83">
        <v>1879.7287867193181</v>
      </c>
      <c r="AE54" s="83">
        <v>1898.4194546279844</v>
      </c>
      <c r="AF54" s="83">
        <v>1904.7832102488201</v>
      </c>
      <c r="AG54" s="83">
        <v>1931.475399170741</v>
      </c>
      <c r="AH54" s="83">
        <v>1893.5134959664158</v>
      </c>
      <c r="AI54" s="277">
        <v>1891.0699517703365</v>
      </c>
      <c r="AJ54" s="277">
        <v>1882.2095779020112</v>
      </c>
      <c r="AK54" s="277">
        <v>1882.2095779020112</v>
      </c>
      <c r="AL54" s="277">
        <v>1877.6408832934287</v>
      </c>
      <c r="AM54" s="277">
        <f>AL54+(AN54-AL54)/2</f>
        <v>1869.0288454274494</v>
      </c>
      <c r="AN54" s="277">
        <v>1860.41680756147</v>
      </c>
      <c r="AO54" s="277">
        <f>AN54+(AP54-AN54)/2</f>
        <v>1854.328029296516</v>
      </c>
      <c r="AP54" s="277">
        <v>1848.2392510315617</v>
      </c>
      <c r="AQ54" s="277">
        <v>1820.2133119148366</v>
      </c>
      <c r="AR54" s="277">
        <v>1703.208767420793</v>
      </c>
    </row>
    <row r="55" spans="1:44">
      <c r="A55" s="97" t="s">
        <v>279</v>
      </c>
      <c r="B55" s="98">
        <v>2193.5943253331939</v>
      </c>
      <c r="C55" s="98">
        <v>2245.0753968928052</v>
      </c>
      <c r="D55" s="98">
        <v>2195.30817072632</v>
      </c>
      <c r="E55" s="98">
        <v>2173.5331100627736</v>
      </c>
      <c r="F55" s="98">
        <v>2151.4395968152398</v>
      </c>
      <c r="G55" s="98">
        <v>2184.0712733861837</v>
      </c>
      <c r="H55" s="98">
        <v>2168.2424085824846</v>
      </c>
      <c r="I55" s="98">
        <v>2152.4132019205981</v>
      </c>
      <c r="J55" s="98">
        <v>2155.3326603667542</v>
      </c>
      <c r="K55" s="98">
        <v>2177.091420555972</v>
      </c>
      <c r="L55" s="98">
        <v>2204.1975658434467</v>
      </c>
      <c r="M55" s="98">
        <v>2207.4646004598885</v>
      </c>
      <c r="N55" s="98">
        <v>2197.5756227905013</v>
      </c>
      <c r="O55" s="98">
        <v>2196.4774488729859</v>
      </c>
      <c r="P55" s="98">
        <v>2189.7822896392831</v>
      </c>
      <c r="Q55" s="98">
        <v>2153.9305161733964</v>
      </c>
      <c r="R55" s="98">
        <v>2126.4305687248957</v>
      </c>
      <c r="S55" s="98">
        <v>2057.920678881354</v>
      </c>
      <c r="T55" s="98">
        <v>2121.8215122526253</v>
      </c>
      <c r="U55" s="98">
        <v>2192.9777570188503</v>
      </c>
      <c r="V55" s="98">
        <v>2289.1939984551727</v>
      </c>
      <c r="W55" s="98">
        <v>2242.5792105398732</v>
      </c>
      <c r="X55" s="98">
        <v>2206.2854226063146</v>
      </c>
      <c r="Y55" s="98">
        <v>2125.258312391712</v>
      </c>
      <c r="Z55" s="98">
        <v>2117.3202262058271</v>
      </c>
      <c r="AA55" s="98">
        <v>2109.5943299673027</v>
      </c>
      <c r="AB55" s="98">
        <v>2078.7972891861896</v>
      </c>
      <c r="AC55" s="98">
        <v>2084.860624512949</v>
      </c>
      <c r="AD55" s="98">
        <v>2098.3053962531512</v>
      </c>
      <c r="AE55" s="98">
        <v>2139.5761190084313</v>
      </c>
      <c r="AF55" s="98">
        <v>2142.8132583878996</v>
      </c>
      <c r="AG55" s="98">
        <v>2147.028149734911</v>
      </c>
      <c r="AH55" s="98">
        <v>2080.9928482904734</v>
      </c>
      <c r="AI55" s="98">
        <v>2062.7433217588514</v>
      </c>
      <c r="AJ55" s="98">
        <v>2054.2090751988844</v>
      </c>
      <c r="AK55" s="98">
        <v>2054.2090751988844</v>
      </c>
      <c r="AL55" s="139">
        <v>2053.0788391481292</v>
      </c>
      <c r="AM55" s="139">
        <f>SUM(AM51:AM54)</f>
        <v>2063.5186832439435</v>
      </c>
      <c r="AN55" s="139">
        <v>2073.9585273397579</v>
      </c>
      <c r="AO55" s="139">
        <f>SUM(AO51:AO54)</f>
        <v>2070.4250380384237</v>
      </c>
      <c r="AP55" s="139">
        <v>2066.8915487370896</v>
      </c>
      <c r="AQ55" s="139">
        <v>2044.1137066502386</v>
      </c>
      <c r="AR55" s="139">
        <v>1916.1320318418645</v>
      </c>
    </row>
    <row r="56" spans="1:44" ht="15">
      <c r="A56" s="86"/>
      <c r="B56" s="87"/>
      <c r="C56" s="87"/>
      <c r="D56" s="87"/>
      <c r="E56" s="87"/>
      <c r="F56" s="87"/>
      <c r="G56" s="87"/>
      <c r="H56" s="87"/>
      <c r="I56" s="87"/>
      <c r="J56" s="87"/>
      <c r="K56" s="61"/>
      <c r="L56" s="61"/>
      <c r="M56" s="61"/>
      <c r="N56" s="61"/>
      <c r="O56" s="61"/>
      <c r="P56" s="61"/>
      <c r="Q56" s="61"/>
      <c r="R56" s="61"/>
      <c r="S56" s="61"/>
      <c r="T56" s="61"/>
      <c r="U56" s="61"/>
      <c r="V56" s="61"/>
      <c r="W56" s="61"/>
      <c r="X56" s="61"/>
      <c r="Y56" s="61"/>
      <c r="Z56" s="61"/>
      <c r="AA56" s="61"/>
      <c r="AB56" s="61"/>
      <c r="AC56" s="61"/>
      <c r="AD56" s="61"/>
      <c r="AE56" s="61"/>
      <c r="AF56" s="61"/>
      <c r="AG56" s="61"/>
      <c r="AH56" s="61"/>
    </row>
    <row r="57" spans="1:44">
      <c r="A57" s="99" t="s">
        <v>267</v>
      </c>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512" t="s">
        <v>262</v>
      </c>
      <c r="AM57" s="512"/>
      <c r="AN57" s="512"/>
      <c r="AO57" s="512"/>
      <c r="AP57" s="512"/>
      <c r="AQ57" s="512"/>
      <c r="AR57" s="512"/>
    </row>
    <row r="58" spans="1:44" ht="52.8">
      <c r="A58" s="66" t="s">
        <v>341</v>
      </c>
      <c r="B58" s="393">
        <v>1990</v>
      </c>
      <c r="C58" s="393">
        <v>1991</v>
      </c>
      <c r="D58" s="393">
        <v>1992</v>
      </c>
      <c r="E58" s="393">
        <v>1993</v>
      </c>
      <c r="F58" s="393">
        <v>1994</v>
      </c>
      <c r="G58" s="393">
        <v>1995</v>
      </c>
      <c r="H58" s="393">
        <v>1996</v>
      </c>
      <c r="I58" s="393">
        <v>1997</v>
      </c>
      <c r="J58" s="393">
        <v>1998</v>
      </c>
      <c r="K58" s="393">
        <v>1999</v>
      </c>
      <c r="L58" s="393">
        <v>2000</v>
      </c>
      <c r="M58" s="393">
        <v>2001</v>
      </c>
      <c r="N58" s="393">
        <v>2002</v>
      </c>
      <c r="O58" s="393">
        <v>2003</v>
      </c>
      <c r="P58" s="393">
        <v>2004</v>
      </c>
      <c r="Q58" s="393">
        <v>2005</v>
      </c>
      <c r="R58" s="393">
        <v>2006</v>
      </c>
      <c r="S58" s="393">
        <v>2007</v>
      </c>
      <c r="T58" s="393">
        <v>2008</v>
      </c>
      <c r="U58" s="393">
        <v>2009</v>
      </c>
      <c r="V58" s="393">
        <v>2010</v>
      </c>
      <c r="W58" s="393">
        <v>2011</v>
      </c>
      <c r="X58" s="393">
        <v>2012</v>
      </c>
      <c r="Y58" s="393">
        <v>2013</v>
      </c>
      <c r="Z58" s="393">
        <v>2014</v>
      </c>
      <c r="AA58" s="393">
        <v>2015</v>
      </c>
      <c r="AB58" s="393">
        <v>2016</v>
      </c>
      <c r="AC58" s="393">
        <v>2017</v>
      </c>
      <c r="AD58" s="393">
        <v>2018</v>
      </c>
      <c r="AE58" s="393">
        <v>2019</v>
      </c>
      <c r="AF58" s="393">
        <v>2020</v>
      </c>
      <c r="AG58" s="397">
        <v>2021</v>
      </c>
      <c r="AH58" s="397">
        <v>2022</v>
      </c>
      <c r="AI58" s="393">
        <v>2023</v>
      </c>
      <c r="AJ58" s="394">
        <v>2024</v>
      </c>
      <c r="AK58" s="393">
        <v>2025</v>
      </c>
      <c r="AL58" s="394">
        <v>2026</v>
      </c>
      <c r="AM58" s="394">
        <v>2027</v>
      </c>
      <c r="AN58" s="393">
        <v>2028</v>
      </c>
      <c r="AO58" s="394">
        <v>2029</v>
      </c>
      <c r="AP58" s="393">
        <v>2030</v>
      </c>
      <c r="AQ58" s="395">
        <v>2040</v>
      </c>
      <c r="AR58" s="396">
        <v>2050</v>
      </c>
    </row>
    <row r="59" spans="1:44" ht="24">
      <c r="A59" s="82" t="s">
        <v>176</v>
      </c>
      <c r="B59" s="83">
        <v>437.07780083522215</v>
      </c>
      <c r="C59" s="83">
        <v>511.29217115300207</v>
      </c>
      <c r="D59" s="83">
        <v>491.80808200782002</v>
      </c>
      <c r="E59" s="83">
        <v>472.83339521242721</v>
      </c>
      <c r="F59" s="83">
        <v>412.56764910339035</v>
      </c>
      <c r="G59" s="83">
        <v>417.83845396006274</v>
      </c>
      <c r="H59" s="83">
        <v>456.46314010115992</v>
      </c>
      <c r="I59" s="83">
        <v>403.56460313288949</v>
      </c>
      <c r="J59" s="83">
        <v>408.73114479737899</v>
      </c>
      <c r="K59" s="83">
        <v>389.67226272159013</v>
      </c>
      <c r="L59" s="83">
        <v>366.84099434226982</v>
      </c>
      <c r="M59" s="83">
        <v>380.48393521179804</v>
      </c>
      <c r="N59" s="83">
        <v>350.79464717221703</v>
      </c>
      <c r="O59" s="83">
        <v>374.91540972320325</v>
      </c>
      <c r="P59" s="83">
        <v>377.88517090337945</v>
      </c>
      <c r="Q59" s="83">
        <v>369.61684056024143</v>
      </c>
      <c r="R59" s="83">
        <v>341.43599311873777</v>
      </c>
      <c r="S59" s="83">
        <v>319.41527884043683</v>
      </c>
      <c r="T59" s="83">
        <v>344.33984305569919</v>
      </c>
      <c r="U59" s="83">
        <v>351.87275177030523</v>
      </c>
      <c r="V59" s="83">
        <v>384.94797865744567</v>
      </c>
      <c r="W59" s="83">
        <v>314.79131872269483</v>
      </c>
      <c r="X59" s="83">
        <v>360.78586785113578</v>
      </c>
      <c r="Y59" s="83">
        <v>390.39771849576562</v>
      </c>
      <c r="Z59" s="83">
        <v>315.24173380577497</v>
      </c>
      <c r="AA59" s="83">
        <v>330.81356727991476</v>
      </c>
      <c r="AB59" s="83">
        <v>355.72948114447087</v>
      </c>
      <c r="AC59" s="83">
        <v>345.52332982173573</v>
      </c>
      <c r="AD59" s="83">
        <v>332.37011339715656</v>
      </c>
      <c r="AE59" s="83">
        <v>331.11087966667259</v>
      </c>
      <c r="AF59" s="83">
        <v>303.2817059772479</v>
      </c>
      <c r="AG59" s="83">
        <v>348.57532362922223</v>
      </c>
      <c r="AH59" s="83">
        <v>303.55270899644051</v>
      </c>
      <c r="AI59" s="277">
        <v>300.96122816978783</v>
      </c>
      <c r="AJ59" s="277">
        <v>293.93187278478587</v>
      </c>
      <c r="AK59" s="277">
        <v>294.7039863761147</v>
      </c>
      <c r="AL59" s="277">
        <v>289.56113106441057</v>
      </c>
      <c r="AM59" s="277">
        <f>AL59+(AN59-AL59)/2</f>
        <v>278.39997240424134</v>
      </c>
      <c r="AN59" s="277">
        <v>267.23881374407216</v>
      </c>
      <c r="AO59" s="277">
        <f>AN59+(AP59-AN59)/2</f>
        <v>260.9571513218238</v>
      </c>
      <c r="AP59" s="277">
        <v>254.67548889957541</v>
      </c>
      <c r="AQ59" s="277">
        <v>184.92544848985307</v>
      </c>
      <c r="AR59" s="277">
        <v>161.74017388267211</v>
      </c>
    </row>
    <row r="60" spans="1:44">
      <c r="A60" s="82" t="s">
        <v>177</v>
      </c>
      <c r="B60" s="83">
        <v>0</v>
      </c>
      <c r="C60" s="83">
        <v>0</v>
      </c>
      <c r="D60" s="83">
        <v>0</v>
      </c>
      <c r="E60" s="83">
        <v>0</v>
      </c>
      <c r="F60" s="83">
        <v>0</v>
      </c>
      <c r="G60" s="83">
        <v>0</v>
      </c>
      <c r="H60" s="83">
        <v>0</v>
      </c>
      <c r="I60" s="83">
        <v>0</v>
      </c>
      <c r="J60" s="83">
        <v>0</v>
      </c>
      <c r="K60" s="83">
        <v>0</v>
      </c>
      <c r="L60" s="83">
        <v>0</v>
      </c>
      <c r="M60" s="83">
        <v>0</v>
      </c>
      <c r="N60" s="83">
        <v>0</v>
      </c>
      <c r="O60" s="83">
        <v>0</v>
      </c>
      <c r="P60" s="83">
        <v>0</v>
      </c>
      <c r="Q60" s="83">
        <v>0</v>
      </c>
      <c r="R60" s="83">
        <v>0</v>
      </c>
      <c r="S60" s="83">
        <v>0</v>
      </c>
      <c r="T60" s="83">
        <v>0</v>
      </c>
      <c r="U60" s="83">
        <v>0</v>
      </c>
      <c r="V60" s="83">
        <v>0</v>
      </c>
      <c r="W60" s="83">
        <v>0</v>
      </c>
      <c r="X60" s="83">
        <v>0</v>
      </c>
      <c r="Y60" s="83">
        <v>0</v>
      </c>
      <c r="Z60" s="83">
        <v>0</v>
      </c>
      <c r="AA60" s="83">
        <v>0</v>
      </c>
      <c r="AB60" s="83">
        <v>0</v>
      </c>
      <c r="AC60" s="83">
        <v>0</v>
      </c>
      <c r="AD60" s="83">
        <v>0</v>
      </c>
      <c r="AE60" s="83">
        <v>0</v>
      </c>
      <c r="AF60" s="83">
        <v>0</v>
      </c>
      <c r="AG60" s="83">
        <v>0</v>
      </c>
      <c r="AH60" s="83">
        <v>0</v>
      </c>
      <c r="AI60" s="277">
        <v>0</v>
      </c>
      <c r="AJ60" s="277">
        <v>0</v>
      </c>
      <c r="AK60" s="277">
        <v>0</v>
      </c>
      <c r="AL60" s="277">
        <v>0</v>
      </c>
      <c r="AM60" s="277">
        <f t="shared" ref="AM60:AO65" si="7">AL60+(AN60-AL60)/2</f>
        <v>0</v>
      </c>
      <c r="AN60" s="277">
        <v>0</v>
      </c>
      <c r="AO60" s="277">
        <f t="shared" si="7"/>
        <v>0</v>
      </c>
      <c r="AP60" s="277">
        <v>0</v>
      </c>
      <c r="AQ60" s="277">
        <v>0</v>
      </c>
      <c r="AR60" s="277">
        <v>0</v>
      </c>
    </row>
    <row r="61" spans="1:44">
      <c r="A61" s="82" t="s">
        <v>280</v>
      </c>
      <c r="B61" s="83">
        <v>0</v>
      </c>
      <c r="C61" s="83">
        <v>0</v>
      </c>
      <c r="D61" s="83">
        <v>0</v>
      </c>
      <c r="E61" s="83">
        <v>0</v>
      </c>
      <c r="F61" s="83">
        <v>0</v>
      </c>
      <c r="G61" s="83">
        <v>0</v>
      </c>
      <c r="H61" s="83">
        <v>0</v>
      </c>
      <c r="I61" s="83">
        <v>0</v>
      </c>
      <c r="J61" s="83">
        <v>0</v>
      </c>
      <c r="K61" s="83">
        <v>0</v>
      </c>
      <c r="L61" s="83">
        <v>0</v>
      </c>
      <c r="M61" s="83">
        <v>0</v>
      </c>
      <c r="N61" s="83">
        <v>0</v>
      </c>
      <c r="O61" s="83">
        <v>0</v>
      </c>
      <c r="P61" s="83">
        <v>0</v>
      </c>
      <c r="Q61" s="83">
        <v>0</v>
      </c>
      <c r="R61" s="83">
        <v>0</v>
      </c>
      <c r="S61" s="83">
        <v>0</v>
      </c>
      <c r="T61" s="83">
        <v>0</v>
      </c>
      <c r="U61" s="83">
        <v>0</v>
      </c>
      <c r="V61" s="83">
        <v>0</v>
      </c>
      <c r="W61" s="83">
        <v>0</v>
      </c>
      <c r="X61" s="83">
        <v>0</v>
      </c>
      <c r="Y61" s="83">
        <v>0</v>
      </c>
      <c r="Z61" s="83">
        <v>0</v>
      </c>
      <c r="AA61" s="83">
        <v>0</v>
      </c>
      <c r="AB61" s="83">
        <v>0</v>
      </c>
      <c r="AC61" s="83">
        <v>0</v>
      </c>
      <c r="AD61" s="83">
        <v>0</v>
      </c>
      <c r="AE61" s="83">
        <v>0</v>
      </c>
      <c r="AF61" s="83">
        <v>0</v>
      </c>
      <c r="AG61" s="83">
        <v>0</v>
      </c>
      <c r="AH61" s="83">
        <v>0</v>
      </c>
      <c r="AI61" s="277">
        <v>0</v>
      </c>
      <c r="AJ61" s="277">
        <v>0</v>
      </c>
      <c r="AK61" s="277">
        <v>0</v>
      </c>
      <c r="AL61" s="277">
        <v>0</v>
      </c>
      <c r="AM61" s="277">
        <f t="shared" si="7"/>
        <v>0</v>
      </c>
      <c r="AN61" s="277">
        <v>0</v>
      </c>
      <c r="AO61" s="277">
        <f t="shared" si="7"/>
        <v>0</v>
      </c>
      <c r="AP61" s="277">
        <v>0</v>
      </c>
      <c r="AQ61" s="277">
        <v>0</v>
      </c>
      <c r="AR61" s="277">
        <v>0</v>
      </c>
    </row>
    <row r="62" spans="1:44" ht="24">
      <c r="A62" s="82" t="s">
        <v>178</v>
      </c>
      <c r="B62" s="83">
        <v>22.04740628981612</v>
      </c>
      <c r="C62" s="83">
        <v>22.053631771295702</v>
      </c>
      <c r="D62" s="83">
        <v>22.060914517005266</v>
      </c>
      <c r="E62" s="83">
        <v>22.068972144615312</v>
      </c>
      <c r="F62" s="83">
        <v>22.077498211463737</v>
      </c>
      <c r="G62" s="83">
        <v>22.086438099706484</v>
      </c>
      <c r="H62" s="83">
        <v>22.095657792029474</v>
      </c>
      <c r="I62" s="83">
        <v>22.104957712325117</v>
      </c>
      <c r="J62" s="83">
        <v>22.114144791018422</v>
      </c>
      <c r="K62" s="83">
        <v>22.122540275505155</v>
      </c>
      <c r="L62" s="83">
        <v>22.129357005930959</v>
      </c>
      <c r="M62" s="83">
        <v>22.136210096532128</v>
      </c>
      <c r="N62" s="83">
        <v>22.142726401039056</v>
      </c>
      <c r="O62" s="83">
        <v>22.148398139566741</v>
      </c>
      <c r="P62" s="83">
        <v>20.677040743987416</v>
      </c>
      <c r="Q62" s="83">
        <v>20.68146012332981</v>
      </c>
      <c r="R62" s="83">
        <v>19.207842096795464</v>
      </c>
      <c r="S62" s="83">
        <v>19.950704981228775</v>
      </c>
      <c r="T62" s="83">
        <v>17.738463955721812</v>
      </c>
      <c r="U62" s="83">
        <v>19.36541077673024</v>
      </c>
      <c r="V62" s="83">
        <v>20.991922841266049</v>
      </c>
      <c r="W62" s="83">
        <v>22.619689471987463</v>
      </c>
      <c r="X62" s="83">
        <v>24.245020791483782</v>
      </c>
      <c r="Y62" s="83">
        <v>25.869610554129661</v>
      </c>
      <c r="Z62" s="83">
        <v>27.139651138135189</v>
      </c>
      <c r="AA62" s="83">
        <v>25.799431469243977</v>
      </c>
      <c r="AB62" s="83">
        <v>25.292517432217135</v>
      </c>
      <c r="AC62" s="83">
        <v>24.59761464144259</v>
      </c>
      <c r="AD62" s="83">
        <v>24.303205681754811</v>
      </c>
      <c r="AE62" s="83">
        <v>26.057862610365305</v>
      </c>
      <c r="AF62" s="83">
        <v>28.760366953107351</v>
      </c>
      <c r="AG62" s="83">
        <v>28.342318954794628</v>
      </c>
      <c r="AH62" s="83">
        <v>27.851914942933476</v>
      </c>
      <c r="AI62" s="277">
        <v>26.626464310120852</v>
      </c>
      <c r="AJ62" s="277">
        <v>28.27395232778672</v>
      </c>
      <c r="AK62" s="277">
        <v>28.273952327786727</v>
      </c>
      <c r="AL62" s="277">
        <v>22.687816846193659</v>
      </c>
      <c r="AM62" s="277">
        <f t="shared" si="7"/>
        <v>11.343908423096829</v>
      </c>
      <c r="AN62" s="277">
        <v>0</v>
      </c>
      <c r="AO62" s="277">
        <f t="shared" si="7"/>
        <v>0</v>
      </c>
      <c r="AP62" s="277">
        <v>0</v>
      </c>
      <c r="AQ62" s="277">
        <v>0</v>
      </c>
      <c r="AR62" s="277">
        <v>0</v>
      </c>
    </row>
    <row r="63" spans="1:44" ht="24">
      <c r="A63" s="82" t="s">
        <v>281</v>
      </c>
      <c r="B63" s="83">
        <v>3.2801451728111024</v>
      </c>
      <c r="C63" s="83">
        <v>3.2955609645681894</v>
      </c>
      <c r="D63" s="83">
        <v>3.3108456132729165</v>
      </c>
      <c r="E63" s="83">
        <v>3.3239894278514024</v>
      </c>
      <c r="F63" s="83">
        <v>3.3350769149138921</v>
      </c>
      <c r="G63" s="83">
        <v>3.3458201250670077</v>
      </c>
      <c r="H63" s="83">
        <v>3.3563173419466419</v>
      </c>
      <c r="I63" s="83">
        <v>3.3668156542439243</v>
      </c>
      <c r="J63" s="83">
        <v>3.3778227992929781</v>
      </c>
      <c r="K63" s="83">
        <v>3.3939963580499071</v>
      </c>
      <c r="L63" s="83">
        <v>3.4162801671129532</v>
      </c>
      <c r="M63" s="83">
        <v>3.4402019812279496</v>
      </c>
      <c r="N63" s="83">
        <v>3.4643586093344783</v>
      </c>
      <c r="O63" s="83">
        <v>3.488059850348284</v>
      </c>
      <c r="P63" s="83">
        <v>3.5129729311918423</v>
      </c>
      <c r="Q63" s="83">
        <v>3.5388545138944063</v>
      </c>
      <c r="R63" s="83">
        <v>3.5628985226277745</v>
      </c>
      <c r="S63" s="83">
        <v>3.5841591363867229</v>
      </c>
      <c r="T63" s="83">
        <v>3.6035497304952493</v>
      </c>
      <c r="U63" s="83">
        <v>3.6217804843925094</v>
      </c>
      <c r="V63" s="83">
        <v>3.6392928495595638</v>
      </c>
      <c r="W63" s="83">
        <v>3.6569300285089943</v>
      </c>
      <c r="X63" s="83">
        <v>3.6750784159360346</v>
      </c>
      <c r="Y63" s="83">
        <v>3.6939294055497025</v>
      </c>
      <c r="Z63" s="83">
        <v>3.7113724143922413</v>
      </c>
      <c r="AA63" s="83">
        <v>3.7241503357199504</v>
      </c>
      <c r="AB63" s="83">
        <v>3.7339344342767431</v>
      </c>
      <c r="AC63" s="83">
        <v>3.7447877457252741</v>
      </c>
      <c r="AD63" s="83">
        <v>3.7580239052174877</v>
      </c>
      <c r="AE63" s="83">
        <v>3.7703186549091168</v>
      </c>
      <c r="AF63" s="83">
        <v>3.7821331028492007</v>
      </c>
      <c r="AG63" s="83">
        <v>3.7988236161725242</v>
      </c>
      <c r="AH63" s="83">
        <v>3.8136375993047675</v>
      </c>
      <c r="AI63" s="277">
        <v>3.8236648409936684</v>
      </c>
      <c r="AJ63" s="277">
        <v>3.8333404152150652</v>
      </c>
      <c r="AK63" s="277">
        <v>3.9578800221523771</v>
      </c>
      <c r="AL63" s="277">
        <v>3.5302086918420952</v>
      </c>
      <c r="AM63" s="277">
        <f t="shared" si="7"/>
        <v>2.5507060630713108</v>
      </c>
      <c r="AN63" s="277">
        <v>1.5712034343005259</v>
      </c>
      <c r="AO63" s="277">
        <f t="shared" si="7"/>
        <v>1.2924387051367845</v>
      </c>
      <c r="AP63" s="277">
        <v>1.0136739759730431</v>
      </c>
      <c r="AQ63" s="277">
        <v>2.6448035617179108E-2</v>
      </c>
      <c r="AR63" s="277">
        <v>1.1452154164851591E-3</v>
      </c>
    </row>
    <row r="64" spans="1:44" ht="24">
      <c r="A64" s="82" t="s">
        <v>282</v>
      </c>
      <c r="B64" s="83">
        <v>154.75224874349095</v>
      </c>
      <c r="C64" s="83">
        <v>160.80400540359039</v>
      </c>
      <c r="D64" s="83">
        <v>160.49498385293418</v>
      </c>
      <c r="E64" s="83">
        <v>162.02378357088247</v>
      </c>
      <c r="F64" s="83">
        <v>163.23087945868514</v>
      </c>
      <c r="G64" s="83">
        <v>168.81694681320312</v>
      </c>
      <c r="H64" s="83">
        <v>171.33026889343907</v>
      </c>
      <c r="I64" s="83">
        <v>175.18131711564806</v>
      </c>
      <c r="J64" s="83">
        <v>180.18068415601746</v>
      </c>
      <c r="K64" s="83">
        <v>173.22715984108723</v>
      </c>
      <c r="L64" s="83">
        <v>165.78523521176851</v>
      </c>
      <c r="M64" s="83">
        <v>158.46090467961776</v>
      </c>
      <c r="N64" s="83">
        <v>155.13368524901566</v>
      </c>
      <c r="O64" s="83">
        <v>151.8350494556166</v>
      </c>
      <c r="P64" s="83">
        <v>148.3163142885947</v>
      </c>
      <c r="Q64" s="83">
        <v>147.37412422768574</v>
      </c>
      <c r="R64" s="83">
        <v>146.34779375321381</v>
      </c>
      <c r="S64" s="83">
        <v>144.93640412270886</v>
      </c>
      <c r="T64" s="83">
        <v>149.71760536733703</v>
      </c>
      <c r="U64" s="83">
        <v>156.31712019880911</v>
      </c>
      <c r="V64" s="83">
        <v>162.91389066600985</v>
      </c>
      <c r="W64" s="83">
        <v>162.22843029043796</v>
      </c>
      <c r="X64" s="83">
        <v>161.57405171813627</v>
      </c>
      <c r="Y64" s="83">
        <v>160.95606572400402</v>
      </c>
      <c r="Z64" s="83">
        <v>160.97987853088247</v>
      </c>
      <c r="AA64" s="83">
        <v>163.80783805174349</v>
      </c>
      <c r="AB64" s="83">
        <v>163.6794476267948</v>
      </c>
      <c r="AC64" s="83">
        <v>165.61047969694462</v>
      </c>
      <c r="AD64" s="83">
        <v>165.85203183379272</v>
      </c>
      <c r="AE64" s="83">
        <v>165.79318301063958</v>
      </c>
      <c r="AF64" s="83">
        <v>168.70045314320308</v>
      </c>
      <c r="AG64" s="83">
        <v>166.1138159616408</v>
      </c>
      <c r="AH64" s="83">
        <v>168.59128807505309</v>
      </c>
      <c r="AI64" s="277">
        <v>168.9506294172495</v>
      </c>
      <c r="AJ64" s="277">
        <v>167.8558380023093</v>
      </c>
      <c r="AK64" s="277">
        <v>167.8558380023093</v>
      </c>
      <c r="AL64" s="277">
        <v>167.52196340877944</v>
      </c>
      <c r="AM64" s="277">
        <f t="shared" si="7"/>
        <v>166.58063893560558</v>
      </c>
      <c r="AN64" s="277">
        <v>165.63931446243168</v>
      </c>
      <c r="AO64" s="277">
        <f t="shared" si="7"/>
        <v>164.79126010624665</v>
      </c>
      <c r="AP64" s="277">
        <v>163.94320575006162</v>
      </c>
      <c r="AQ64" s="277">
        <v>113.05066106889836</v>
      </c>
      <c r="AR64" s="277">
        <v>95.012914303138658</v>
      </c>
    </row>
    <row r="65" spans="1:44" ht="24">
      <c r="A65" s="82" t="s">
        <v>283</v>
      </c>
      <c r="B65" s="83">
        <v>0</v>
      </c>
      <c r="C65" s="83">
        <v>0</v>
      </c>
      <c r="D65" s="83">
        <v>0</v>
      </c>
      <c r="E65" s="83">
        <v>0</v>
      </c>
      <c r="F65" s="83">
        <v>0</v>
      </c>
      <c r="G65" s="83">
        <v>0</v>
      </c>
      <c r="H65" s="83">
        <v>0</v>
      </c>
      <c r="I65" s="83">
        <v>0</v>
      </c>
      <c r="J65" s="83">
        <v>0</v>
      </c>
      <c r="K65" s="83">
        <v>0</v>
      </c>
      <c r="L65" s="83">
        <v>0</v>
      </c>
      <c r="M65" s="83">
        <v>0</v>
      </c>
      <c r="N65" s="83">
        <v>0</v>
      </c>
      <c r="O65" s="83">
        <v>0</v>
      </c>
      <c r="P65" s="83">
        <v>0</v>
      </c>
      <c r="Q65" s="83">
        <v>0</v>
      </c>
      <c r="R65" s="83">
        <v>0</v>
      </c>
      <c r="S65" s="83">
        <v>0</v>
      </c>
      <c r="T65" s="83">
        <v>0</v>
      </c>
      <c r="U65" s="83">
        <v>0</v>
      </c>
      <c r="V65" s="83">
        <v>0</v>
      </c>
      <c r="W65" s="83">
        <v>0</v>
      </c>
      <c r="X65" s="83">
        <v>0</v>
      </c>
      <c r="Y65" s="83">
        <v>0</v>
      </c>
      <c r="Z65" s="83">
        <v>0</v>
      </c>
      <c r="AA65" s="83">
        <v>0</v>
      </c>
      <c r="AB65" s="83">
        <v>0</v>
      </c>
      <c r="AC65" s="83">
        <v>0</v>
      </c>
      <c r="AD65" s="83">
        <v>0</v>
      </c>
      <c r="AE65" s="83">
        <v>0</v>
      </c>
      <c r="AF65" s="83">
        <v>0</v>
      </c>
      <c r="AG65" s="83">
        <v>0</v>
      </c>
      <c r="AH65" s="83">
        <v>0</v>
      </c>
      <c r="AI65" s="277">
        <v>0</v>
      </c>
      <c r="AJ65" s="277">
        <v>0</v>
      </c>
      <c r="AK65" s="277">
        <v>0</v>
      </c>
      <c r="AL65" s="277">
        <v>0</v>
      </c>
      <c r="AM65" s="277">
        <f t="shared" si="7"/>
        <v>0</v>
      </c>
      <c r="AN65" s="277">
        <v>0</v>
      </c>
      <c r="AO65" s="277">
        <f t="shared" si="7"/>
        <v>0</v>
      </c>
      <c r="AP65" s="277">
        <v>0</v>
      </c>
      <c r="AQ65" s="277">
        <v>0</v>
      </c>
      <c r="AR65" s="277">
        <v>0</v>
      </c>
    </row>
    <row r="66" spans="1:44" ht="36">
      <c r="A66" s="101" t="s">
        <v>284</v>
      </c>
      <c r="B66" s="102">
        <v>617.15760104134029</v>
      </c>
      <c r="C66" s="102">
        <v>697.44536929245635</v>
      </c>
      <c r="D66" s="102">
        <v>677.67482599103244</v>
      </c>
      <c r="E66" s="102">
        <v>660.25014035577647</v>
      </c>
      <c r="F66" s="102">
        <v>601.21110368845314</v>
      </c>
      <c r="G66" s="102">
        <v>612.08765899803939</v>
      </c>
      <c r="H66" s="102">
        <v>653.2453841285751</v>
      </c>
      <c r="I66" s="102">
        <v>604.21769361510655</v>
      </c>
      <c r="J66" s="102">
        <v>614.40379654370781</v>
      </c>
      <c r="K66" s="102">
        <v>588.41595919623239</v>
      </c>
      <c r="L66" s="102">
        <v>558.17186672708226</v>
      </c>
      <c r="M66" s="102">
        <v>564.52125196917586</v>
      </c>
      <c r="N66" s="102">
        <v>531.53541743160622</v>
      </c>
      <c r="O66" s="102">
        <v>552.38691716873484</v>
      </c>
      <c r="P66" s="102">
        <v>550.39149886715336</v>
      </c>
      <c r="Q66" s="102">
        <v>541.21127942515136</v>
      </c>
      <c r="R66" s="102">
        <v>510.55452749137481</v>
      </c>
      <c r="S66" s="102">
        <v>487.88654708076126</v>
      </c>
      <c r="T66" s="102">
        <v>515.39946210925325</v>
      </c>
      <c r="U66" s="102">
        <v>531.17706323023708</v>
      </c>
      <c r="V66" s="102">
        <v>572.49308501428118</v>
      </c>
      <c r="W66" s="102">
        <v>503.2963685136292</v>
      </c>
      <c r="X66" s="102">
        <v>550.2800187766918</v>
      </c>
      <c r="Y66" s="102">
        <v>580.917324179449</v>
      </c>
      <c r="Z66" s="102">
        <v>507.07263588918488</v>
      </c>
      <c r="AA66" s="102">
        <v>524.14498713662215</v>
      </c>
      <c r="AB66" s="102">
        <v>548.43538063775964</v>
      </c>
      <c r="AC66" s="102">
        <v>539.47621190584823</v>
      </c>
      <c r="AD66" s="102">
        <v>526.28337481792164</v>
      </c>
      <c r="AE66" s="102">
        <v>526.73224394258659</v>
      </c>
      <c r="AF66" s="102">
        <v>504.52465917640745</v>
      </c>
      <c r="AG66" s="102">
        <v>546.83028216183016</v>
      </c>
      <c r="AH66" s="102">
        <v>503.80954961373186</v>
      </c>
      <c r="AI66" s="102">
        <v>500.36198673815187</v>
      </c>
      <c r="AJ66" s="102">
        <v>493.89500353009691</v>
      </c>
      <c r="AK66" s="102">
        <v>494.79165672836314</v>
      </c>
      <c r="AL66" s="144">
        <v>483.30112001122575</v>
      </c>
      <c r="AM66" s="144">
        <f>SUM(AM59:AM65)</f>
        <v>458.87522582601503</v>
      </c>
      <c r="AN66" s="144">
        <v>434.44933164080436</v>
      </c>
      <c r="AO66" s="144">
        <f>SUM(AO59:AO65)</f>
        <v>427.04085013320719</v>
      </c>
      <c r="AP66" s="144">
        <v>419.63236862561013</v>
      </c>
      <c r="AQ66" s="144">
        <v>298.00255759436862</v>
      </c>
      <c r="AR66" s="144">
        <v>256.75423340122728</v>
      </c>
    </row>
    <row r="67" spans="1:44" ht="24">
      <c r="A67" s="82" t="s">
        <v>181</v>
      </c>
      <c r="B67" s="83">
        <v>50.609313075292015</v>
      </c>
      <c r="C67" s="83">
        <v>52.747947247664627</v>
      </c>
      <c r="D67" s="83">
        <v>48.522958759477767</v>
      </c>
      <c r="E67" s="83">
        <v>45.266236329157771</v>
      </c>
      <c r="F67" s="83">
        <v>42.253482138651968</v>
      </c>
      <c r="G67" s="83">
        <v>42.850468149239362</v>
      </c>
      <c r="H67" s="83">
        <v>45.809196725679563</v>
      </c>
      <c r="I67" s="83">
        <v>43.007609330473834</v>
      </c>
      <c r="J67" s="83">
        <v>45.736900337080733</v>
      </c>
      <c r="K67" s="83">
        <v>45.676600688702237</v>
      </c>
      <c r="L67" s="83">
        <v>41.517033995284976</v>
      </c>
      <c r="M67" s="83">
        <v>43.813304961288139</v>
      </c>
      <c r="N67" s="83">
        <v>39.005319035027753</v>
      </c>
      <c r="O67" s="83">
        <v>41.115558291218001</v>
      </c>
      <c r="P67" s="83">
        <v>41.115089984064625</v>
      </c>
      <c r="Q67" s="83">
        <v>41.682597605782284</v>
      </c>
      <c r="R67" s="83">
        <v>35.094406233270448</v>
      </c>
      <c r="S67" s="83">
        <v>35.042309172645034</v>
      </c>
      <c r="T67" s="83">
        <v>38.81012671121951</v>
      </c>
      <c r="U67" s="83">
        <v>39.306619662331961</v>
      </c>
      <c r="V67" s="83">
        <v>36.614195874472749</v>
      </c>
      <c r="W67" s="83">
        <v>27.123938500842701</v>
      </c>
      <c r="X67" s="83">
        <v>32.288340823808063</v>
      </c>
      <c r="Y67" s="83">
        <v>38.070760043955183</v>
      </c>
      <c r="Z67" s="83">
        <v>35.751396177069651</v>
      </c>
      <c r="AA67" s="83">
        <v>28.91135293481959</v>
      </c>
      <c r="AB67" s="83">
        <v>27.837933187009192</v>
      </c>
      <c r="AC67" s="83">
        <v>28.12920723985378</v>
      </c>
      <c r="AD67" s="83">
        <v>27.275986980482042</v>
      </c>
      <c r="AE67" s="83">
        <v>26.392885958175334</v>
      </c>
      <c r="AF67" s="83">
        <v>24.757354298987213</v>
      </c>
      <c r="AG67" s="83">
        <v>26.71908036477307</v>
      </c>
      <c r="AH67" s="83">
        <v>23.900438375649571</v>
      </c>
      <c r="AI67" s="277">
        <v>23.227997642007722</v>
      </c>
      <c r="AJ67" s="277">
        <v>23.274626256345858</v>
      </c>
      <c r="AK67" s="277">
        <v>23.136425754567671</v>
      </c>
      <c r="AL67" s="277">
        <v>21.172027922227606</v>
      </c>
      <c r="AM67" s="277">
        <f>AL67+(AN67-AL67)/2</f>
        <v>16.771614636258331</v>
      </c>
      <c r="AN67" s="277">
        <v>12.371201350289056</v>
      </c>
      <c r="AO67" s="277">
        <f>AN67+(AP67-AN67)/2</f>
        <v>10.905633763349705</v>
      </c>
      <c r="AP67" s="277">
        <v>9.4400661764103564</v>
      </c>
      <c r="AQ67" s="277">
        <v>5.0858243815805428</v>
      </c>
      <c r="AR67" s="277">
        <v>2.6348684081512932</v>
      </c>
    </row>
    <row r="68" spans="1:44">
      <c r="A68" s="82" t="s">
        <v>182</v>
      </c>
      <c r="B68" s="83">
        <v>0</v>
      </c>
      <c r="C68" s="83">
        <v>0</v>
      </c>
      <c r="D68" s="83">
        <v>0</v>
      </c>
      <c r="E68" s="83">
        <v>0</v>
      </c>
      <c r="F68" s="83">
        <v>0</v>
      </c>
      <c r="G68" s="83">
        <v>0</v>
      </c>
      <c r="H68" s="83">
        <v>0</v>
      </c>
      <c r="I68" s="83">
        <v>0</v>
      </c>
      <c r="J68" s="83">
        <v>0</v>
      </c>
      <c r="K68" s="83">
        <v>0</v>
      </c>
      <c r="L68" s="83">
        <v>0</v>
      </c>
      <c r="M68" s="83">
        <v>0</v>
      </c>
      <c r="N68" s="83">
        <v>0</v>
      </c>
      <c r="O68" s="83">
        <v>0</v>
      </c>
      <c r="P68" s="83">
        <v>0</v>
      </c>
      <c r="Q68" s="83">
        <v>0</v>
      </c>
      <c r="R68" s="83">
        <v>0</v>
      </c>
      <c r="S68" s="83">
        <v>0</v>
      </c>
      <c r="T68" s="83">
        <v>0</v>
      </c>
      <c r="U68" s="83">
        <v>0</v>
      </c>
      <c r="V68" s="83">
        <v>0</v>
      </c>
      <c r="W68" s="83">
        <v>0</v>
      </c>
      <c r="X68" s="83">
        <v>0</v>
      </c>
      <c r="Y68" s="83">
        <v>0</v>
      </c>
      <c r="Z68" s="83">
        <v>0</v>
      </c>
      <c r="AA68" s="83">
        <v>0</v>
      </c>
      <c r="AB68" s="83">
        <v>0</v>
      </c>
      <c r="AC68" s="83">
        <v>0</v>
      </c>
      <c r="AD68" s="83">
        <v>0</v>
      </c>
      <c r="AE68" s="83">
        <v>0</v>
      </c>
      <c r="AF68" s="83">
        <v>0</v>
      </c>
      <c r="AG68" s="83">
        <v>0</v>
      </c>
      <c r="AH68" s="83">
        <v>0</v>
      </c>
      <c r="AI68" s="277">
        <v>0</v>
      </c>
      <c r="AJ68" s="277">
        <v>0</v>
      </c>
      <c r="AK68" s="277">
        <v>0</v>
      </c>
      <c r="AL68" s="277">
        <v>0</v>
      </c>
      <c r="AM68" s="277">
        <f>AL68+(AN68-AL68)/2</f>
        <v>0</v>
      </c>
      <c r="AN68" s="277">
        <v>0</v>
      </c>
      <c r="AO68" s="277">
        <f>AN68+(AP68-AN68)/2</f>
        <v>0</v>
      </c>
      <c r="AP68" s="277">
        <v>0</v>
      </c>
      <c r="AQ68" s="277">
        <v>0</v>
      </c>
      <c r="AR68" s="277">
        <v>0</v>
      </c>
    </row>
    <row r="69" spans="1:44">
      <c r="A69" s="82" t="s">
        <v>184</v>
      </c>
      <c r="B69" s="83">
        <v>0</v>
      </c>
      <c r="C69" s="83">
        <v>0</v>
      </c>
      <c r="D69" s="83">
        <v>0</v>
      </c>
      <c r="E69" s="83">
        <v>0</v>
      </c>
      <c r="F69" s="83">
        <v>0</v>
      </c>
      <c r="G69" s="83">
        <v>0</v>
      </c>
      <c r="H69" s="83">
        <v>0</v>
      </c>
      <c r="I69" s="83">
        <v>0</v>
      </c>
      <c r="J69" s="83">
        <v>0</v>
      </c>
      <c r="K69" s="83">
        <v>0</v>
      </c>
      <c r="L69" s="83">
        <v>0</v>
      </c>
      <c r="M69" s="83">
        <v>0</v>
      </c>
      <c r="N69" s="83">
        <v>0</v>
      </c>
      <c r="O69" s="83">
        <v>0</v>
      </c>
      <c r="P69" s="83">
        <v>0</v>
      </c>
      <c r="Q69" s="83">
        <v>0</v>
      </c>
      <c r="R69" s="83">
        <v>0</v>
      </c>
      <c r="S69" s="83">
        <v>0</v>
      </c>
      <c r="T69" s="83">
        <v>0</v>
      </c>
      <c r="U69" s="83">
        <v>0</v>
      </c>
      <c r="V69" s="83">
        <v>0</v>
      </c>
      <c r="W69" s="83">
        <v>0</v>
      </c>
      <c r="X69" s="83">
        <v>0</v>
      </c>
      <c r="Y69" s="83">
        <v>0</v>
      </c>
      <c r="Z69" s="83">
        <v>0</v>
      </c>
      <c r="AA69" s="83">
        <v>0</v>
      </c>
      <c r="AB69" s="83">
        <v>0</v>
      </c>
      <c r="AC69" s="83">
        <v>0</v>
      </c>
      <c r="AD69" s="83">
        <v>0</v>
      </c>
      <c r="AE69" s="83">
        <v>0</v>
      </c>
      <c r="AF69" s="83">
        <v>0</v>
      </c>
      <c r="AG69" s="83">
        <v>0</v>
      </c>
      <c r="AH69" s="83">
        <v>0</v>
      </c>
      <c r="AI69" s="277">
        <v>0</v>
      </c>
      <c r="AJ69" s="277">
        <v>0</v>
      </c>
      <c r="AK69" s="277">
        <v>0</v>
      </c>
      <c r="AL69" s="277">
        <v>0</v>
      </c>
      <c r="AM69" s="277">
        <f>AL69+(AN69-AL69)/2</f>
        <v>0</v>
      </c>
      <c r="AN69" s="277">
        <v>0</v>
      </c>
      <c r="AO69" s="277">
        <f>AN69+(AP69-AN69)/2</f>
        <v>0</v>
      </c>
      <c r="AP69" s="277">
        <v>0</v>
      </c>
      <c r="AQ69" s="277">
        <v>0</v>
      </c>
      <c r="AR69" s="277">
        <v>0</v>
      </c>
    </row>
    <row r="70" spans="1:44" ht="36">
      <c r="A70" s="82" t="s">
        <v>183</v>
      </c>
      <c r="B70" s="83">
        <v>88.813717605617171</v>
      </c>
      <c r="C70" s="83">
        <v>89.152962186501114</v>
      </c>
      <c r="D70" s="83">
        <v>89.493709210735204</v>
      </c>
      <c r="E70" s="83">
        <v>89.794197328367574</v>
      </c>
      <c r="F70" s="83">
        <v>90.054879465329051</v>
      </c>
      <c r="G70" s="83">
        <v>90.310101715733865</v>
      </c>
      <c r="H70" s="83">
        <v>90.56224325297687</v>
      </c>
      <c r="I70" s="83">
        <v>90.814608869956089</v>
      </c>
      <c r="J70" s="83">
        <v>91.077078603564885</v>
      </c>
      <c r="K70" s="83">
        <v>91.441986373745209</v>
      </c>
      <c r="L70" s="83">
        <v>91.925103793821847</v>
      </c>
      <c r="M70" s="83">
        <v>92.442782733708711</v>
      </c>
      <c r="N70" s="83">
        <v>92.963823871669931</v>
      </c>
      <c r="O70" s="83">
        <v>93.472279250281332</v>
      </c>
      <c r="P70" s="83">
        <v>92.528423053215704</v>
      </c>
      <c r="Q70" s="83">
        <v>93.07731764880738</v>
      </c>
      <c r="R70" s="83">
        <v>92.109709671471251</v>
      </c>
      <c r="S70" s="83">
        <v>93.302667636058231</v>
      </c>
      <c r="T70" s="83">
        <v>91.505997038899693</v>
      </c>
      <c r="U70" s="83">
        <v>93.513860712559335</v>
      </c>
      <c r="V70" s="83">
        <v>95.503385855004865</v>
      </c>
      <c r="W70" s="83">
        <v>97.501255391485472</v>
      </c>
      <c r="X70" s="83">
        <v>99.498012451586547</v>
      </c>
      <c r="Y70" s="83">
        <v>101.50626900202728</v>
      </c>
      <c r="Z70" s="83">
        <v>103.13990734933603</v>
      </c>
      <c r="AA70" s="83">
        <v>102.07348599884814</v>
      </c>
      <c r="AB70" s="83">
        <v>101.77452842373972</v>
      </c>
      <c r="AC70" s="83">
        <v>101.2959302476104</v>
      </c>
      <c r="AD70" s="83">
        <v>101.27699084162397</v>
      </c>
      <c r="AE70" s="83">
        <v>103.28849302275431</v>
      </c>
      <c r="AF70" s="83">
        <v>106.23746101438496</v>
      </c>
      <c r="AG70" s="83">
        <v>106.17178002601817</v>
      </c>
      <c r="AH70" s="83">
        <v>106.00023922675963</v>
      </c>
      <c r="AI70" s="277">
        <v>104.98668243120756</v>
      </c>
      <c r="AJ70" s="277">
        <v>106.84136923827333</v>
      </c>
      <c r="AK70" s="277">
        <v>106.993461132443</v>
      </c>
      <c r="AL70" s="277">
        <v>103.76976228200573</v>
      </c>
      <c r="AM70" s="277">
        <f>AL70+(AN70-AL70)/2</f>
        <v>91.211333204840543</v>
      </c>
      <c r="AN70" s="277">
        <v>78.65290412767537</v>
      </c>
      <c r="AO70" s="277">
        <f>AN70+(AP70-AN70)/2</f>
        <v>78.778486274013019</v>
      </c>
      <c r="AP70" s="277">
        <v>78.904068420350669</v>
      </c>
      <c r="AQ70" s="277">
        <v>79.67776236371212</v>
      </c>
      <c r="AR70" s="277">
        <v>79.658423880515173</v>
      </c>
    </row>
    <row r="71" spans="1:44" ht="36">
      <c r="A71" s="82" t="s">
        <v>285</v>
      </c>
      <c r="B71" s="83">
        <v>31.268948479999999</v>
      </c>
      <c r="C71" s="83">
        <v>28.716587200000003</v>
      </c>
      <c r="D71" s="83">
        <v>19.383054689538397</v>
      </c>
      <c r="E71" s="83">
        <v>16.178092039213681</v>
      </c>
      <c r="F71" s="83">
        <v>7.0699506238642931</v>
      </c>
      <c r="G71" s="83">
        <v>3.6048428719065728</v>
      </c>
      <c r="H71" s="83">
        <v>6.457363000487307</v>
      </c>
      <c r="I71" s="83">
        <v>9.6554405562380818</v>
      </c>
      <c r="J71" s="83">
        <v>14.225831780412408</v>
      </c>
      <c r="K71" s="83">
        <v>13.875234048778534</v>
      </c>
      <c r="L71" s="83">
        <v>13.564037390132489</v>
      </c>
      <c r="M71" s="83">
        <v>13.311541533038357</v>
      </c>
      <c r="N71" s="83">
        <v>13.596186854048153</v>
      </c>
      <c r="O71" s="83">
        <v>14.934548738045116</v>
      </c>
      <c r="P71" s="83">
        <v>14.797558836079753</v>
      </c>
      <c r="Q71" s="83">
        <v>13.516138394785662</v>
      </c>
      <c r="R71" s="83">
        <v>13.658973126352269</v>
      </c>
      <c r="S71" s="83">
        <v>13.120948025945891</v>
      </c>
      <c r="T71" s="83">
        <v>13.375354279722357</v>
      </c>
      <c r="U71" s="83">
        <v>12.243363572746382</v>
      </c>
      <c r="V71" s="83">
        <v>12.165884726685638</v>
      </c>
      <c r="W71" s="83">
        <v>14.523881492536905</v>
      </c>
      <c r="X71" s="83">
        <v>12.329243772685102</v>
      </c>
      <c r="Y71" s="83">
        <v>12.26813412849895</v>
      </c>
      <c r="Z71" s="83">
        <v>11.699837830493935</v>
      </c>
      <c r="AA71" s="83">
        <v>11.092500004793331</v>
      </c>
      <c r="AB71" s="83">
        <v>7.4547202975601961</v>
      </c>
      <c r="AC71" s="83">
        <v>7.5510763966682486</v>
      </c>
      <c r="AD71" s="83">
        <v>8.1934481412144553</v>
      </c>
      <c r="AE71" s="83">
        <v>8.0635969858198777</v>
      </c>
      <c r="AF71" s="83">
        <v>7.2267374948117293</v>
      </c>
      <c r="AG71" s="83">
        <v>10.979830146013731</v>
      </c>
      <c r="AH71" s="83">
        <v>11.05522081334254</v>
      </c>
      <c r="AI71" s="277">
        <v>11.013091415108603</v>
      </c>
      <c r="AJ71" s="277">
        <v>10.955832051231367</v>
      </c>
      <c r="AK71" s="277">
        <v>11.645588646300242</v>
      </c>
      <c r="AL71" s="277">
        <v>11.426504665673177</v>
      </c>
      <c r="AM71" s="277">
        <f>AL71+(AN71-AL71)/2</f>
        <v>10.778701408108894</v>
      </c>
      <c r="AN71" s="277">
        <v>10.130898150544612</v>
      </c>
      <c r="AO71" s="277">
        <f>AN71+(AP71-AN71)/2</f>
        <v>10.383654001530447</v>
      </c>
      <c r="AP71" s="277">
        <v>10.636409852516282</v>
      </c>
      <c r="AQ71" s="277">
        <v>11.719357763232537</v>
      </c>
      <c r="AR71" s="277">
        <v>12.669466214828947</v>
      </c>
    </row>
    <row r="72" spans="1:44" ht="24">
      <c r="A72" s="101" t="s">
        <v>346</v>
      </c>
      <c r="B72" s="83">
        <v>170.6919791609092</v>
      </c>
      <c r="C72" s="83">
        <v>170.61749663416572</v>
      </c>
      <c r="D72" s="83">
        <v>157.39972265975138</v>
      </c>
      <c r="E72" s="83">
        <v>151.23852569673903</v>
      </c>
      <c r="F72" s="83">
        <v>139.3783122278453</v>
      </c>
      <c r="G72" s="83">
        <v>136.76541273687982</v>
      </c>
      <c r="H72" s="83">
        <v>142.82880297914375</v>
      </c>
      <c r="I72" s="83">
        <v>143.47765875666801</v>
      </c>
      <c r="J72" s="83">
        <v>151.03981072105805</v>
      </c>
      <c r="K72" s="83">
        <v>150.99382111122597</v>
      </c>
      <c r="L72" s="83">
        <v>147.00617517923931</v>
      </c>
      <c r="M72" s="83">
        <v>149.5676292280352</v>
      </c>
      <c r="N72" s="83">
        <v>145.56532976074584</v>
      </c>
      <c r="O72" s="83">
        <v>149.52238627954446</v>
      </c>
      <c r="P72" s="83">
        <v>148.4410718733601</v>
      </c>
      <c r="Q72" s="83">
        <v>148.27605364937531</v>
      </c>
      <c r="R72" s="83">
        <v>140.86308903109398</v>
      </c>
      <c r="S72" s="83">
        <v>141.46592483464917</v>
      </c>
      <c r="T72" s="83">
        <v>143.69147802984156</v>
      </c>
      <c r="U72" s="83">
        <v>145.06384394763768</v>
      </c>
      <c r="V72" s="83">
        <v>144.28346645616327</v>
      </c>
      <c r="W72" s="83">
        <v>139.14907538486509</v>
      </c>
      <c r="X72" s="83">
        <v>144.11559704807971</v>
      </c>
      <c r="Y72" s="83">
        <v>151.84516317448143</v>
      </c>
      <c r="Z72" s="83">
        <v>150.59114135689964</v>
      </c>
      <c r="AA72" s="83">
        <v>142.07733893846105</v>
      </c>
      <c r="AB72" s="83">
        <v>137.0671819083091</v>
      </c>
      <c r="AC72" s="83">
        <v>136.97621388413242</v>
      </c>
      <c r="AD72" s="83">
        <v>136.74642596332046</v>
      </c>
      <c r="AE72" s="83">
        <v>137.74497596674954</v>
      </c>
      <c r="AF72" s="83">
        <v>138.2215528081839</v>
      </c>
      <c r="AG72" s="83">
        <v>143.87069053680497</v>
      </c>
      <c r="AH72" s="83">
        <v>140.95589841575173</v>
      </c>
      <c r="AI72" s="277">
        <v>139.22777148832387</v>
      </c>
      <c r="AJ72" s="277">
        <v>141.07182754585057</v>
      </c>
      <c r="AK72" s="277">
        <v>141.77547553331092</v>
      </c>
      <c r="AL72" s="277">
        <v>136.36829486990652</v>
      </c>
      <c r="AM72" s="277"/>
      <c r="AN72" s="277">
        <v>101.15500362850905</v>
      </c>
      <c r="AO72" s="277"/>
      <c r="AP72" s="277">
        <v>98.980544449277303</v>
      </c>
      <c r="AQ72" s="277">
        <v>96.482944508525208</v>
      </c>
      <c r="AR72" s="277">
        <v>94.962758503495422</v>
      </c>
    </row>
    <row r="73" spans="1:44">
      <c r="A73" s="103" t="s">
        <v>286</v>
      </c>
      <c r="B73" s="104">
        <v>787.84958020224951</v>
      </c>
      <c r="C73" s="104">
        <v>868.06286592662207</v>
      </c>
      <c r="D73" s="104">
        <v>835.07454865078375</v>
      </c>
      <c r="E73" s="104">
        <v>811.48866605251555</v>
      </c>
      <c r="F73" s="104">
        <v>740.58941591629844</v>
      </c>
      <c r="G73" s="104">
        <v>748.85307173491924</v>
      </c>
      <c r="H73" s="104">
        <v>796.0741871077189</v>
      </c>
      <c r="I73" s="104">
        <v>747.69535237177456</v>
      </c>
      <c r="J73" s="104">
        <v>765.44360726476589</v>
      </c>
      <c r="K73" s="104">
        <v>739.40978030745839</v>
      </c>
      <c r="L73" s="104">
        <v>705.1780419063216</v>
      </c>
      <c r="M73" s="104">
        <v>714.08888119721109</v>
      </c>
      <c r="N73" s="104">
        <v>677.10074719235206</v>
      </c>
      <c r="O73" s="104">
        <v>701.90930344827927</v>
      </c>
      <c r="P73" s="104">
        <v>698.83257074051346</v>
      </c>
      <c r="Q73" s="104">
        <v>689.48733307452665</v>
      </c>
      <c r="R73" s="104">
        <v>651.41761652246873</v>
      </c>
      <c r="S73" s="104">
        <v>629.35247191541043</v>
      </c>
      <c r="T73" s="104">
        <v>659.09094013909476</v>
      </c>
      <c r="U73" s="104">
        <v>676.24090717787476</v>
      </c>
      <c r="V73" s="104">
        <v>716.77655147044447</v>
      </c>
      <c r="W73" s="104">
        <v>642.44544389849432</v>
      </c>
      <c r="X73" s="104">
        <v>694.39561582477154</v>
      </c>
      <c r="Y73" s="104">
        <v>732.7624873539304</v>
      </c>
      <c r="Z73" s="104">
        <v>657.66377724608446</v>
      </c>
      <c r="AA73" s="104">
        <v>666.22232607508317</v>
      </c>
      <c r="AB73" s="104">
        <v>685.5025625460687</v>
      </c>
      <c r="AC73" s="104">
        <v>676.45242578998068</v>
      </c>
      <c r="AD73" s="104">
        <v>663.0298007812421</v>
      </c>
      <c r="AE73" s="104">
        <v>664.4772199093361</v>
      </c>
      <c r="AF73" s="104">
        <v>642.74621198459135</v>
      </c>
      <c r="AG73" s="104">
        <v>690.70097269863516</v>
      </c>
      <c r="AH73" s="104">
        <v>644.76544802948365</v>
      </c>
      <c r="AI73" s="104">
        <v>639.58975822647574</v>
      </c>
      <c r="AJ73" s="104">
        <v>634.96683107594754</v>
      </c>
      <c r="AK73" s="104">
        <v>636.56713226167403</v>
      </c>
      <c r="AL73" s="144">
        <v>619.6694148811323</v>
      </c>
      <c r="AM73" s="144">
        <f>AM66+AM67+SUM(AM68:AM71)</f>
        <v>577.63687507522286</v>
      </c>
      <c r="AN73" s="144">
        <v>535.60433526931342</v>
      </c>
      <c r="AO73" s="144">
        <f>AO66+AO67+SUM(AO68:AO71)</f>
        <v>527.10862417210035</v>
      </c>
      <c r="AP73" s="144">
        <v>518.61291307488739</v>
      </c>
      <c r="AQ73" s="144">
        <v>394.4855021028938</v>
      </c>
      <c r="AR73" s="144">
        <v>351.7169919047227</v>
      </c>
    </row>
    <row r="74" spans="1:44" ht="15">
      <c r="A74" s="500"/>
      <c r="B74" s="500"/>
      <c r="C74" s="500"/>
      <c r="D74" s="500"/>
      <c r="E74" s="500"/>
      <c r="F74" s="500"/>
      <c r="G74" s="500"/>
      <c r="H74" s="500"/>
      <c r="I74" s="500"/>
      <c r="J74" s="500"/>
      <c r="K74" s="500"/>
      <c r="L74" s="500"/>
      <c r="M74" s="500"/>
      <c r="N74" s="500"/>
      <c r="O74" s="500"/>
      <c r="P74" s="500"/>
      <c r="Q74" s="500"/>
      <c r="R74" s="500"/>
      <c r="S74" s="500"/>
      <c r="T74" s="500"/>
      <c r="U74" s="500"/>
      <c r="V74" s="500"/>
      <c r="W74" s="500"/>
      <c r="X74" s="500"/>
      <c r="Y74" s="500"/>
      <c r="Z74" s="500"/>
      <c r="AA74" s="500"/>
      <c r="AB74" s="500"/>
      <c r="AC74" s="61"/>
      <c r="AD74" s="61"/>
      <c r="AE74" s="61"/>
      <c r="AF74" s="61"/>
      <c r="AG74" s="61"/>
      <c r="AH74" s="61"/>
    </row>
    <row r="75" spans="1:44">
      <c r="A75" s="105" t="s">
        <v>268</v>
      </c>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506" t="s">
        <v>262</v>
      </c>
      <c r="AM75" s="506"/>
      <c r="AN75" s="506"/>
      <c r="AO75" s="506"/>
      <c r="AP75" s="506"/>
      <c r="AQ75" s="506"/>
      <c r="AR75" s="506"/>
    </row>
    <row r="76" spans="1:44" ht="52.8">
      <c r="A76" s="66" t="s">
        <v>341</v>
      </c>
      <c r="B76" s="393">
        <v>1990</v>
      </c>
      <c r="C76" s="393">
        <v>1991</v>
      </c>
      <c r="D76" s="393">
        <v>1992</v>
      </c>
      <c r="E76" s="393">
        <v>1993</v>
      </c>
      <c r="F76" s="393">
        <v>1994</v>
      </c>
      <c r="G76" s="393">
        <v>1995</v>
      </c>
      <c r="H76" s="393">
        <v>1996</v>
      </c>
      <c r="I76" s="393">
        <v>1997</v>
      </c>
      <c r="J76" s="393">
        <v>1998</v>
      </c>
      <c r="K76" s="393">
        <v>1999</v>
      </c>
      <c r="L76" s="393">
        <v>2000</v>
      </c>
      <c r="M76" s="393">
        <v>2001</v>
      </c>
      <c r="N76" s="393">
        <v>2002</v>
      </c>
      <c r="O76" s="393">
        <v>2003</v>
      </c>
      <c r="P76" s="393">
        <v>2004</v>
      </c>
      <c r="Q76" s="393">
        <v>2005</v>
      </c>
      <c r="R76" s="393">
        <v>2006</v>
      </c>
      <c r="S76" s="393">
        <v>2007</v>
      </c>
      <c r="T76" s="393">
        <v>2008</v>
      </c>
      <c r="U76" s="393">
        <v>2009</v>
      </c>
      <c r="V76" s="393">
        <v>2010</v>
      </c>
      <c r="W76" s="393">
        <v>2011</v>
      </c>
      <c r="X76" s="393">
        <v>2012</v>
      </c>
      <c r="Y76" s="393">
        <v>2013</v>
      </c>
      <c r="Z76" s="393">
        <v>2014</v>
      </c>
      <c r="AA76" s="393">
        <v>2015</v>
      </c>
      <c r="AB76" s="393">
        <v>2016</v>
      </c>
      <c r="AC76" s="393">
        <v>2017</v>
      </c>
      <c r="AD76" s="393">
        <v>2018</v>
      </c>
      <c r="AE76" s="393">
        <v>2019</v>
      </c>
      <c r="AF76" s="393">
        <v>2020</v>
      </c>
      <c r="AG76" s="397">
        <v>2021</v>
      </c>
      <c r="AH76" s="397">
        <v>2022</v>
      </c>
      <c r="AI76" s="393">
        <v>2023</v>
      </c>
      <c r="AJ76" s="394">
        <v>2024</v>
      </c>
      <c r="AK76" s="393">
        <v>2025</v>
      </c>
      <c r="AL76" s="394">
        <v>2026</v>
      </c>
      <c r="AM76" s="394">
        <v>2027</v>
      </c>
      <c r="AN76" s="393">
        <v>2028</v>
      </c>
      <c r="AO76" s="394">
        <v>2029</v>
      </c>
      <c r="AP76" s="393">
        <v>2030</v>
      </c>
      <c r="AQ76" s="395">
        <v>2040</v>
      </c>
      <c r="AR76" s="396">
        <v>2050</v>
      </c>
    </row>
    <row r="77" spans="1:44">
      <c r="A77" s="91" t="s">
        <v>217</v>
      </c>
      <c r="B77" s="83">
        <v>2289.9478914142633</v>
      </c>
      <c r="C77" s="83">
        <v>2236.6298153506832</v>
      </c>
      <c r="D77" s="83">
        <v>2175.9710938627341</v>
      </c>
      <c r="E77" s="83">
        <v>2148.1409263609039</v>
      </c>
      <c r="F77" s="83">
        <v>2151.2073909688179</v>
      </c>
      <c r="G77" s="83">
        <v>2147.3366717252056</v>
      </c>
      <c r="H77" s="83">
        <v>2130.6238710157827</v>
      </c>
      <c r="I77" s="83">
        <v>2091.3733931216971</v>
      </c>
      <c r="J77" s="83">
        <v>2068.0258647974133</v>
      </c>
      <c r="K77" s="83">
        <v>2057.0610748038926</v>
      </c>
      <c r="L77" s="83">
        <v>2153.1458317051038</v>
      </c>
      <c r="M77" s="83">
        <v>2134.1541063783066</v>
      </c>
      <c r="N77" s="83">
        <v>2076.0202189586771</v>
      </c>
      <c r="O77" s="83">
        <v>2000.0675320263458</v>
      </c>
      <c r="P77" s="83">
        <v>1975.2743733151713</v>
      </c>
      <c r="Q77" s="83">
        <v>1972.2006335745109</v>
      </c>
      <c r="R77" s="83">
        <v>1977.0818655712599</v>
      </c>
      <c r="S77" s="83">
        <v>1996.0806584071236</v>
      </c>
      <c r="T77" s="83">
        <v>2042.1267317666925</v>
      </c>
      <c r="U77" s="83">
        <v>2009.2684910345833</v>
      </c>
      <c r="V77" s="83">
        <v>1982.1217229494096</v>
      </c>
      <c r="W77" s="83">
        <v>1949.8734192456102</v>
      </c>
      <c r="X77" s="83">
        <v>1933.396462259537</v>
      </c>
      <c r="Y77" s="83">
        <v>1930.1661245828213</v>
      </c>
      <c r="Z77" s="83">
        <v>1947.7506385982415</v>
      </c>
      <c r="AA77" s="83">
        <v>1951.5889481773524</v>
      </c>
      <c r="AB77" s="83">
        <v>1935.3972671961276</v>
      </c>
      <c r="AC77" s="83">
        <v>1894.5282095795146</v>
      </c>
      <c r="AD77" s="83">
        <v>1862.085020344696</v>
      </c>
      <c r="AE77" s="83">
        <v>1812.8957448300127</v>
      </c>
      <c r="AF77" s="83">
        <v>1774.8265414197504</v>
      </c>
      <c r="AG77" s="83">
        <v>1716.9372377009374</v>
      </c>
      <c r="AH77" s="83">
        <v>1674.949586006557</v>
      </c>
      <c r="AI77" s="277">
        <v>1639.2049612537726</v>
      </c>
      <c r="AJ77" s="277">
        <v>1610.1128812492116</v>
      </c>
      <c r="AK77" s="277">
        <v>1564.1239480943602</v>
      </c>
      <c r="AL77" s="277">
        <v>1523.6538968129107</v>
      </c>
      <c r="AM77" s="277">
        <f>AL77+(AN77-AL77)/2</f>
        <v>1426.5179390195831</v>
      </c>
      <c r="AN77" s="277">
        <v>1329.3819812262554</v>
      </c>
      <c r="AO77" s="277">
        <f>AN77+(AP77-AN77)/2</f>
        <v>1276.1600596912899</v>
      </c>
      <c r="AP77" s="277">
        <v>1222.9381381563242</v>
      </c>
      <c r="AQ77" s="277">
        <v>709.28635384723475</v>
      </c>
      <c r="AR77" s="277">
        <v>291.91725039396493</v>
      </c>
    </row>
    <row r="78" spans="1:44">
      <c r="A78" s="91" t="s">
        <v>218</v>
      </c>
      <c r="B78" s="83">
        <v>78.555135311950934</v>
      </c>
      <c r="C78" s="83">
        <v>79.652577900661527</v>
      </c>
      <c r="D78" s="83">
        <v>83.333795189864986</v>
      </c>
      <c r="E78" s="83">
        <v>86.239880489741765</v>
      </c>
      <c r="F78" s="83">
        <v>88.163040777594077</v>
      </c>
      <c r="G78" s="83">
        <v>85.586073631181065</v>
      </c>
      <c r="H78" s="83">
        <v>84.286438281983223</v>
      </c>
      <c r="I78" s="83">
        <v>81.062705056419972</v>
      </c>
      <c r="J78" s="83">
        <v>77.694525098544801</v>
      </c>
      <c r="K78" s="83">
        <v>73.545996547915422</v>
      </c>
      <c r="L78" s="83">
        <v>69.698911614059227</v>
      </c>
      <c r="M78" s="83">
        <v>64.624545268968831</v>
      </c>
      <c r="N78" s="83">
        <v>61.761983669443538</v>
      </c>
      <c r="O78" s="83">
        <v>57.738152056165575</v>
      </c>
      <c r="P78" s="83">
        <v>54.220070464499095</v>
      </c>
      <c r="Q78" s="83">
        <v>50.891802544483802</v>
      </c>
      <c r="R78" s="83">
        <v>47.575573921301363</v>
      </c>
      <c r="S78" s="83">
        <v>44.832509978038189</v>
      </c>
      <c r="T78" s="83">
        <v>42.005316787512847</v>
      </c>
      <c r="U78" s="83">
        <v>40.328764031020683</v>
      </c>
      <c r="V78" s="83">
        <v>38.417464322851643</v>
      </c>
      <c r="W78" s="83">
        <v>37.042701381398743</v>
      </c>
      <c r="X78" s="83">
        <v>35.370865725976998</v>
      </c>
      <c r="Y78" s="83">
        <v>33.701439606843515</v>
      </c>
      <c r="Z78" s="83">
        <v>33.043992873243162</v>
      </c>
      <c r="AA78" s="83">
        <v>32.06205325607673</v>
      </c>
      <c r="AB78" s="83">
        <v>31.965143563556552</v>
      </c>
      <c r="AC78" s="83">
        <v>31.522320520473485</v>
      </c>
      <c r="AD78" s="83">
        <v>31.418882473778822</v>
      </c>
      <c r="AE78" s="83">
        <v>31.457021524686422</v>
      </c>
      <c r="AF78" s="83">
        <v>31.801826981594889</v>
      </c>
      <c r="AG78" s="83">
        <v>31.80847176666574</v>
      </c>
      <c r="AH78" s="83">
        <v>30.762759261937745</v>
      </c>
      <c r="AI78" s="277">
        <v>30.152508379428308</v>
      </c>
      <c r="AJ78" s="277">
        <v>30.380799842317572</v>
      </c>
      <c r="AK78" s="277">
        <v>30.164570816828896</v>
      </c>
      <c r="AL78" s="277">
        <v>30.181744765251928</v>
      </c>
      <c r="AM78" s="277">
        <f>AL78+(AN78-AL78)/2</f>
        <v>30.02572390463029</v>
      </c>
      <c r="AN78" s="277">
        <v>29.869703044008656</v>
      </c>
      <c r="AO78" s="277">
        <f>AN78+(AP78-AN78)/2</f>
        <v>29.808470322230779</v>
      </c>
      <c r="AP78" s="277">
        <v>29.747237600452902</v>
      </c>
      <c r="AQ78" s="277">
        <v>26.174673471738348</v>
      </c>
      <c r="AR78" s="277">
        <v>22.675475265870642</v>
      </c>
    </row>
    <row r="79" spans="1:44">
      <c r="A79" s="91" t="s">
        <v>219</v>
      </c>
      <c r="B79" s="83">
        <v>60.503220985694519</v>
      </c>
      <c r="C79" s="83">
        <v>62.278780512574137</v>
      </c>
      <c r="D79" s="83">
        <v>63.934113140096855</v>
      </c>
      <c r="E79" s="83">
        <v>65.37989129307303</v>
      </c>
      <c r="F79" s="83">
        <v>66.714120800994436</v>
      </c>
      <c r="G79" s="83">
        <v>68.320057279961404</v>
      </c>
      <c r="H79" s="83">
        <v>69.412276455596725</v>
      </c>
      <c r="I79" s="83">
        <v>70.614024699003721</v>
      </c>
      <c r="J79" s="83">
        <v>70.739224030576693</v>
      </c>
      <c r="K79" s="83">
        <v>68.44554029341613</v>
      </c>
      <c r="L79" s="83">
        <v>66.338934081070136</v>
      </c>
      <c r="M79" s="83">
        <v>67.178121971564408</v>
      </c>
      <c r="N79" s="83">
        <v>65.32974878765836</v>
      </c>
      <c r="O79" s="83">
        <v>63.938978752610112</v>
      </c>
      <c r="P79" s="83">
        <v>60.48889990095492</v>
      </c>
      <c r="Q79" s="83">
        <v>58.504997231574066</v>
      </c>
      <c r="R79" s="83">
        <v>56.723876606842943</v>
      </c>
      <c r="S79" s="83">
        <v>57.413069223368126</v>
      </c>
      <c r="T79" s="83">
        <v>57.363101973518333</v>
      </c>
      <c r="U79" s="83">
        <v>57.353229429055148</v>
      </c>
      <c r="V79" s="83">
        <v>57.722441707105766</v>
      </c>
      <c r="W79" s="83">
        <v>57.120349265051019</v>
      </c>
      <c r="X79" s="83">
        <v>57.26301276984578</v>
      </c>
      <c r="Y79" s="83">
        <v>58.153400478821567</v>
      </c>
      <c r="Z79" s="83">
        <v>58.293692728628429</v>
      </c>
      <c r="AA79" s="83">
        <v>58.263131159464088</v>
      </c>
      <c r="AB79" s="83">
        <v>56.707862254214611</v>
      </c>
      <c r="AC79" s="83">
        <v>55.937395137681378</v>
      </c>
      <c r="AD79" s="83">
        <v>53.85713336863482</v>
      </c>
      <c r="AE79" s="83">
        <v>52.462564975592365</v>
      </c>
      <c r="AF79" s="83">
        <v>51.905582690267003</v>
      </c>
      <c r="AG79" s="83">
        <v>51.702969225192319</v>
      </c>
      <c r="AH79" s="83">
        <v>48.935063474543277</v>
      </c>
      <c r="AI79" s="277">
        <v>47.054522235399268</v>
      </c>
      <c r="AJ79" s="277">
        <v>48.493205746524367</v>
      </c>
      <c r="AK79" s="277">
        <v>49.405877714494203</v>
      </c>
      <c r="AL79" s="277">
        <v>49.252988769982991</v>
      </c>
      <c r="AM79" s="277">
        <f>AL79+(AN79-AL79)/2</f>
        <v>48.803078341683609</v>
      </c>
      <c r="AN79" s="277">
        <v>48.353167913384226</v>
      </c>
      <c r="AO79" s="277">
        <f>AN79+(AP79-AN79)/2</f>
        <v>48.068294620645744</v>
      </c>
      <c r="AP79" s="277">
        <v>47.783421327907256</v>
      </c>
      <c r="AQ79" s="277">
        <v>41.821676630225781</v>
      </c>
      <c r="AR79" s="277">
        <v>35.85993193254432</v>
      </c>
    </row>
    <row r="80" spans="1:44">
      <c r="A80" s="91" t="s">
        <v>220</v>
      </c>
      <c r="B80" s="83">
        <v>1425.7120723770395</v>
      </c>
      <c r="C80" s="83">
        <v>1410.618019285263</v>
      </c>
      <c r="D80" s="83">
        <v>1396.2907095776993</v>
      </c>
      <c r="E80" s="83">
        <v>1396.6113946222656</v>
      </c>
      <c r="F80" s="83">
        <v>1408.6910355793589</v>
      </c>
      <c r="G80" s="83">
        <v>1418.6146646441873</v>
      </c>
      <c r="H80" s="83">
        <v>1422.9204206717457</v>
      </c>
      <c r="I80" s="83">
        <v>1412.1591989450139</v>
      </c>
      <c r="J80" s="83">
        <v>1403.6239342260619</v>
      </c>
      <c r="K80" s="83">
        <v>1389.2020522765508</v>
      </c>
      <c r="L80" s="83">
        <v>1408.03967798249</v>
      </c>
      <c r="M80" s="83">
        <v>1398.7767094425978</v>
      </c>
      <c r="N80" s="83">
        <v>1374.6789083284516</v>
      </c>
      <c r="O80" s="83">
        <v>1341.7037182052354</v>
      </c>
      <c r="P80" s="83">
        <v>1318.0810300196486</v>
      </c>
      <c r="Q80" s="83">
        <v>1306.5958243588102</v>
      </c>
      <c r="R80" s="83">
        <v>1293.500816670401</v>
      </c>
      <c r="S80" s="83">
        <v>1297.5308360670713</v>
      </c>
      <c r="T80" s="83">
        <v>1303.8956971689679</v>
      </c>
      <c r="U80" s="83">
        <v>1285.3633668496966</v>
      </c>
      <c r="V80" s="83">
        <v>1274.5090927122503</v>
      </c>
      <c r="W80" s="83">
        <v>1252.2666833048588</v>
      </c>
      <c r="X80" s="83">
        <v>1230.9653130877098</v>
      </c>
      <c r="Y80" s="83">
        <v>1219.0340752564769</v>
      </c>
      <c r="Z80" s="83">
        <v>1220.1026117946858</v>
      </c>
      <c r="AA80" s="83">
        <v>1210.9899374544195</v>
      </c>
      <c r="AB80" s="83">
        <v>1195.0971814613645</v>
      </c>
      <c r="AC80" s="83">
        <v>1177.68700377697</v>
      </c>
      <c r="AD80" s="83">
        <v>1165.0775456853758</v>
      </c>
      <c r="AE80" s="83">
        <v>1140.9853068623067</v>
      </c>
      <c r="AF80" s="83">
        <v>1127.6515569105441</v>
      </c>
      <c r="AG80" s="83">
        <v>1106.9207921856962</v>
      </c>
      <c r="AH80" s="83">
        <v>1073.4925256371794</v>
      </c>
      <c r="AI80" s="277">
        <v>1045.7499421067293</v>
      </c>
      <c r="AJ80" s="277">
        <v>1039.9069433153106</v>
      </c>
      <c r="AK80" s="277">
        <v>1026.3793136820964</v>
      </c>
      <c r="AL80" s="277">
        <v>1005.9354613048898</v>
      </c>
      <c r="AM80" s="277">
        <f>AL80+(AN80-AL80)/2</f>
        <v>961.08770913916305</v>
      </c>
      <c r="AN80" s="277">
        <v>916.23995697343628</v>
      </c>
      <c r="AO80" s="277">
        <f>AN80+(AP80-AN80)/2</f>
        <v>886.59283162263796</v>
      </c>
      <c r="AP80" s="277">
        <v>856.94570627183964</v>
      </c>
      <c r="AQ80" s="277">
        <v>610.58477431066194</v>
      </c>
      <c r="AR80" s="277">
        <v>396.17540337123575</v>
      </c>
    </row>
    <row r="81" spans="1:45">
      <c r="A81" s="107" t="s">
        <v>287</v>
      </c>
      <c r="B81" s="108">
        <v>3854.7183200889481</v>
      </c>
      <c r="C81" s="108">
        <v>3789.1791930491818</v>
      </c>
      <c r="D81" s="108">
        <v>3719.5297117703949</v>
      </c>
      <c r="E81" s="108">
        <v>3696.3720927659842</v>
      </c>
      <c r="F81" s="108">
        <v>3714.7755881267653</v>
      </c>
      <c r="G81" s="108">
        <v>3719.8574672805353</v>
      </c>
      <c r="H81" s="108">
        <v>3707.2430064251084</v>
      </c>
      <c r="I81" s="108">
        <v>3655.2093218221348</v>
      </c>
      <c r="J81" s="108">
        <v>3620.0835481525969</v>
      </c>
      <c r="K81" s="108">
        <v>3588.2546639217753</v>
      </c>
      <c r="L81" s="108">
        <v>3697.2233553827232</v>
      </c>
      <c r="M81" s="108">
        <v>3664.7334830614373</v>
      </c>
      <c r="N81" s="108">
        <v>3577.7908597442306</v>
      </c>
      <c r="O81" s="108">
        <v>3463.4483810403572</v>
      </c>
      <c r="P81" s="108">
        <v>3408.0643737002738</v>
      </c>
      <c r="Q81" s="108">
        <v>3388.1932577093789</v>
      </c>
      <c r="R81" s="108">
        <v>3374.8821327698051</v>
      </c>
      <c r="S81" s="108">
        <v>3395.857073675601</v>
      </c>
      <c r="T81" s="108">
        <v>3445.3908476966917</v>
      </c>
      <c r="U81" s="108">
        <v>3392.3138513443564</v>
      </c>
      <c r="V81" s="108">
        <v>3352.7707216916169</v>
      </c>
      <c r="W81" s="108">
        <v>3296.3031531969191</v>
      </c>
      <c r="X81" s="108">
        <v>3256.9956538430697</v>
      </c>
      <c r="Y81" s="108">
        <v>3241.0550399249632</v>
      </c>
      <c r="Z81" s="108">
        <v>3259.190935994799</v>
      </c>
      <c r="AA81" s="108">
        <v>3252.9040700473129</v>
      </c>
      <c r="AB81" s="108">
        <v>3219.1674544752632</v>
      </c>
      <c r="AC81" s="108">
        <v>3159.674929014639</v>
      </c>
      <c r="AD81" s="108">
        <v>3112.4385818724854</v>
      </c>
      <c r="AE81" s="108">
        <v>3037.8006381925984</v>
      </c>
      <c r="AF81" s="108">
        <v>2986.185508002156</v>
      </c>
      <c r="AG81" s="108">
        <v>2907.3694708784915</v>
      </c>
      <c r="AH81" s="108">
        <v>2828.1399343802177</v>
      </c>
      <c r="AI81" s="281">
        <v>2762.1619339753297</v>
      </c>
      <c r="AJ81" s="281">
        <v>2728.8938301533644</v>
      </c>
      <c r="AK81" s="281">
        <v>2670.0737103077799</v>
      </c>
      <c r="AL81" s="281">
        <v>2609.0240916530356</v>
      </c>
      <c r="AM81" s="281">
        <f>SUM(AM77:AM80)</f>
        <v>2466.43445040506</v>
      </c>
      <c r="AN81" s="281">
        <v>2323.8448091570849</v>
      </c>
      <c r="AO81" s="281">
        <f>SUM(AO77:AO80)</f>
        <v>2240.6296562568041</v>
      </c>
      <c r="AP81" s="281">
        <v>2157.4145033565242</v>
      </c>
      <c r="AQ81" s="281">
        <v>1387.8674782598607</v>
      </c>
      <c r="AR81" s="281">
        <v>746.62806096361567</v>
      </c>
    </row>
    <row r="82" spans="1:45">
      <c r="A82" s="91" t="s">
        <v>222</v>
      </c>
      <c r="B82" s="83">
        <v>11260.121248724352</v>
      </c>
      <c r="C82" s="83">
        <v>11208.667797813132</v>
      </c>
      <c r="D82" s="83">
        <v>11013.6915401353</v>
      </c>
      <c r="E82" s="83">
        <v>10286.186207482957</v>
      </c>
      <c r="F82" s="83">
        <v>9539.4966322823475</v>
      </c>
      <c r="G82" s="83">
        <v>9725.0242085251193</v>
      </c>
      <c r="H82" s="83">
        <v>10336.921848461661</v>
      </c>
      <c r="I82" s="83">
        <v>10518.142728821969</v>
      </c>
      <c r="J82" s="83">
        <v>10479.653467767572</v>
      </c>
      <c r="K82" s="83">
        <v>10597.426209798314</v>
      </c>
      <c r="L82" s="83">
        <v>10665.089977336862</v>
      </c>
      <c r="M82" s="83">
        <v>10763.752460594982</v>
      </c>
      <c r="N82" s="83">
        <v>10396.461670286712</v>
      </c>
      <c r="O82" s="83">
        <v>10037.189268290624</v>
      </c>
      <c r="P82" s="83">
        <v>10083.840428915748</v>
      </c>
      <c r="Q82" s="83">
        <v>10184.126387454244</v>
      </c>
      <c r="R82" s="83">
        <v>9826.5121478587535</v>
      </c>
      <c r="S82" s="83">
        <v>9462.2033407729687</v>
      </c>
      <c r="T82" s="83">
        <v>10012.162334516386</v>
      </c>
      <c r="U82" s="83">
        <v>9799.0634855613262</v>
      </c>
      <c r="V82" s="83">
        <v>8844.2750597914892</v>
      </c>
      <c r="W82" s="83">
        <v>9531.3511580378072</v>
      </c>
      <c r="X82" s="83">
        <v>9381.2659540989698</v>
      </c>
      <c r="Y82" s="83">
        <v>8998.3282700602285</v>
      </c>
      <c r="Z82" s="83">
        <v>9328.9260370977954</v>
      </c>
      <c r="AA82" s="83">
        <v>9384.7255108366189</v>
      </c>
      <c r="AB82" s="83">
        <v>9383.8853162136857</v>
      </c>
      <c r="AC82" s="83">
        <v>9279.9721384668792</v>
      </c>
      <c r="AD82" s="83">
        <v>9323.6432038728453</v>
      </c>
      <c r="AE82" s="83">
        <v>9239.8970425322714</v>
      </c>
      <c r="AF82" s="83">
        <v>9069.9453288267341</v>
      </c>
      <c r="AG82" s="83">
        <v>8872.3108903138746</v>
      </c>
      <c r="AH82" s="83">
        <v>8526.2524174359605</v>
      </c>
      <c r="AI82" s="277">
        <v>7976.3080712952324</v>
      </c>
      <c r="AJ82" s="277">
        <v>7654.9169650475351</v>
      </c>
      <c r="AK82" s="277">
        <v>7960.9017438129094</v>
      </c>
      <c r="AL82" s="277">
        <v>7743.6328426043347</v>
      </c>
      <c r="AM82" s="277">
        <f>AL82+(AN82-AL82)/2</f>
        <v>7271.6196319788496</v>
      </c>
      <c r="AN82" s="277">
        <v>6799.6064213533646</v>
      </c>
      <c r="AO82" s="277">
        <f>AN82+(AP82-AN82)/2</f>
        <v>6577.9541364317192</v>
      </c>
      <c r="AP82" s="277">
        <v>6356.301851510073</v>
      </c>
      <c r="AQ82" s="277">
        <v>5296.3527082265764</v>
      </c>
      <c r="AR82" s="277">
        <v>4236.4035649430816</v>
      </c>
    </row>
    <row r="83" spans="1:45" ht="24" customHeight="1">
      <c r="A83" s="91" t="s">
        <v>288</v>
      </c>
      <c r="B83" s="83">
        <v>1517.9635168484128</v>
      </c>
      <c r="C83" s="83">
        <v>1504.6819208212537</v>
      </c>
      <c r="D83" s="83">
        <v>1492.2012072481714</v>
      </c>
      <c r="E83" s="83">
        <v>1497.754285925547</v>
      </c>
      <c r="F83" s="83">
        <v>1514.4828782768802</v>
      </c>
      <c r="G83" s="83">
        <v>1530.206415149629</v>
      </c>
      <c r="H83" s="83">
        <v>1541.6065514154104</v>
      </c>
      <c r="I83" s="83">
        <v>1537.0831635399791</v>
      </c>
      <c r="J83" s="83">
        <v>1539.4098779416279</v>
      </c>
      <c r="K83" s="83">
        <v>1530.4373684152711</v>
      </c>
      <c r="L83" s="83">
        <v>1561.7618896693373</v>
      </c>
      <c r="M83" s="83">
        <v>1551.3122727926143</v>
      </c>
      <c r="N83" s="83">
        <v>1529.9476921706284</v>
      </c>
      <c r="O83" s="83">
        <v>1494.2833466909112</v>
      </c>
      <c r="P83" s="83">
        <v>1466.6731351706262</v>
      </c>
      <c r="Q83" s="83">
        <v>1461.6186645383209</v>
      </c>
      <c r="R83" s="83">
        <v>1453.2141319424363</v>
      </c>
      <c r="S83" s="83">
        <v>1473.0546106725058</v>
      </c>
      <c r="T83" s="83">
        <v>1501.1032916784752</v>
      </c>
      <c r="U83" s="83">
        <v>1476.4906106645376</v>
      </c>
      <c r="V83" s="83">
        <v>1477.8212249573403</v>
      </c>
      <c r="W83" s="83">
        <v>1472.4664386430684</v>
      </c>
      <c r="X83" s="83">
        <v>1468.4396128411352</v>
      </c>
      <c r="Y83" s="83">
        <v>1465.1260314008407</v>
      </c>
      <c r="Z83" s="83">
        <v>1482.8908059012135</v>
      </c>
      <c r="AA83" s="83">
        <v>1498.2961613403693</v>
      </c>
      <c r="AB83" s="83">
        <v>1487.6922981719147</v>
      </c>
      <c r="AC83" s="83">
        <v>1483.9925685763219</v>
      </c>
      <c r="AD83" s="83">
        <v>1489.1095785299497</v>
      </c>
      <c r="AE83" s="83">
        <v>1474.2858978934428</v>
      </c>
      <c r="AF83" s="83">
        <v>1470.5044594348606</v>
      </c>
      <c r="AG83" s="83">
        <v>1476.3054073609753</v>
      </c>
      <c r="AH83" s="83">
        <v>1473.0046160424895</v>
      </c>
      <c r="AI83" s="277">
        <v>1492.4604533925587</v>
      </c>
      <c r="AJ83" s="277">
        <v>1480.6757930621563</v>
      </c>
      <c r="AK83" s="277">
        <v>1461.677195549928</v>
      </c>
      <c r="AL83" s="277">
        <v>1512.8762088676547</v>
      </c>
      <c r="AM83" s="277">
        <f>AL83+(AN83-AL83)/2</f>
        <v>1635.2790985273671</v>
      </c>
      <c r="AN83" s="277">
        <v>1757.6819881870795</v>
      </c>
      <c r="AO83" s="277">
        <f>AN83+(AP83-AN83)/2</f>
        <v>1812.7664785057732</v>
      </c>
      <c r="AP83" s="277">
        <v>1867.8509688244669</v>
      </c>
      <c r="AQ83" s="277">
        <v>2493.5293432815183</v>
      </c>
      <c r="AR83" s="277">
        <v>3107.5779937191041</v>
      </c>
    </row>
    <row r="84" spans="1:45">
      <c r="A84" s="91" t="s">
        <v>289</v>
      </c>
      <c r="B84" s="83">
        <v>1779.6032961060116</v>
      </c>
      <c r="C84" s="83">
        <v>1762.0396887903735</v>
      </c>
      <c r="D84" s="83">
        <v>1756.715703690493</v>
      </c>
      <c r="E84" s="83">
        <v>1746.6312128817781</v>
      </c>
      <c r="F84" s="83">
        <v>1752.139961889241</v>
      </c>
      <c r="G84" s="83">
        <v>1763.7300640691551</v>
      </c>
      <c r="H84" s="83">
        <v>1770.377623763846</v>
      </c>
      <c r="I84" s="83">
        <v>1756.1590014071974</v>
      </c>
      <c r="J84" s="83">
        <v>1746.8347849226955</v>
      </c>
      <c r="K84" s="83">
        <v>1749.9466056253218</v>
      </c>
      <c r="L84" s="83">
        <v>1807.9826591694609</v>
      </c>
      <c r="M84" s="83">
        <v>1819.9287455076133</v>
      </c>
      <c r="N84" s="83">
        <v>1768.1525809515369</v>
      </c>
      <c r="O84" s="83">
        <v>1714.5500230036298</v>
      </c>
      <c r="P84" s="83">
        <v>1683.738267136504</v>
      </c>
      <c r="Q84" s="83">
        <v>1669.2698800475832</v>
      </c>
      <c r="R84" s="83">
        <v>1673.6811032982307</v>
      </c>
      <c r="S84" s="83">
        <v>1683.9104186529128</v>
      </c>
      <c r="T84" s="83">
        <v>1679.5549586148798</v>
      </c>
      <c r="U84" s="83">
        <v>1673.8284204238096</v>
      </c>
      <c r="V84" s="83">
        <v>1656.0696789057999</v>
      </c>
      <c r="W84" s="83">
        <v>1621.0330024647531</v>
      </c>
      <c r="X84" s="83">
        <v>1611.1118152819361</v>
      </c>
      <c r="Y84" s="83">
        <v>1627.8093587864685</v>
      </c>
      <c r="Z84" s="83">
        <v>1649.4801535423994</v>
      </c>
      <c r="AA84" s="83">
        <v>1663.3182106613142</v>
      </c>
      <c r="AB84" s="83">
        <v>1661.130099212854</v>
      </c>
      <c r="AC84" s="83">
        <v>1644.0833362836004</v>
      </c>
      <c r="AD84" s="83">
        <v>1610.9506435995543</v>
      </c>
      <c r="AE84" s="83">
        <v>1581.9883105338304</v>
      </c>
      <c r="AF84" s="83">
        <v>1550.8469502797857</v>
      </c>
      <c r="AG84" s="83">
        <v>1513.4285137120385</v>
      </c>
      <c r="AH84" s="83">
        <v>1482.6170583255744</v>
      </c>
      <c r="AI84" s="277">
        <v>1466.695465232003</v>
      </c>
      <c r="AJ84" s="277">
        <v>1452.1038601670077</v>
      </c>
      <c r="AK84" s="277">
        <v>1414.7212193535931</v>
      </c>
      <c r="AL84" s="277">
        <v>1420.5657026347803</v>
      </c>
      <c r="AM84" s="277">
        <f>AL84+(AN84-AL84)/2</f>
        <v>1438.9175086582673</v>
      </c>
      <c r="AN84" s="277">
        <v>1457.2693146817542</v>
      </c>
      <c r="AO84" s="277">
        <f>AN84+(AP84-AN84)/2</f>
        <v>1453.3559165134459</v>
      </c>
      <c r="AP84" s="277">
        <v>1449.4425183451376</v>
      </c>
      <c r="AQ84" s="277">
        <v>1337.904774792597</v>
      </c>
      <c r="AR84" s="277">
        <v>1212.279078935765</v>
      </c>
    </row>
    <row r="85" spans="1:45">
      <c r="A85" s="91" t="s">
        <v>290</v>
      </c>
      <c r="B85" s="83">
        <v>19.351969716941554</v>
      </c>
      <c r="C85" s="83">
        <v>19.355302105889674</v>
      </c>
      <c r="D85" s="83">
        <v>19.448666762191596</v>
      </c>
      <c r="E85" s="83">
        <v>18.676343949206622</v>
      </c>
      <c r="F85" s="83">
        <v>19.048687340120399</v>
      </c>
      <c r="G85" s="83">
        <v>19.216752085962685</v>
      </c>
      <c r="H85" s="83">
        <v>19.854205085562597</v>
      </c>
      <c r="I85" s="83">
        <v>19.784847410430501</v>
      </c>
      <c r="J85" s="83">
        <v>20.699402377683665</v>
      </c>
      <c r="K85" s="83">
        <v>20.343558740812448</v>
      </c>
      <c r="L85" s="83">
        <v>21.010868818096029</v>
      </c>
      <c r="M85" s="83">
        <v>17.542551844492355</v>
      </c>
      <c r="N85" s="83">
        <v>17.695347713590099</v>
      </c>
      <c r="O85" s="83">
        <v>14.547468169282318</v>
      </c>
      <c r="P85" s="83">
        <v>15.047156442105102</v>
      </c>
      <c r="Q85" s="83">
        <v>13.623691798533992</v>
      </c>
      <c r="R85" s="83">
        <v>12.780440676890478</v>
      </c>
      <c r="S85" s="83">
        <v>12.032724218011587</v>
      </c>
      <c r="T85" s="83">
        <v>12.562863484246369</v>
      </c>
      <c r="U85" s="83">
        <v>12.43568749910248</v>
      </c>
      <c r="V85" s="83">
        <v>11.992731480680646</v>
      </c>
      <c r="W85" s="83">
        <v>10.919755404813928</v>
      </c>
      <c r="X85" s="83">
        <v>10.51239455833886</v>
      </c>
      <c r="Y85" s="83">
        <v>9.0755963661253194</v>
      </c>
      <c r="Z85" s="83">
        <v>8.7296870207839206</v>
      </c>
      <c r="AA85" s="83">
        <v>8.7851046604251035</v>
      </c>
      <c r="AB85" s="83">
        <v>7.0552677304541316</v>
      </c>
      <c r="AC85" s="83">
        <v>7.3001612917426808</v>
      </c>
      <c r="AD85" s="83">
        <v>5.5158924483753307</v>
      </c>
      <c r="AE85" s="83">
        <v>5.3122756174281793</v>
      </c>
      <c r="AF85" s="83">
        <v>4.0578386228988759</v>
      </c>
      <c r="AG85" s="83">
        <v>4.1410202574024435</v>
      </c>
      <c r="AH85" s="83">
        <v>3.9956037646760909</v>
      </c>
      <c r="AI85" s="277">
        <v>4.1097379447234976</v>
      </c>
      <c r="AJ85" s="277">
        <v>4.137603744092198</v>
      </c>
      <c r="AK85" s="277">
        <v>4.137603744092198</v>
      </c>
      <c r="AL85" s="277">
        <v>4.4547976201054276</v>
      </c>
      <c r="AM85" s="277">
        <f>AL85+(AN85-AL85)/2</f>
        <v>5.4638019254017633</v>
      </c>
      <c r="AN85" s="277">
        <v>6.4728062306980991</v>
      </c>
      <c r="AO85" s="277">
        <f>AN85+(AP85-AN85)/2</f>
        <v>6.4188780320885286</v>
      </c>
      <c r="AP85" s="277">
        <v>6.364949833478958</v>
      </c>
      <c r="AQ85" s="277">
        <v>6.1965337589149296</v>
      </c>
      <c r="AR85" s="277">
        <v>6.0281176843509039</v>
      </c>
    </row>
    <row r="86" spans="1:45">
      <c r="A86" s="91" t="s">
        <v>291</v>
      </c>
      <c r="B86" s="83">
        <v>8250.5607744748831</v>
      </c>
      <c r="C86" s="83">
        <v>8507.4161954775609</v>
      </c>
      <c r="D86" s="83">
        <v>8861.20158175902</v>
      </c>
      <c r="E86" s="83">
        <v>8556.2829799275605</v>
      </c>
      <c r="F86" s="83">
        <v>8345.6288975565512</v>
      </c>
      <c r="G86" s="83">
        <v>8162.4417986296694</v>
      </c>
      <c r="H86" s="83">
        <v>8236.24183062265</v>
      </c>
      <c r="I86" s="83">
        <v>8465.0945453449076</v>
      </c>
      <c r="J86" s="83">
        <v>8671.6040015787185</v>
      </c>
      <c r="K86" s="83">
        <v>8885.4818195195639</v>
      </c>
      <c r="L86" s="83">
        <v>8970.4571133878435</v>
      </c>
      <c r="M86" s="83">
        <v>8666.9504065582387</v>
      </c>
      <c r="N86" s="83">
        <v>8765.8745744556527</v>
      </c>
      <c r="O86" s="83">
        <v>7614.3457339450169</v>
      </c>
      <c r="P86" s="83">
        <v>8786.5464629507569</v>
      </c>
      <c r="Q86" s="83">
        <v>8339.3929209507878</v>
      </c>
      <c r="R86" s="83">
        <v>8346.6916211966291</v>
      </c>
      <c r="S86" s="83">
        <v>8893.8742354315436</v>
      </c>
      <c r="T86" s="83">
        <v>9162.9807080122027</v>
      </c>
      <c r="U86" s="83">
        <v>8819.7106098367622</v>
      </c>
      <c r="V86" s="83">
        <v>8307.2332226389226</v>
      </c>
      <c r="W86" s="83">
        <v>8126.2354269054958</v>
      </c>
      <c r="X86" s="83">
        <v>8574.2817357325403</v>
      </c>
      <c r="Y86" s="83">
        <v>8275.1302819507509</v>
      </c>
      <c r="Z86" s="83">
        <v>8832.2146295686543</v>
      </c>
      <c r="AA86" s="83">
        <v>8390.9097114026608</v>
      </c>
      <c r="AB86" s="83">
        <v>7833.0166691394425</v>
      </c>
      <c r="AC86" s="83">
        <v>8325.6431779913164</v>
      </c>
      <c r="AD86" s="83">
        <v>7856.2105543971129</v>
      </c>
      <c r="AE86" s="83">
        <v>7868.7320755004303</v>
      </c>
      <c r="AF86" s="83">
        <v>7629.7870018128315</v>
      </c>
      <c r="AG86" s="83">
        <v>8551.7015375412338</v>
      </c>
      <c r="AH86" s="83">
        <v>7499.2290679051512</v>
      </c>
      <c r="AI86" s="277">
        <v>8055.1433412207089</v>
      </c>
      <c r="AJ86" s="277">
        <v>8198.3405665583923</v>
      </c>
      <c r="AK86" s="277">
        <v>8216.7932538267723</v>
      </c>
      <c r="AL86" s="277">
        <v>7987.6301281836068</v>
      </c>
      <c r="AM86" s="277">
        <f>AL86+(AN86-AL86)/2</f>
        <v>7195.3012904376028</v>
      </c>
      <c r="AN86" s="277">
        <v>6402.9724526915998</v>
      </c>
      <c r="AO86" s="277">
        <f>AN86+(AP86-AN86)/2</f>
        <v>6270.5197322710364</v>
      </c>
      <c r="AP86" s="277">
        <v>6138.0670118504731</v>
      </c>
      <c r="AQ86" s="277">
        <v>5685.8975791177563</v>
      </c>
      <c r="AR86" s="277">
        <v>5224.5749318027911</v>
      </c>
    </row>
    <row r="87" spans="1:45">
      <c r="A87" s="107" t="s">
        <v>292</v>
      </c>
      <c r="B87" s="108">
        <v>22827.600805870599</v>
      </c>
      <c r="C87" s="108">
        <v>23002.160905008208</v>
      </c>
      <c r="D87" s="108">
        <v>23143.258699595179</v>
      </c>
      <c r="E87" s="108">
        <v>22105.531030167047</v>
      </c>
      <c r="F87" s="108">
        <v>21170.797057345138</v>
      </c>
      <c r="G87" s="108">
        <v>21200.619238459534</v>
      </c>
      <c r="H87" s="108">
        <v>21905.002059349132</v>
      </c>
      <c r="I87" s="108">
        <v>22296.264286524485</v>
      </c>
      <c r="J87" s="108">
        <v>22458.201534588297</v>
      </c>
      <c r="K87" s="108">
        <v>22783.635562099284</v>
      </c>
      <c r="L87" s="108">
        <v>23026.302508381596</v>
      </c>
      <c r="M87" s="108">
        <v>22819.486437297943</v>
      </c>
      <c r="N87" s="108">
        <v>22478.131865578122</v>
      </c>
      <c r="O87" s="108">
        <v>20874.915840099464</v>
      </c>
      <c r="P87" s="108">
        <v>22035.845450615743</v>
      </c>
      <c r="Q87" s="108">
        <v>21668.031544789468</v>
      </c>
      <c r="R87" s="108">
        <v>21312.879444972939</v>
      </c>
      <c r="S87" s="108">
        <v>21525.075329747942</v>
      </c>
      <c r="T87" s="108">
        <v>22368.36415630619</v>
      </c>
      <c r="U87" s="108">
        <v>21781.52881398554</v>
      </c>
      <c r="V87" s="108">
        <v>20297.391917774235</v>
      </c>
      <c r="W87" s="108">
        <v>20762.00578145594</v>
      </c>
      <c r="X87" s="108">
        <v>21045.611512512922</v>
      </c>
      <c r="Y87" s="108">
        <v>20375.469538564415</v>
      </c>
      <c r="Z87" s="108">
        <v>21302.241313130849</v>
      </c>
      <c r="AA87" s="108">
        <v>20946.034698901389</v>
      </c>
      <c r="AB87" s="108">
        <v>20372.77965046835</v>
      </c>
      <c r="AC87" s="108">
        <v>20740.99138260986</v>
      </c>
      <c r="AD87" s="108">
        <v>20285.429872847835</v>
      </c>
      <c r="AE87" s="108">
        <v>20170.215602077405</v>
      </c>
      <c r="AF87" s="108">
        <v>19725.141578977109</v>
      </c>
      <c r="AG87" s="108">
        <v>20417.887369185526</v>
      </c>
      <c r="AH87" s="108">
        <v>18985.098763473849</v>
      </c>
      <c r="AI87" s="281">
        <v>18994.717069085229</v>
      </c>
      <c r="AJ87" s="281">
        <v>18790.174788579185</v>
      </c>
      <c r="AK87" s="281">
        <v>19058.231016287293</v>
      </c>
      <c r="AL87" s="281">
        <v>18669.159679910481</v>
      </c>
      <c r="AM87" s="281">
        <f>SUM(AM82:AM86)</f>
        <v>17546.581331527486</v>
      </c>
      <c r="AN87" s="281">
        <v>16424.002983144495</v>
      </c>
      <c r="AO87" s="281">
        <f>SUM(AO82:AO86)</f>
        <v>16121.015141754066</v>
      </c>
      <c r="AP87" s="281">
        <v>15818.027300363632</v>
      </c>
      <c r="AQ87" s="281">
        <v>14819.880939177365</v>
      </c>
      <c r="AR87" s="281">
        <v>13786.863687085093</v>
      </c>
    </row>
    <row r="88" spans="1:45" ht="24">
      <c r="A88" s="91" t="s">
        <v>293</v>
      </c>
      <c r="B88" s="83">
        <v>763.24111675636425</v>
      </c>
      <c r="C88" s="83">
        <v>776.41745340159252</v>
      </c>
      <c r="D88" s="83">
        <v>783.42274327485848</v>
      </c>
      <c r="E88" s="83">
        <v>787.8106656366017</v>
      </c>
      <c r="F88" s="83">
        <v>791.74971319953249</v>
      </c>
      <c r="G88" s="83">
        <v>792.68639238369838</v>
      </c>
      <c r="H88" s="83">
        <v>800.51373525371059</v>
      </c>
      <c r="I88" s="83">
        <v>803.96939464837851</v>
      </c>
      <c r="J88" s="83">
        <v>807.98517617819539</v>
      </c>
      <c r="K88" s="83">
        <v>814.45600313770285</v>
      </c>
      <c r="L88" s="83">
        <v>818.89688099746195</v>
      </c>
      <c r="M88" s="83">
        <v>821.89891614314672</v>
      </c>
      <c r="N88" s="83">
        <v>826.70736543821272</v>
      </c>
      <c r="O88" s="83">
        <v>830.81947397577767</v>
      </c>
      <c r="P88" s="83">
        <v>870.33595479158998</v>
      </c>
      <c r="Q88" s="83">
        <v>847.06008621118247</v>
      </c>
      <c r="R88" s="83">
        <v>826.58727605697288</v>
      </c>
      <c r="S88" s="83">
        <v>822.01724840823283</v>
      </c>
      <c r="T88" s="83">
        <v>856.9403994439208</v>
      </c>
      <c r="U88" s="83">
        <v>871.63202012410852</v>
      </c>
      <c r="V88" s="83">
        <v>837.50510644233293</v>
      </c>
      <c r="W88" s="83">
        <v>843.47701418173961</v>
      </c>
      <c r="X88" s="83">
        <v>813.25734176119181</v>
      </c>
      <c r="Y88" s="83">
        <v>875.10149422460336</v>
      </c>
      <c r="Z88" s="83">
        <v>891.46512019765294</v>
      </c>
      <c r="AA88" s="83">
        <v>954.94257989887535</v>
      </c>
      <c r="AB88" s="83">
        <v>885.61612051166037</v>
      </c>
      <c r="AC88" s="83">
        <v>865.53058054926623</v>
      </c>
      <c r="AD88" s="83">
        <v>860.96257853558234</v>
      </c>
      <c r="AE88" s="83">
        <v>850.20395224375363</v>
      </c>
      <c r="AF88" s="83">
        <v>898.7592049609292</v>
      </c>
      <c r="AG88" s="83">
        <v>917.5719251063415</v>
      </c>
      <c r="AH88" s="83">
        <v>893.85382390652933</v>
      </c>
      <c r="AI88" s="277">
        <v>883.93381020540846</v>
      </c>
      <c r="AJ88" s="299">
        <v>891.2352922051133</v>
      </c>
      <c r="AK88" s="299">
        <v>887.07394831656757</v>
      </c>
      <c r="AL88" s="507">
        <f>(AL90)*1000</f>
        <v>819061.3902632558</v>
      </c>
      <c r="AM88" s="507">
        <f>AM90</f>
        <v>816.33372650506885</v>
      </c>
      <c r="AN88" s="507">
        <v>882780.19201783917</v>
      </c>
      <c r="AO88" s="507">
        <f>AO90</f>
        <v>801.90678199808667</v>
      </c>
      <c r="AP88" s="507">
        <v>872404.1517621791</v>
      </c>
      <c r="AQ88" s="507">
        <f>(AQ90)*1000</f>
        <v>570202.60702004679</v>
      </c>
      <c r="AR88" s="507">
        <f>(AR90)*1000</f>
        <v>325610.23459177889</v>
      </c>
    </row>
    <row r="89" spans="1:45" ht="24">
      <c r="A89" s="91" t="s">
        <v>294</v>
      </c>
      <c r="B89" s="83">
        <v>43.818341922820927</v>
      </c>
      <c r="C89" s="83">
        <v>37.964038607716112</v>
      </c>
      <c r="D89" s="83">
        <v>38.757794729068394</v>
      </c>
      <c r="E89" s="83">
        <v>39.44024225462406</v>
      </c>
      <c r="F89" s="83">
        <v>40.163947174181203</v>
      </c>
      <c r="G89" s="83">
        <v>44.493742908398218</v>
      </c>
      <c r="H89" s="83">
        <v>41.637687924428121</v>
      </c>
      <c r="I89" s="83">
        <v>42.399365685024968</v>
      </c>
      <c r="J89" s="83">
        <v>43.187471413559678</v>
      </c>
      <c r="K89" s="83">
        <v>44.10581308058169</v>
      </c>
      <c r="L89" s="83">
        <v>45.455484767802339</v>
      </c>
      <c r="M89" s="83">
        <v>45.276017200102984</v>
      </c>
      <c r="N89" s="83">
        <v>45.632503701823353</v>
      </c>
      <c r="O89" s="83">
        <v>45.973540225136439</v>
      </c>
      <c r="P89" s="83">
        <v>48.254625892020826</v>
      </c>
      <c r="Q89" s="83">
        <v>43.962006595470115</v>
      </c>
      <c r="R89" s="83">
        <v>45.911829746609222</v>
      </c>
      <c r="S89" s="83">
        <v>45.677792784674672</v>
      </c>
      <c r="T89" s="83">
        <v>47.62794625255345</v>
      </c>
      <c r="U89" s="83">
        <v>48.41087077905398</v>
      </c>
      <c r="V89" s="83">
        <v>40.74744323662992</v>
      </c>
      <c r="W89" s="83">
        <v>46.848859787825681</v>
      </c>
      <c r="X89" s="83">
        <v>45.118170987287535</v>
      </c>
      <c r="Y89" s="83">
        <v>48.606275618218774</v>
      </c>
      <c r="Z89" s="83">
        <v>49.467987823186725</v>
      </c>
      <c r="AA89" s="83">
        <v>43.695891424043218</v>
      </c>
      <c r="AB89" s="83">
        <v>39.978103958508036</v>
      </c>
      <c r="AC89" s="83">
        <v>38.57662148033716</v>
      </c>
      <c r="AD89" s="83">
        <v>37.897788961122458</v>
      </c>
      <c r="AE89" s="83">
        <v>36.968706624820548</v>
      </c>
      <c r="AF89" s="83">
        <v>38.6681701018978</v>
      </c>
      <c r="AG89" s="83">
        <v>39.031272030659281</v>
      </c>
      <c r="AH89" s="83">
        <v>37.614017314864768</v>
      </c>
      <c r="AI89" s="277">
        <v>36.883121104481013</v>
      </c>
      <c r="AJ89" s="300">
        <v>37.160495399139684</v>
      </c>
      <c r="AK89" s="300">
        <v>37.150004753728084</v>
      </c>
      <c r="AL89" s="508"/>
      <c r="AM89" s="508"/>
      <c r="AN89" s="508"/>
      <c r="AO89" s="508"/>
      <c r="AP89" s="508"/>
      <c r="AQ89" s="508"/>
      <c r="AR89" s="508"/>
    </row>
    <row r="90" spans="1:45">
      <c r="A90" s="107" t="s">
        <v>295</v>
      </c>
      <c r="B90" s="108">
        <v>807.05945867918513</v>
      </c>
      <c r="C90" s="108">
        <v>814.38149200930866</v>
      </c>
      <c r="D90" s="108">
        <v>822.18053800392681</v>
      </c>
      <c r="E90" s="108">
        <v>827.25090789122578</v>
      </c>
      <c r="F90" s="108">
        <v>831.9136603737137</v>
      </c>
      <c r="G90" s="108">
        <v>837.18013529209657</v>
      </c>
      <c r="H90" s="108">
        <v>842.15142317813866</v>
      </c>
      <c r="I90" s="108">
        <v>846.36876033340343</v>
      </c>
      <c r="J90" s="108">
        <v>851.17264759175509</v>
      </c>
      <c r="K90" s="108">
        <v>858.56181621828455</v>
      </c>
      <c r="L90" s="108">
        <v>864.35236576526427</v>
      </c>
      <c r="M90" s="108">
        <v>867.17493334324968</v>
      </c>
      <c r="N90" s="108">
        <v>872.33986914003606</v>
      </c>
      <c r="O90" s="108">
        <v>876.79301420091406</v>
      </c>
      <c r="P90" s="108">
        <v>918.59058068361082</v>
      </c>
      <c r="Q90" s="108">
        <v>891.02209280665261</v>
      </c>
      <c r="R90" s="108">
        <v>872.4991058035821</v>
      </c>
      <c r="S90" s="108">
        <v>867.69504119290752</v>
      </c>
      <c r="T90" s="108">
        <v>904.56834569647424</v>
      </c>
      <c r="U90" s="108">
        <v>920.04289090316252</v>
      </c>
      <c r="V90" s="108">
        <v>878.25254967896285</v>
      </c>
      <c r="W90" s="108">
        <v>890.32587396956524</v>
      </c>
      <c r="X90" s="108">
        <v>858.37551274847931</v>
      </c>
      <c r="Y90" s="108">
        <v>923.70776984282213</v>
      </c>
      <c r="Z90" s="108">
        <v>940.93310802083965</v>
      </c>
      <c r="AA90" s="108">
        <v>998.63847132291858</v>
      </c>
      <c r="AB90" s="108">
        <v>925.59422447016846</v>
      </c>
      <c r="AC90" s="108">
        <v>904.1072020296034</v>
      </c>
      <c r="AD90" s="108">
        <v>898.86036749670484</v>
      </c>
      <c r="AE90" s="108">
        <v>887.17265886857422</v>
      </c>
      <c r="AF90" s="108">
        <v>937.42737506282697</v>
      </c>
      <c r="AG90" s="108">
        <v>956.60319713700073</v>
      </c>
      <c r="AH90" s="108">
        <v>931.46784122139411</v>
      </c>
      <c r="AI90" s="282">
        <v>920.81693130988947</v>
      </c>
      <c r="AJ90" s="282">
        <v>928.39578760425297</v>
      </c>
      <c r="AK90" s="282">
        <v>924.22395307029569</v>
      </c>
      <c r="AL90" s="282">
        <v>819.06139026325582</v>
      </c>
      <c r="AM90" s="282">
        <f>AL90+(AN90-AL90)/2</f>
        <v>816.33372650506885</v>
      </c>
      <c r="AN90" s="282">
        <v>813.606062746882</v>
      </c>
      <c r="AO90" s="282">
        <f>AN90+(AP90-AN90)/2</f>
        <v>801.90678199808667</v>
      </c>
      <c r="AP90" s="282">
        <v>790.20750124929134</v>
      </c>
      <c r="AQ90" s="282">
        <v>570.2026070200468</v>
      </c>
      <c r="AR90" s="282">
        <v>325.61023459177892</v>
      </c>
    </row>
    <row r="91" spans="1:45">
      <c r="A91" s="109" t="s">
        <v>296</v>
      </c>
      <c r="B91" s="110">
        <v>27489.378584638733</v>
      </c>
      <c r="C91" s="110">
        <v>27605.7215900667</v>
      </c>
      <c r="D91" s="110">
        <v>27684.9689493695</v>
      </c>
      <c r="E91" s="110">
        <v>26629.154030824258</v>
      </c>
      <c r="F91" s="110">
        <v>25717.486305845618</v>
      </c>
      <c r="G91" s="110">
        <v>25757.656841032163</v>
      </c>
      <c r="H91" s="110">
        <v>26454.396488952381</v>
      </c>
      <c r="I91" s="110">
        <v>26797.842368680023</v>
      </c>
      <c r="J91" s="110">
        <v>26929.457730332651</v>
      </c>
      <c r="K91" s="110">
        <v>27230.452042239343</v>
      </c>
      <c r="L91" s="110">
        <v>27587.878229529586</v>
      </c>
      <c r="M91" s="110">
        <v>27351.39485370263</v>
      </c>
      <c r="N91" s="110">
        <v>26928.262594462387</v>
      </c>
      <c r="O91" s="110">
        <v>25215.157235340735</v>
      </c>
      <c r="P91" s="110">
        <v>26362.500404999628</v>
      </c>
      <c r="Q91" s="110">
        <v>25947.246895305499</v>
      </c>
      <c r="R91" s="110">
        <v>25560.260683546327</v>
      </c>
      <c r="S91" s="110">
        <v>25788.62744461645</v>
      </c>
      <c r="T91" s="110">
        <v>26718.323349699353</v>
      </c>
      <c r="U91" s="110">
        <v>26093.885556233057</v>
      </c>
      <c r="V91" s="110">
        <v>24528.415189144816</v>
      </c>
      <c r="W91" s="110">
        <v>24948.634808622424</v>
      </c>
      <c r="X91" s="110">
        <v>25160.982679104472</v>
      </c>
      <c r="Y91" s="110">
        <v>24540.2323483322</v>
      </c>
      <c r="Z91" s="110">
        <v>25502.365357146489</v>
      </c>
      <c r="AA91" s="110">
        <v>25197.577240271621</v>
      </c>
      <c r="AB91" s="110">
        <v>24517.541329413783</v>
      </c>
      <c r="AC91" s="110">
        <v>24804.773513654105</v>
      </c>
      <c r="AD91" s="110">
        <v>24296.728822217025</v>
      </c>
      <c r="AE91" s="110">
        <v>24095.188899138579</v>
      </c>
      <c r="AF91" s="110">
        <v>23648.754462042092</v>
      </c>
      <c r="AG91" s="110">
        <v>24281.860037201015</v>
      </c>
      <c r="AH91" s="110">
        <v>22744.706539075461</v>
      </c>
      <c r="AI91" s="136">
        <v>22677.695934370448</v>
      </c>
      <c r="AJ91" s="136">
        <v>22447.4644063368</v>
      </c>
      <c r="AK91" s="136">
        <v>22652.528679665371</v>
      </c>
      <c r="AL91" s="136">
        <v>22097.245161826773</v>
      </c>
      <c r="AM91" s="136">
        <f t="shared" ref="AM91" si="8">SUM(AM81,AM87,AM90)</f>
        <v>20829.349508437615</v>
      </c>
      <c r="AN91" s="136">
        <v>19561.453855048461</v>
      </c>
      <c r="AO91" s="136">
        <f t="shared" ref="AO91" si="9">SUM(AO81,AO87,AO90)</f>
        <v>19163.55158000896</v>
      </c>
      <c r="AP91" s="136">
        <v>18765.649304969451</v>
      </c>
      <c r="AQ91" s="136">
        <v>16777.95102445727</v>
      </c>
      <c r="AR91" s="136">
        <v>14859.10198264049</v>
      </c>
    </row>
    <row r="92" spans="1:45">
      <c r="A92" s="111"/>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row>
    <row r="93" spans="1:45">
      <c r="A93" s="113" t="s">
        <v>39</v>
      </c>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511" t="s">
        <v>262</v>
      </c>
      <c r="AM93" s="511"/>
      <c r="AN93" s="511"/>
      <c r="AO93" s="511"/>
      <c r="AP93" s="511"/>
      <c r="AQ93" s="511"/>
      <c r="AR93" s="511"/>
    </row>
    <row r="94" spans="1:45" ht="52.8">
      <c r="A94" s="66" t="s">
        <v>341</v>
      </c>
      <c r="B94" s="393">
        <v>1990</v>
      </c>
      <c r="C94" s="393">
        <v>1991</v>
      </c>
      <c r="D94" s="393">
        <v>1992</v>
      </c>
      <c r="E94" s="393">
        <v>1993</v>
      </c>
      <c r="F94" s="393">
        <v>1994</v>
      </c>
      <c r="G94" s="393">
        <v>1995</v>
      </c>
      <c r="H94" s="393">
        <v>1996</v>
      </c>
      <c r="I94" s="393">
        <v>1997</v>
      </c>
      <c r="J94" s="393">
        <v>1998</v>
      </c>
      <c r="K94" s="393">
        <v>1999</v>
      </c>
      <c r="L94" s="393">
        <v>2000</v>
      </c>
      <c r="M94" s="393">
        <v>2001</v>
      </c>
      <c r="N94" s="393">
        <v>2002</v>
      </c>
      <c r="O94" s="393">
        <v>2003</v>
      </c>
      <c r="P94" s="393">
        <v>2004</v>
      </c>
      <c r="Q94" s="393">
        <v>2005</v>
      </c>
      <c r="R94" s="393">
        <v>2006</v>
      </c>
      <c r="S94" s="393">
        <v>2007</v>
      </c>
      <c r="T94" s="393">
        <v>2008</v>
      </c>
      <c r="U94" s="393">
        <v>2009</v>
      </c>
      <c r="V94" s="393">
        <v>2010</v>
      </c>
      <c r="W94" s="393">
        <v>2011</v>
      </c>
      <c r="X94" s="393">
        <v>2012</v>
      </c>
      <c r="Y94" s="393">
        <v>2013</v>
      </c>
      <c r="Z94" s="393">
        <v>2014</v>
      </c>
      <c r="AA94" s="393">
        <v>2015</v>
      </c>
      <c r="AB94" s="393">
        <v>2016</v>
      </c>
      <c r="AC94" s="393">
        <v>2017</v>
      </c>
      <c r="AD94" s="393">
        <v>2018</v>
      </c>
      <c r="AE94" s="393">
        <v>2019</v>
      </c>
      <c r="AF94" s="393">
        <v>2020</v>
      </c>
      <c r="AG94" s="397">
        <v>2021</v>
      </c>
      <c r="AH94" s="397">
        <v>2022</v>
      </c>
      <c r="AI94" s="393">
        <v>2023</v>
      </c>
      <c r="AJ94" s="394">
        <v>2024</v>
      </c>
      <c r="AK94" s="393">
        <v>2025</v>
      </c>
      <c r="AL94" s="394">
        <v>2026</v>
      </c>
      <c r="AM94" s="394">
        <v>2027</v>
      </c>
      <c r="AN94" s="393">
        <v>2028</v>
      </c>
      <c r="AO94" s="394">
        <v>2029</v>
      </c>
      <c r="AP94" s="393">
        <v>2030</v>
      </c>
      <c r="AQ94" s="395">
        <v>2040</v>
      </c>
      <c r="AR94" s="396">
        <v>2050</v>
      </c>
      <c r="AS94" s="395">
        <v>1000</v>
      </c>
    </row>
    <row r="95" spans="1:45">
      <c r="A95" s="91" t="s">
        <v>297</v>
      </c>
      <c r="B95" s="83">
        <v>2.3964267166294597</v>
      </c>
      <c r="C95" s="83">
        <v>5.4957985257932487</v>
      </c>
      <c r="D95" s="83">
        <v>9.4892961064063304</v>
      </c>
      <c r="E95" s="83">
        <v>17.274641961529255</v>
      </c>
      <c r="F95" s="83">
        <v>29.218756459753486</v>
      </c>
      <c r="G95" s="83">
        <v>42.646824414064262</v>
      </c>
      <c r="H95" s="83">
        <v>54.536640202783964</v>
      </c>
      <c r="I95" s="83">
        <v>71.763869988699582</v>
      </c>
      <c r="J95" s="83">
        <v>92.652444976478037</v>
      </c>
      <c r="K95" s="83">
        <v>115.69970857295688</v>
      </c>
      <c r="L95" s="83">
        <v>146.13039645855267</v>
      </c>
      <c r="M95" s="83">
        <v>188.27938735179274</v>
      </c>
      <c r="N95" s="83">
        <v>240.29528911592379</v>
      </c>
      <c r="O95" s="83">
        <v>293.787762629729</v>
      </c>
      <c r="P95" s="83">
        <v>334.79213139076154</v>
      </c>
      <c r="Q95" s="83">
        <v>389.77753628287883</v>
      </c>
      <c r="R95" s="83">
        <v>421.68646829555615</v>
      </c>
      <c r="S95" s="83">
        <v>466.8941128556628</v>
      </c>
      <c r="T95" s="83">
        <v>498.02650146262005</v>
      </c>
      <c r="U95" s="83">
        <v>545.57258318029596</v>
      </c>
      <c r="V95" s="83">
        <v>610.06594846783946</v>
      </c>
      <c r="W95" s="83">
        <v>615.06631060025666</v>
      </c>
      <c r="X95" s="83">
        <v>643.28202787974203</v>
      </c>
      <c r="Y95" s="83">
        <v>665.13409347337802</v>
      </c>
      <c r="Z95" s="83">
        <v>681.69124472700321</v>
      </c>
      <c r="AA95" s="83">
        <v>742.7500824813078</v>
      </c>
      <c r="AB95" s="83">
        <v>753.31355174611099</v>
      </c>
      <c r="AC95" s="83">
        <v>729.45658761306811</v>
      </c>
      <c r="AD95" s="83">
        <v>690.61063959567332</v>
      </c>
      <c r="AE95" s="83">
        <v>653.5709162977945</v>
      </c>
      <c r="AF95" s="83">
        <v>515.87642316996596</v>
      </c>
      <c r="AG95" s="83">
        <v>561.21959367127295</v>
      </c>
      <c r="AH95" s="83">
        <v>562.79045351764591</v>
      </c>
      <c r="AI95" s="277">
        <v>522.97302942443798</v>
      </c>
      <c r="AJ95" s="277">
        <v>497.18115703186135</v>
      </c>
      <c r="AK95" s="277">
        <v>468.36499444398191</v>
      </c>
      <c r="AL95" s="277">
        <v>439.99404091382883</v>
      </c>
      <c r="AM95" s="277">
        <f>(AL95+AN95)/2</f>
        <v>389.78404809280522</v>
      </c>
      <c r="AN95" s="277">
        <v>339.57405527178162</v>
      </c>
      <c r="AO95" s="277">
        <f>(AN95+AP95)/2</f>
        <v>288.63187522120393</v>
      </c>
      <c r="AP95" s="277">
        <v>237.68969517062627</v>
      </c>
      <c r="AQ95" s="277">
        <v>18.929497020692878</v>
      </c>
      <c r="AR95" s="277">
        <v>0.76766315527835793</v>
      </c>
    </row>
    <row r="96" spans="1:45">
      <c r="A96" s="91" t="s">
        <v>298</v>
      </c>
      <c r="B96" s="83">
        <v>525.44643291366469</v>
      </c>
      <c r="C96" s="83">
        <v>501.04870656547831</v>
      </c>
      <c r="D96" s="83">
        <v>547.89455094245739</v>
      </c>
      <c r="E96" s="83">
        <v>646.416237310106</v>
      </c>
      <c r="F96" s="83">
        <v>829.47392736271479</v>
      </c>
      <c r="G96" s="83">
        <v>1131.2441552233602</v>
      </c>
      <c r="H96" s="83">
        <v>1367.4740787415396</v>
      </c>
      <c r="I96" s="83">
        <v>1583.1686856470417</v>
      </c>
      <c r="J96" s="83">
        <v>1649.3178524443335</v>
      </c>
      <c r="K96" s="83">
        <v>777.6803981580814</v>
      </c>
      <c r="L96" s="83">
        <v>795.7177923348396</v>
      </c>
      <c r="M96" s="83">
        <v>749.23745491118791</v>
      </c>
      <c r="N96" s="83">
        <v>707.71355313957406</v>
      </c>
      <c r="O96" s="83">
        <v>662.60919432380422</v>
      </c>
      <c r="P96" s="83">
        <v>613.52848729115271</v>
      </c>
      <c r="Q96" s="83">
        <v>586.76927759091632</v>
      </c>
      <c r="R96" s="83">
        <v>478.7222899720332</v>
      </c>
      <c r="S96" s="83">
        <v>423.93085123250745</v>
      </c>
      <c r="T96" s="83">
        <v>369.34057891477318</v>
      </c>
      <c r="U96" s="83">
        <v>183.41001742046541</v>
      </c>
      <c r="V96" s="83">
        <v>190.39658770097176</v>
      </c>
      <c r="W96" s="83">
        <v>143.66723932707521</v>
      </c>
      <c r="X96" s="83">
        <v>124.59204424288144</v>
      </c>
      <c r="Y96" s="83">
        <v>112.22997720894487</v>
      </c>
      <c r="Z96" s="83">
        <v>105.39498252118791</v>
      </c>
      <c r="AA96" s="83">
        <v>117.59512717538942</v>
      </c>
      <c r="AB96" s="83">
        <v>112.23466363178497</v>
      </c>
      <c r="AC96" s="83">
        <v>103.71592853818633</v>
      </c>
      <c r="AD96" s="83">
        <v>98.254959439777181</v>
      </c>
      <c r="AE96" s="83">
        <v>95.958646353893897</v>
      </c>
      <c r="AF96" s="83">
        <v>73.579005731025376</v>
      </c>
      <c r="AG96" s="83">
        <v>83.709773643100235</v>
      </c>
      <c r="AH96" s="83">
        <v>87.332661703526028</v>
      </c>
      <c r="AI96" s="277">
        <v>88.23263620906171</v>
      </c>
      <c r="AJ96" s="277">
        <v>91.123235512406495</v>
      </c>
      <c r="AK96" s="277">
        <v>93.713133987792517</v>
      </c>
      <c r="AL96" s="277">
        <v>95.35761065012602</v>
      </c>
      <c r="AM96" s="277">
        <f t="shared" ref="AM96:AM115" si="10">(AL96+AN96)/2</f>
        <v>97.776494400359482</v>
      </c>
      <c r="AN96" s="277">
        <v>100.19537815059294</v>
      </c>
      <c r="AO96" s="277">
        <f t="shared" ref="AO96" si="11">(AN96+AP96)/2</f>
        <v>108.49737992196444</v>
      </c>
      <c r="AP96" s="277">
        <v>116.79938169333592</v>
      </c>
      <c r="AQ96" s="277">
        <v>93.645193775804628</v>
      </c>
      <c r="AR96" s="277">
        <v>0.66450528797553154</v>
      </c>
    </row>
    <row r="97" spans="1:44">
      <c r="A97" s="91" t="s">
        <v>299</v>
      </c>
      <c r="B97" s="83">
        <v>0</v>
      </c>
      <c r="C97" s="83">
        <v>0</v>
      </c>
      <c r="D97" s="83">
        <v>1.3687861415285272E-2</v>
      </c>
      <c r="E97" s="83">
        <v>5.2558377673778356E-2</v>
      </c>
      <c r="F97" s="83">
        <v>9.6186960901310056E-2</v>
      </c>
      <c r="G97" s="83">
        <v>0.10360737542370464</v>
      </c>
      <c r="H97" s="83">
        <v>0.29719821272698099</v>
      </c>
      <c r="I97" s="83">
        <v>0.74233378681544071</v>
      </c>
      <c r="J97" s="83">
        <v>1.2600787337571731</v>
      </c>
      <c r="K97" s="83">
        <v>1.7920584374533932</v>
      </c>
      <c r="L97" s="83">
        <v>1.6511056027076467</v>
      </c>
      <c r="M97" s="83">
        <v>2.269191288675851</v>
      </c>
      <c r="N97" s="83">
        <v>2.1078489726132097</v>
      </c>
      <c r="O97" s="83">
        <v>1.4105239493863342</v>
      </c>
      <c r="P97" s="83">
        <v>1.2721798797608106</v>
      </c>
      <c r="Q97" s="83">
        <v>1.0109936318565509</v>
      </c>
      <c r="R97" s="83">
        <v>1.5297904962001714</v>
      </c>
      <c r="S97" s="83">
        <v>1.2020019205800603</v>
      </c>
      <c r="T97" s="83">
        <v>1.020343486528289</v>
      </c>
      <c r="U97" s="83">
        <v>0.90239586402262739</v>
      </c>
      <c r="V97" s="83">
        <v>0.92809418890489259</v>
      </c>
      <c r="W97" s="83">
        <v>1.4162058259973735</v>
      </c>
      <c r="X97" s="83">
        <v>1.2108951722876895</v>
      </c>
      <c r="Y97" s="83">
        <v>1.0008199467359784</v>
      </c>
      <c r="Z97" s="83">
        <v>0.6028849208833178</v>
      </c>
      <c r="AA97" s="83">
        <v>0.46670854212564211</v>
      </c>
      <c r="AB97" s="83">
        <v>0.37475358527746411</v>
      </c>
      <c r="AC97" s="83">
        <v>0.27799130303253972</v>
      </c>
      <c r="AD97" s="83">
        <v>0.21256648932302527</v>
      </c>
      <c r="AE97" s="83">
        <v>0.16446811924502816</v>
      </c>
      <c r="AF97" s="83">
        <v>7.6399678796833292E-2</v>
      </c>
      <c r="AG97" s="83">
        <v>0.1272475211529604</v>
      </c>
      <c r="AH97" s="83">
        <v>0.18578489367582915</v>
      </c>
      <c r="AI97" s="277">
        <v>0.20472831544517284</v>
      </c>
      <c r="AJ97" s="277">
        <v>0.20223420345317392</v>
      </c>
      <c r="AK97" s="277">
        <v>0.18564231293506855</v>
      </c>
      <c r="AL97" s="277">
        <v>0.14896462814770203</v>
      </c>
      <c r="AM97" s="277">
        <f t="shared" si="10"/>
        <v>7.4482314073851016E-2</v>
      </c>
      <c r="AN97" s="277">
        <v>0</v>
      </c>
      <c r="AO97" s="277">
        <f t="shared" ref="AO97" si="12">(AN97+AP97)/2</f>
        <v>0</v>
      </c>
      <c r="AP97" s="277">
        <v>0</v>
      </c>
      <c r="AQ97" s="277">
        <v>0</v>
      </c>
      <c r="AR97" s="277">
        <v>0</v>
      </c>
    </row>
    <row r="98" spans="1:44">
      <c r="A98" s="91" t="s">
        <v>300</v>
      </c>
      <c r="B98" s="83">
        <v>3.9073059565954704E-5</v>
      </c>
      <c r="C98" s="83">
        <v>1.7169803851333008E-4</v>
      </c>
      <c r="D98" s="83">
        <v>1.7970967713749143E-4</v>
      </c>
      <c r="E98" s="83">
        <v>1.6664356706495211E-3</v>
      </c>
      <c r="F98" s="83">
        <v>1.372115107225831E-3</v>
      </c>
      <c r="G98" s="83">
        <v>5.7830662831229564E-4</v>
      </c>
      <c r="H98" s="83">
        <v>1.5048181285924576E-3</v>
      </c>
      <c r="I98" s="83">
        <v>1.3954694790327946E-3</v>
      </c>
      <c r="J98" s="83">
        <v>1.3977776983853686E-3</v>
      </c>
      <c r="K98" s="83">
        <v>1.0742799855054175E-3</v>
      </c>
      <c r="L98" s="83">
        <v>2.62351152205079E-3</v>
      </c>
      <c r="M98" s="83">
        <v>2.4014920009709593E-2</v>
      </c>
      <c r="N98" s="83">
        <v>5.0884419036581204E-2</v>
      </c>
      <c r="O98" s="83">
        <v>3.9433080795956692E-2</v>
      </c>
      <c r="P98" s="83">
        <v>4.2354221336202709E-2</v>
      </c>
      <c r="Q98" s="83">
        <v>3.0591586595826607E-2</v>
      </c>
      <c r="R98" s="83">
        <v>6.3079402539624546E-2</v>
      </c>
      <c r="S98" s="83">
        <v>4.8101625826630037E-2</v>
      </c>
      <c r="T98" s="83">
        <v>5.5891181144275291E-2</v>
      </c>
      <c r="U98" s="83">
        <v>3.0559370738718009E-2</v>
      </c>
      <c r="V98" s="83">
        <v>2.4070616700641301E-2</v>
      </c>
      <c r="W98" s="83">
        <v>9.2665053052053248E-2</v>
      </c>
      <c r="X98" s="83">
        <v>9.9560121011944683E-2</v>
      </c>
      <c r="Y98" s="83">
        <v>0.1040740035609619</v>
      </c>
      <c r="Z98" s="83">
        <v>5.4719764636959857E-2</v>
      </c>
      <c r="AA98" s="83">
        <v>3.8109127156149988E-2</v>
      </c>
      <c r="AB98" s="83">
        <v>3.1176925948946839E-2</v>
      </c>
      <c r="AC98" s="83">
        <v>2.5362279113303295E-2</v>
      </c>
      <c r="AD98" s="83">
        <v>2.2463897812072555E-2</v>
      </c>
      <c r="AE98" s="83">
        <v>2.002332531854726E-2</v>
      </c>
      <c r="AF98" s="83">
        <v>1.7565543373126085E-2</v>
      </c>
      <c r="AG98" s="83">
        <v>2.1513088654192044E-2</v>
      </c>
      <c r="AH98" s="83">
        <v>2.2467867805540033E-2</v>
      </c>
      <c r="AI98" s="277">
        <v>2.1564810559825936E-2</v>
      </c>
      <c r="AJ98" s="277">
        <v>1.8831824150127439E-2</v>
      </c>
      <c r="AK98" s="277">
        <v>1.8101945125861114E-2</v>
      </c>
      <c r="AL98" s="277">
        <v>2.0778248636525776E-2</v>
      </c>
      <c r="AM98" s="277">
        <f t="shared" si="10"/>
        <v>2.7767065428439174E-2</v>
      </c>
      <c r="AN98" s="277">
        <v>3.4755882220352571E-2</v>
      </c>
      <c r="AO98" s="277">
        <f t="shared" ref="AO98" si="13">(AN98+AP98)/2</f>
        <v>3.7508438572339639E-2</v>
      </c>
      <c r="AP98" s="277">
        <v>4.0260994924326707E-2</v>
      </c>
      <c r="AQ98" s="277">
        <v>2.2448684819680809E-2</v>
      </c>
      <c r="AR98" s="277">
        <v>3.2986904540554293E-4</v>
      </c>
    </row>
    <row r="99" spans="1:44">
      <c r="A99" s="91" t="s">
        <v>301</v>
      </c>
      <c r="B99" s="83">
        <v>0</v>
      </c>
      <c r="C99" s="83">
        <v>0</v>
      </c>
      <c r="D99" s="83">
        <v>0</v>
      </c>
      <c r="E99" s="83">
        <v>0</v>
      </c>
      <c r="F99" s="83">
        <v>0</v>
      </c>
      <c r="G99" s="83">
        <v>0</v>
      </c>
      <c r="H99" s="83">
        <v>0</v>
      </c>
      <c r="I99" s="83">
        <v>0</v>
      </c>
      <c r="J99" s="83">
        <v>0</v>
      </c>
      <c r="K99" s="83">
        <v>0</v>
      </c>
      <c r="L99" s="83">
        <v>0</v>
      </c>
      <c r="M99" s="83">
        <v>0</v>
      </c>
      <c r="N99" s="83">
        <v>0</v>
      </c>
      <c r="O99" s="83">
        <v>0</v>
      </c>
      <c r="P99" s="83">
        <v>0</v>
      </c>
      <c r="Q99" s="83">
        <v>0</v>
      </c>
      <c r="R99" s="83">
        <v>0</v>
      </c>
      <c r="S99" s="83">
        <v>0</v>
      </c>
      <c r="T99" s="83">
        <v>0</v>
      </c>
      <c r="U99" s="83">
        <v>0</v>
      </c>
      <c r="V99" s="83">
        <v>0</v>
      </c>
      <c r="W99" s="83">
        <v>0</v>
      </c>
      <c r="X99" s="83">
        <v>0</v>
      </c>
      <c r="Y99" s="83">
        <v>0</v>
      </c>
      <c r="Z99" s="83">
        <v>0</v>
      </c>
      <c r="AA99" s="83">
        <v>0</v>
      </c>
      <c r="AB99" s="83">
        <v>0</v>
      </c>
      <c r="AC99" s="83">
        <v>0</v>
      </c>
      <c r="AD99" s="83">
        <v>0</v>
      </c>
      <c r="AE99" s="83">
        <v>0</v>
      </c>
      <c r="AF99" s="83">
        <v>0</v>
      </c>
      <c r="AG99" s="83">
        <v>0</v>
      </c>
      <c r="AH99" s="83">
        <v>0</v>
      </c>
      <c r="AI99" s="277">
        <v>0</v>
      </c>
      <c r="AJ99" s="277">
        <v>0</v>
      </c>
      <c r="AK99" s="277">
        <v>0</v>
      </c>
      <c r="AL99" s="277">
        <v>0</v>
      </c>
      <c r="AM99" s="277">
        <f t="shared" si="10"/>
        <v>0</v>
      </c>
      <c r="AN99" s="277">
        <v>0</v>
      </c>
      <c r="AO99" s="277">
        <f t="shared" ref="AO99" si="14">(AN99+AP99)/2</f>
        <v>0</v>
      </c>
      <c r="AP99" s="277">
        <v>0</v>
      </c>
      <c r="AQ99" s="277">
        <v>0</v>
      </c>
      <c r="AR99" s="277">
        <v>0</v>
      </c>
    </row>
    <row r="100" spans="1:44">
      <c r="A100" s="91" t="s">
        <v>302</v>
      </c>
      <c r="B100" s="83">
        <v>0</v>
      </c>
      <c r="C100" s="83">
        <v>0</v>
      </c>
      <c r="D100" s="83">
        <v>0</v>
      </c>
      <c r="E100" s="83">
        <v>0</v>
      </c>
      <c r="F100" s="83">
        <v>0.75419209504914453</v>
      </c>
      <c r="G100" s="83">
        <v>4.6354841328824055</v>
      </c>
      <c r="H100" s="83">
        <v>10.517232580339996</v>
      </c>
      <c r="I100" s="83">
        <v>17.610551585463288</v>
      </c>
      <c r="J100" s="83">
        <v>25.098051160760576</v>
      </c>
      <c r="K100" s="83">
        <v>35.563443222531745</v>
      </c>
      <c r="L100" s="83">
        <v>44.322240230921714</v>
      </c>
      <c r="M100" s="83">
        <v>53.251251576212603</v>
      </c>
      <c r="N100" s="83">
        <v>66.115844360267857</v>
      </c>
      <c r="O100" s="83">
        <v>81.774043769372312</v>
      </c>
      <c r="P100" s="83">
        <v>92.442275841797482</v>
      </c>
      <c r="Q100" s="83">
        <v>107.73430877137879</v>
      </c>
      <c r="R100" s="83">
        <v>111.6923421549354</v>
      </c>
      <c r="S100" s="83">
        <v>117.63212856951014</v>
      </c>
      <c r="T100" s="83">
        <v>122.43491527964066</v>
      </c>
      <c r="U100" s="83">
        <v>130.47060410498867</v>
      </c>
      <c r="V100" s="83">
        <v>145.7387230205297</v>
      </c>
      <c r="W100" s="83">
        <v>149.40755950841151</v>
      </c>
      <c r="X100" s="83">
        <v>153.45155359374533</v>
      </c>
      <c r="Y100" s="83">
        <v>158.22680223588588</v>
      </c>
      <c r="Z100" s="83">
        <v>161.08842398327587</v>
      </c>
      <c r="AA100" s="83">
        <v>170.69756212726077</v>
      </c>
      <c r="AB100" s="83">
        <v>176.71756728135807</v>
      </c>
      <c r="AC100" s="83">
        <v>175.75796703583396</v>
      </c>
      <c r="AD100" s="83">
        <v>172.57984908003186</v>
      </c>
      <c r="AE100" s="83">
        <v>168.27989691087893</v>
      </c>
      <c r="AF100" s="83">
        <v>160.95433174400986</v>
      </c>
      <c r="AG100" s="83">
        <v>166.85139175713192</v>
      </c>
      <c r="AH100" s="83">
        <v>160.15851761781511</v>
      </c>
      <c r="AI100" s="277">
        <v>153.17937775708845</v>
      </c>
      <c r="AJ100" s="277">
        <v>149.45169202368425</v>
      </c>
      <c r="AK100" s="277">
        <v>145.71378648468814</v>
      </c>
      <c r="AL100" s="277">
        <v>144.3000976347432</v>
      </c>
      <c r="AM100" s="277">
        <f t="shared" si="10"/>
        <v>141.26658237973311</v>
      </c>
      <c r="AN100" s="277">
        <v>138.23306712472299</v>
      </c>
      <c r="AO100" s="277">
        <f t="shared" ref="AO100" si="15">(AN100+AP100)/2</f>
        <v>134.3776279144264</v>
      </c>
      <c r="AP100" s="277">
        <v>130.52218870412983</v>
      </c>
      <c r="AQ100" s="277">
        <v>44.297907947073334</v>
      </c>
      <c r="AR100" s="277">
        <v>0.41515661363132378</v>
      </c>
    </row>
    <row r="101" spans="1:44">
      <c r="A101" s="91" t="s">
        <v>303</v>
      </c>
      <c r="B101" s="83">
        <v>78.264728679518655</v>
      </c>
      <c r="C101" s="83">
        <v>97.533803308141103</v>
      </c>
      <c r="D101" s="83">
        <v>87.957591097191454</v>
      </c>
      <c r="E101" s="83">
        <v>77.800877647969344</v>
      </c>
      <c r="F101" s="83">
        <v>73.779814830253088</v>
      </c>
      <c r="G101" s="83">
        <v>52.930907163514284</v>
      </c>
      <c r="H101" s="83">
        <v>84.316157647751751</v>
      </c>
      <c r="I101" s="83">
        <v>112.3845201395191</v>
      </c>
      <c r="J101" s="83">
        <v>137.37303297492232</v>
      </c>
      <c r="K101" s="83">
        <v>91.751186398421083</v>
      </c>
      <c r="L101" s="83">
        <v>53.192888865750049</v>
      </c>
      <c r="M101" s="83">
        <v>94.446488035637202</v>
      </c>
      <c r="N101" s="83">
        <v>98.584635973462895</v>
      </c>
      <c r="O101" s="83">
        <v>100.58690584283772</v>
      </c>
      <c r="P101" s="83">
        <v>106.73628065778597</v>
      </c>
      <c r="Q101" s="83">
        <v>34.550238906960232</v>
      </c>
      <c r="R101" s="83">
        <v>105.85196822427299</v>
      </c>
      <c r="S101" s="83">
        <v>104.51160308222956</v>
      </c>
      <c r="T101" s="83">
        <v>81.736162610385946</v>
      </c>
      <c r="U101" s="83">
        <v>68.018483382755036</v>
      </c>
      <c r="V101" s="83">
        <v>13.145071215370718</v>
      </c>
      <c r="W101" s="83">
        <v>52.533857071511079</v>
      </c>
      <c r="X101" s="83">
        <v>46.221972160047848</v>
      </c>
      <c r="Y101" s="83">
        <v>40.439034470259791</v>
      </c>
      <c r="Z101" s="83">
        <v>31.724838127985169</v>
      </c>
      <c r="AA101" s="83">
        <v>7.6012655074260698</v>
      </c>
      <c r="AB101" s="83">
        <v>7.081831168613995</v>
      </c>
      <c r="AC101" s="83">
        <v>6.3854137275689675</v>
      </c>
      <c r="AD101" s="83">
        <v>5.7366007983366929</v>
      </c>
      <c r="AE101" s="83">
        <v>5.191400362232085</v>
      </c>
      <c r="AF101" s="83">
        <v>4.1917061180409707</v>
      </c>
      <c r="AG101" s="83">
        <v>4.7014750307032998</v>
      </c>
      <c r="AH101" s="83">
        <v>5.0220551338291779</v>
      </c>
      <c r="AI101" s="277">
        <v>5.1300076467708609</v>
      </c>
      <c r="AJ101" s="277">
        <v>5.6357721538893939</v>
      </c>
      <c r="AK101" s="277">
        <v>5.9725822371083961</v>
      </c>
      <c r="AL101" s="277">
        <v>6.2251928603329816</v>
      </c>
      <c r="AM101" s="277">
        <f t="shared" si="10"/>
        <v>6.4186763370571898</v>
      </c>
      <c r="AN101" s="277">
        <v>6.6121598137813979</v>
      </c>
      <c r="AO101" s="277">
        <f t="shared" ref="AO101" si="16">(AN101+AP101)/2</f>
        <v>7.2509881104262615</v>
      </c>
      <c r="AP101" s="277">
        <v>7.8898164070711241</v>
      </c>
      <c r="AQ101" s="277">
        <v>6.1011586835906781</v>
      </c>
      <c r="AR101" s="277">
        <v>3.1106880716572048E-2</v>
      </c>
    </row>
    <row r="102" spans="1:44">
      <c r="A102" s="91" t="s">
        <v>304</v>
      </c>
      <c r="B102" s="83">
        <v>0</v>
      </c>
      <c r="C102" s="83">
        <v>0</v>
      </c>
      <c r="D102" s="83">
        <v>0</v>
      </c>
      <c r="E102" s="83">
        <v>0</v>
      </c>
      <c r="F102" s="83">
        <v>6.7959741589086221E-3</v>
      </c>
      <c r="G102" s="83">
        <v>1.9660654961265362E-2</v>
      </c>
      <c r="H102" s="83">
        <v>0.1712042097868112</v>
      </c>
      <c r="I102" s="83">
        <v>0.58336364897056525</v>
      </c>
      <c r="J102" s="83">
        <v>1.3052139572078538</v>
      </c>
      <c r="K102" s="83">
        <v>1.9721013169974109</v>
      </c>
      <c r="L102" s="83">
        <v>1.3208107114227559</v>
      </c>
      <c r="M102" s="83">
        <v>2.4333586298718934</v>
      </c>
      <c r="N102" s="83">
        <v>2.3547767895291143</v>
      </c>
      <c r="O102" s="83">
        <v>2.4148971335874223</v>
      </c>
      <c r="P102" s="83">
        <v>2.3247826488755701</v>
      </c>
      <c r="Q102" s="83">
        <v>1.1804292572311541</v>
      </c>
      <c r="R102" s="83">
        <v>2.053570819158109</v>
      </c>
      <c r="S102" s="83">
        <v>2.0895986752827427</v>
      </c>
      <c r="T102" s="83">
        <v>2.1583635641069172</v>
      </c>
      <c r="U102" s="83">
        <v>2.0053202681144837</v>
      </c>
      <c r="V102" s="83">
        <v>1.3650614173281959</v>
      </c>
      <c r="W102" s="83">
        <v>2.4746889644529406</v>
      </c>
      <c r="X102" s="83">
        <v>2.290498055908452</v>
      </c>
      <c r="Y102" s="83">
        <v>1.9920424274669459</v>
      </c>
      <c r="Z102" s="83">
        <v>1.898825117749434</v>
      </c>
      <c r="AA102" s="83">
        <v>0.98069823329661665</v>
      </c>
      <c r="AB102" s="83">
        <v>0.91160654850354772</v>
      </c>
      <c r="AC102" s="83">
        <v>0.75911417199761877</v>
      </c>
      <c r="AD102" s="83">
        <v>0.61122993596788255</v>
      </c>
      <c r="AE102" s="83">
        <v>0.47738271942324695</v>
      </c>
      <c r="AF102" s="83">
        <v>0.25058268687808954</v>
      </c>
      <c r="AG102" s="83">
        <v>0.452010785903115</v>
      </c>
      <c r="AH102" s="83">
        <v>0.63598872034599574</v>
      </c>
      <c r="AI102" s="277">
        <v>0.63323929535036472</v>
      </c>
      <c r="AJ102" s="277">
        <v>0.53518391829253709</v>
      </c>
      <c r="AK102" s="277">
        <v>0.49017755055476664</v>
      </c>
      <c r="AL102" s="277">
        <v>0.39333229256996954</v>
      </c>
      <c r="AM102" s="277">
        <f t="shared" si="10"/>
        <v>0.19666614628498477</v>
      </c>
      <c r="AN102" s="277">
        <v>0</v>
      </c>
      <c r="AO102" s="277">
        <f t="shared" ref="AO102" si="17">(AN102+AP102)/2</f>
        <v>0</v>
      </c>
      <c r="AP102" s="277">
        <v>0</v>
      </c>
      <c r="AQ102" s="277">
        <v>0</v>
      </c>
      <c r="AR102" s="277">
        <v>0</v>
      </c>
    </row>
    <row r="103" spans="1:44">
      <c r="A103" s="91" t="s">
        <v>305</v>
      </c>
      <c r="B103" s="83">
        <v>3.3086477888803528E-4</v>
      </c>
      <c r="C103" s="83">
        <v>8.2988001367479162E-4</v>
      </c>
      <c r="D103" s="83">
        <v>9.3798164206397247E-4</v>
      </c>
      <c r="E103" s="83">
        <v>6.4580107471806031E-3</v>
      </c>
      <c r="F103" s="83">
        <v>3.7756863917016788E-3</v>
      </c>
      <c r="G103" s="83">
        <v>1.0113997542239581E-3</v>
      </c>
      <c r="H103" s="83">
        <v>2.7920221283187006E-3</v>
      </c>
      <c r="I103" s="83">
        <v>2.5581086237251079E-3</v>
      </c>
      <c r="J103" s="83">
        <v>3.1955861857496811E-3</v>
      </c>
      <c r="K103" s="83">
        <v>1.9227558703619884E-3</v>
      </c>
      <c r="L103" s="83">
        <v>2.7873312487271358E-3</v>
      </c>
      <c r="M103" s="83">
        <v>3.5216058010957396E-2</v>
      </c>
      <c r="N103" s="83">
        <v>7.2893148472219407E-2</v>
      </c>
      <c r="O103" s="83">
        <v>8.4710839178673322E-2</v>
      </c>
      <c r="P103" s="83">
        <v>9.5278816418639903E-2</v>
      </c>
      <c r="Q103" s="83">
        <v>6.6127611625626234E-2</v>
      </c>
      <c r="R103" s="83">
        <v>0.14918993065917049</v>
      </c>
      <c r="S103" s="83">
        <v>0.13931421677163197</v>
      </c>
      <c r="T103" s="83">
        <v>0.18834374988859665</v>
      </c>
      <c r="U103" s="83">
        <v>0.1308825476528907</v>
      </c>
      <c r="V103" s="83">
        <v>8.416817248116501E-2</v>
      </c>
      <c r="W103" s="83">
        <v>0.2878068624703996</v>
      </c>
      <c r="X103" s="83">
        <v>0.31845120336651611</v>
      </c>
      <c r="Y103" s="83">
        <v>0.3411332009101411</v>
      </c>
      <c r="Z103" s="83">
        <v>0.27947339856550635</v>
      </c>
      <c r="AA103" s="83">
        <v>0.17630690630154192</v>
      </c>
      <c r="AB103" s="83">
        <v>0.16108006078572398</v>
      </c>
      <c r="AC103" s="83">
        <v>0.14088090196599409</v>
      </c>
      <c r="AD103" s="83">
        <v>0.12565254667077472</v>
      </c>
      <c r="AE103" s="83">
        <v>0.10767383038264926</v>
      </c>
      <c r="AF103" s="83">
        <v>9.925347761771218E-2</v>
      </c>
      <c r="AG103" s="83">
        <v>0.11695838693255639</v>
      </c>
      <c r="AH103" s="83">
        <v>0.10810528994770913</v>
      </c>
      <c r="AI103" s="277">
        <v>8.6303452824197588E-2</v>
      </c>
      <c r="AJ103" s="277">
        <v>6.1751886657574563E-2</v>
      </c>
      <c r="AK103" s="277">
        <v>5.8190213209493892E-2</v>
      </c>
      <c r="AL103" s="277">
        <v>6.3236620076064176E-2</v>
      </c>
      <c r="AM103" s="277">
        <f t="shared" si="10"/>
        <v>9.4272046790746092E-2</v>
      </c>
      <c r="AN103" s="277">
        <v>0.12530747350542801</v>
      </c>
      <c r="AO103" s="277">
        <f t="shared" ref="AO103" si="18">(AN103+AP103)/2</f>
        <v>0.13468077591384164</v>
      </c>
      <c r="AP103" s="277">
        <v>0.14405407832225525</v>
      </c>
      <c r="AQ103" s="277">
        <v>7.6747106202683296E-2</v>
      </c>
      <c r="AR103" s="277">
        <v>1.082717435034001E-3</v>
      </c>
    </row>
    <row r="104" spans="1:44">
      <c r="A104" s="91" t="s">
        <v>306</v>
      </c>
      <c r="B104" s="83">
        <v>0</v>
      </c>
      <c r="C104" s="83">
        <v>0</v>
      </c>
      <c r="D104" s="83">
        <v>0</v>
      </c>
      <c r="E104" s="83">
        <v>0</v>
      </c>
      <c r="F104" s="83">
        <v>0</v>
      </c>
      <c r="G104" s="83">
        <v>0</v>
      </c>
      <c r="H104" s="83">
        <v>0</v>
      </c>
      <c r="I104" s="83">
        <v>0</v>
      </c>
      <c r="J104" s="83">
        <v>0</v>
      </c>
      <c r="K104" s="83">
        <v>0</v>
      </c>
      <c r="L104" s="83">
        <v>0</v>
      </c>
      <c r="M104" s="83">
        <v>0</v>
      </c>
      <c r="N104" s="83">
        <v>0</v>
      </c>
      <c r="O104" s="83">
        <v>0</v>
      </c>
      <c r="P104" s="83">
        <v>0</v>
      </c>
      <c r="Q104" s="83">
        <v>0</v>
      </c>
      <c r="R104" s="83">
        <v>0</v>
      </c>
      <c r="S104" s="83">
        <v>0</v>
      </c>
      <c r="T104" s="83">
        <v>0</v>
      </c>
      <c r="U104" s="83">
        <v>0</v>
      </c>
      <c r="V104" s="83">
        <v>0</v>
      </c>
      <c r="W104" s="83">
        <v>0</v>
      </c>
      <c r="X104" s="83">
        <v>0</v>
      </c>
      <c r="Y104" s="83">
        <v>0</v>
      </c>
      <c r="Z104" s="83">
        <v>0</v>
      </c>
      <c r="AA104" s="83">
        <v>0</v>
      </c>
      <c r="AB104" s="83">
        <v>0</v>
      </c>
      <c r="AC104" s="83">
        <v>0</v>
      </c>
      <c r="AD104" s="83">
        <v>0</v>
      </c>
      <c r="AE104" s="83">
        <v>0</v>
      </c>
      <c r="AF104" s="83">
        <v>0</v>
      </c>
      <c r="AG104" s="83">
        <v>0</v>
      </c>
      <c r="AH104" s="83">
        <v>0</v>
      </c>
      <c r="AI104" s="277">
        <v>0</v>
      </c>
      <c r="AJ104" s="277">
        <v>0</v>
      </c>
      <c r="AK104" s="277">
        <v>0</v>
      </c>
      <c r="AL104" s="277">
        <v>0</v>
      </c>
      <c r="AM104" s="277">
        <f t="shared" si="10"/>
        <v>0</v>
      </c>
      <c r="AN104" s="277">
        <v>0</v>
      </c>
      <c r="AO104" s="277">
        <f t="shared" ref="AO104" si="19">(AN104+AP104)/2</f>
        <v>0</v>
      </c>
      <c r="AP104" s="277">
        <v>0</v>
      </c>
      <c r="AQ104" s="277">
        <v>0</v>
      </c>
      <c r="AR104" s="277">
        <v>0</v>
      </c>
    </row>
    <row r="105" spans="1:44">
      <c r="A105" s="91" t="s">
        <v>307</v>
      </c>
      <c r="B105" s="83">
        <v>170.92698774646263</v>
      </c>
      <c r="C105" s="83">
        <v>177.0436830130638</v>
      </c>
      <c r="D105" s="83">
        <v>183.00671398362411</v>
      </c>
      <c r="E105" s="83">
        <v>178.5664763666615</v>
      </c>
      <c r="F105" s="83">
        <v>178.85317723243892</v>
      </c>
      <c r="G105" s="83">
        <v>206.46225551121404</v>
      </c>
      <c r="H105" s="83">
        <v>154.13278273864589</v>
      </c>
      <c r="I105" s="83">
        <v>147.68138236769354</v>
      </c>
      <c r="J105" s="83">
        <v>139.87745815033327</v>
      </c>
      <c r="K105" s="83">
        <v>134.83276969388069</v>
      </c>
      <c r="L105" s="83">
        <v>144.13179328193769</v>
      </c>
      <c r="M105" s="83">
        <v>110.67895375842174</v>
      </c>
      <c r="N105" s="83">
        <v>100.50049913451021</v>
      </c>
      <c r="O105" s="83">
        <v>88.503820254424326</v>
      </c>
      <c r="P105" s="83">
        <v>83.769044849408971</v>
      </c>
      <c r="Q105" s="83">
        <v>99.166110024745663</v>
      </c>
      <c r="R105" s="83">
        <v>71.220161613097801</v>
      </c>
      <c r="S105" s="83">
        <v>76.051153161978235</v>
      </c>
      <c r="T105" s="83">
        <v>80.109121278836483</v>
      </c>
      <c r="U105" s="83">
        <v>84.308422273286297</v>
      </c>
      <c r="V105" s="83">
        <v>128.31455065385336</v>
      </c>
      <c r="W105" s="83">
        <v>138.77481767791417</v>
      </c>
      <c r="X105" s="83">
        <v>169.69328856879608</v>
      </c>
      <c r="Y105" s="83">
        <v>201.54839759279636</v>
      </c>
      <c r="Z105" s="83">
        <v>244.27031268782275</v>
      </c>
      <c r="AA105" s="83">
        <v>257.70055544768576</v>
      </c>
      <c r="AB105" s="83">
        <v>287.05534746081548</v>
      </c>
      <c r="AC105" s="83">
        <v>305.74587872702597</v>
      </c>
      <c r="AD105" s="83">
        <v>310.28585816993842</v>
      </c>
      <c r="AE105" s="83">
        <v>328.85321310311798</v>
      </c>
      <c r="AF105" s="83">
        <v>321.10319147130707</v>
      </c>
      <c r="AG105" s="83">
        <v>347.7862938726517</v>
      </c>
      <c r="AH105" s="83">
        <v>349.73639851043299</v>
      </c>
      <c r="AI105" s="284">
        <v>344.16935872210422</v>
      </c>
      <c r="AJ105" s="277">
        <v>346.79465618014569</v>
      </c>
      <c r="AK105" s="284">
        <v>371.31052177937363</v>
      </c>
      <c r="AL105" s="277">
        <v>364.45631554141721</v>
      </c>
      <c r="AM105" s="277">
        <f t="shared" si="10"/>
        <v>332.5567604899793</v>
      </c>
      <c r="AN105" s="277">
        <v>300.65720543854138</v>
      </c>
      <c r="AO105" s="277">
        <f t="shared" ref="AO105" si="20">(AN105+AP105)/2</f>
        <v>281.96111408094134</v>
      </c>
      <c r="AP105" s="277">
        <v>263.26502272334136</v>
      </c>
      <c r="AQ105" s="277">
        <v>116.21239806699408</v>
      </c>
      <c r="AR105" s="277">
        <v>51.383719412826331</v>
      </c>
    </row>
    <row r="106" spans="1:44">
      <c r="A106" s="91" t="s">
        <v>308</v>
      </c>
      <c r="B106" s="83">
        <v>1.5960519346031442E-2</v>
      </c>
      <c r="C106" s="83">
        <v>1.616612525691203E-2</v>
      </c>
      <c r="D106" s="83">
        <v>1.9048690768165066E-2</v>
      </c>
      <c r="E106" s="83">
        <v>1.8720300737228808E-2</v>
      </c>
      <c r="F106" s="83">
        <v>1.8381935115634674E-2</v>
      </c>
      <c r="G106" s="83">
        <v>1.7197206526275384E-2</v>
      </c>
      <c r="H106" s="83">
        <v>1.7512362231642663E-2</v>
      </c>
      <c r="I106" s="83">
        <v>1.749837588895093E-2</v>
      </c>
      <c r="J106" s="83">
        <v>1.8140820963994161E-2</v>
      </c>
      <c r="K106" s="83">
        <v>2.0469515838925707E-2</v>
      </c>
      <c r="L106" s="83">
        <v>2.0384701701974588E-2</v>
      </c>
      <c r="M106" s="83">
        <v>1.8099170456455493E-2</v>
      </c>
      <c r="N106" s="83">
        <v>1.2024076829029558E-2</v>
      </c>
      <c r="O106" s="83">
        <v>1.0120531355443343E-2</v>
      </c>
      <c r="P106" s="83">
        <v>8.425765406910252E-3</v>
      </c>
      <c r="Q106" s="83">
        <v>3.08862364548463E-2</v>
      </c>
      <c r="R106" s="83">
        <v>5.4164776962883276E-3</v>
      </c>
      <c r="S106" s="83">
        <v>4.2477561118405543E-3</v>
      </c>
      <c r="T106" s="83">
        <v>3.2276916374153366E-3</v>
      </c>
      <c r="U106" s="83">
        <v>2.3739977020082086E-3</v>
      </c>
      <c r="V106" s="83">
        <v>1.7289813343194037E-2</v>
      </c>
      <c r="W106" s="83">
        <v>1.0639236714071086E-3</v>
      </c>
      <c r="X106" s="83">
        <v>1.0637243551478162E-3</v>
      </c>
      <c r="Y106" s="83">
        <v>1.071248651431173E-3</v>
      </c>
      <c r="Z106" s="83">
        <v>1.0759840288081565E-3</v>
      </c>
      <c r="AA106" s="83">
        <v>7.8167525841461548E-3</v>
      </c>
      <c r="AB106" s="83">
        <v>7.3646894523022415E-3</v>
      </c>
      <c r="AC106" s="83">
        <v>7.1047465087232071E-3</v>
      </c>
      <c r="AD106" s="83">
        <v>7.3064512308458904E-3</v>
      </c>
      <c r="AE106" s="83">
        <v>7.7492911280117134E-3</v>
      </c>
      <c r="AF106" s="83">
        <v>6.1935154024230221E-3</v>
      </c>
      <c r="AG106" s="83">
        <v>4.4238993637520721E-3</v>
      </c>
      <c r="AH106" s="83">
        <v>5.1088209593429341E-3</v>
      </c>
      <c r="AI106" s="277">
        <v>7.9307591906425702E-3</v>
      </c>
      <c r="AJ106" s="277">
        <v>8.3537322761769884E-3</v>
      </c>
      <c r="AK106" s="277">
        <v>8.6391256107658625E-3</v>
      </c>
      <c r="AL106" s="277">
        <v>6.9322780662571725E-3</v>
      </c>
      <c r="AM106" s="277">
        <f t="shared" si="10"/>
        <v>3.4661390331285863E-3</v>
      </c>
      <c r="AN106" s="277">
        <v>0</v>
      </c>
      <c r="AO106" s="277">
        <f t="shared" ref="AO106" si="21">(AN106+AP106)/2</f>
        <v>0</v>
      </c>
      <c r="AP106" s="277">
        <v>0</v>
      </c>
      <c r="AQ106" s="277">
        <v>0</v>
      </c>
      <c r="AR106" s="277">
        <v>0</v>
      </c>
    </row>
    <row r="107" spans="1:44" s="399" customFormat="1">
      <c r="A107" s="91" t="s">
        <v>309</v>
      </c>
      <c r="B107" s="83">
        <v>0</v>
      </c>
      <c r="C107" s="83">
        <v>0</v>
      </c>
      <c r="D107" s="83">
        <v>0</v>
      </c>
      <c r="E107" s="83">
        <v>0</v>
      </c>
      <c r="F107" s="83">
        <v>0</v>
      </c>
      <c r="G107" s="83">
        <v>0</v>
      </c>
      <c r="H107" s="83">
        <v>0</v>
      </c>
      <c r="I107" s="83">
        <v>0</v>
      </c>
      <c r="J107" s="83">
        <v>0</v>
      </c>
      <c r="K107" s="83">
        <v>0</v>
      </c>
      <c r="L107" s="83">
        <v>0</v>
      </c>
      <c r="M107" s="83">
        <v>0</v>
      </c>
      <c r="N107" s="83">
        <v>0</v>
      </c>
      <c r="O107" s="83">
        <v>0</v>
      </c>
      <c r="P107" s="83">
        <v>0</v>
      </c>
      <c r="Q107" s="83">
        <v>0</v>
      </c>
      <c r="R107" s="83">
        <v>0</v>
      </c>
      <c r="S107" s="83">
        <v>0</v>
      </c>
      <c r="T107" s="83">
        <v>0</v>
      </c>
      <c r="U107" s="83">
        <v>0</v>
      </c>
      <c r="V107" s="83">
        <v>0</v>
      </c>
      <c r="W107" s="83">
        <v>0</v>
      </c>
      <c r="X107" s="83">
        <v>0</v>
      </c>
      <c r="Y107" s="83">
        <v>0</v>
      </c>
      <c r="Z107" s="83">
        <v>0</v>
      </c>
      <c r="AA107" s="83">
        <v>0</v>
      </c>
      <c r="AB107" s="83">
        <v>0</v>
      </c>
      <c r="AC107" s="83">
        <v>0</v>
      </c>
      <c r="AD107" s="83">
        <v>0</v>
      </c>
      <c r="AE107" s="83">
        <v>0</v>
      </c>
      <c r="AF107" s="83">
        <v>0</v>
      </c>
      <c r="AG107" s="83">
        <v>0</v>
      </c>
      <c r="AH107" s="83">
        <v>0</v>
      </c>
      <c r="AI107" s="83">
        <v>0</v>
      </c>
      <c r="AJ107" s="277">
        <v>0</v>
      </c>
      <c r="AK107" s="83">
        <v>0</v>
      </c>
      <c r="AL107" s="277">
        <v>0</v>
      </c>
      <c r="AM107" s="277">
        <f t="shared" si="10"/>
        <v>0</v>
      </c>
      <c r="AN107" s="277">
        <v>0</v>
      </c>
      <c r="AO107" s="277">
        <f t="shared" ref="AO107" si="22">(AN107+AP107)/2</f>
        <v>0</v>
      </c>
      <c r="AP107" s="277">
        <v>0</v>
      </c>
      <c r="AQ107" s="277">
        <v>0</v>
      </c>
      <c r="AR107" s="277">
        <v>0</v>
      </c>
    </row>
    <row r="108" spans="1:44">
      <c r="A108" s="91" t="s">
        <v>310</v>
      </c>
      <c r="B108" s="83">
        <v>0</v>
      </c>
      <c r="C108" s="83">
        <v>0</v>
      </c>
      <c r="D108" s="83">
        <v>0</v>
      </c>
      <c r="E108" s="83">
        <v>0</v>
      </c>
      <c r="F108" s="83">
        <v>0</v>
      </c>
      <c r="G108" s="83">
        <v>0</v>
      </c>
      <c r="H108" s="83">
        <v>0</v>
      </c>
      <c r="I108" s="83">
        <v>0</v>
      </c>
      <c r="J108" s="83">
        <v>0</v>
      </c>
      <c r="K108" s="83">
        <v>0</v>
      </c>
      <c r="L108" s="83">
        <v>0</v>
      </c>
      <c r="M108" s="83">
        <v>0</v>
      </c>
      <c r="N108" s="83">
        <v>0</v>
      </c>
      <c r="O108" s="83">
        <v>0</v>
      </c>
      <c r="P108" s="83">
        <v>0</v>
      </c>
      <c r="Q108" s="83">
        <v>0</v>
      </c>
      <c r="R108" s="83">
        <v>0</v>
      </c>
      <c r="S108" s="83">
        <v>0</v>
      </c>
      <c r="T108" s="83">
        <v>0</v>
      </c>
      <c r="U108" s="83">
        <v>0</v>
      </c>
      <c r="V108" s="83">
        <v>0</v>
      </c>
      <c r="W108" s="83">
        <v>0</v>
      </c>
      <c r="X108" s="83">
        <v>0</v>
      </c>
      <c r="Y108" s="83">
        <v>0</v>
      </c>
      <c r="Z108" s="83">
        <v>0</v>
      </c>
      <c r="AA108" s="83">
        <v>0</v>
      </c>
      <c r="AB108" s="83">
        <v>0</v>
      </c>
      <c r="AC108" s="83">
        <v>0</v>
      </c>
      <c r="AD108" s="83">
        <v>0</v>
      </c>
      <c r="AE108" s="83">
        <v>0</v>
      </c>
      <c r="AF108" s="83">
        <v>0</v>
      </c>
      <c r="AG108" s="83">
        <v>0</v>
      </c>
      <c r="AH108" s="83">
        <v>0</v>
      </c>
      <c r="AI108" s="83">
        <v>0</v>
      </c>
      <c r="AJ108" s="83">
        <v>0</v>
      </c>
      <c r="AK108" s="83">
        <v>0</v>
      </c>
      <c r="AL108" s="277">
        <v>0</v>
      </c>
      <c r="AM108" s="277">
        <f t="shared" si="10"/>
        <v>0</v>
      </c>
      <c r="AN108" s="277">
        <v>0</v>
      </c>
      <c r="AO108" s="277">
        <f t="shared" ref="AO108" si="23">(AN108+AP108)/2</f>
        <v>0</v>
      </c>
      <c r="AP108" s="277">
        <v>0</v>
      </c>
      <c r="AQ108" s="277">
        <v>0</v>
      </c>
      <c r="AR108" s="277">
        <v>0</v>
      </c>
    </row>
    <row r="109" spans="1:44">
      <c r="A109" s="91" t="s">
        <v>311</v>
      </c>
      <c r="B109" s="83">
        <v>18.444213878385245</v>
      </c>
      <c r="C109" s="83">
        <v>16.847357429171005</v>
      </c>
      <c r="D109" s="83">
        <v>17.185832507310071</v>
      </c>
      <c r="E109" s="83">
        <v>17.812429635428842</v>
      </c>
      <c r="F109" s="83">
        <v>17.178103307201816</v>
      </c>
      <c r="G109" s="83">
        <v>18.269370615459707</v>
      </c>
      <c r="H109" s="83">
        <v>15.917212343246071</v>
      </c>
      <c r="I109" s="83">
        <v>15.260113100946906</v>
      </c>
      <c r="J109" s="83">
        <v>15.078893001514308</v>
      </c>
      <c r="K109" s="83">
        <v>13.649174950163479</v>
      </c>
      <c r="L109" s="83">
        <v>13.672617647626456</v>
      </c>
      <c r="M109" s="83">
        <v>12.112423864915833</v>
      </c>
      <c r="N109" s="83">
        <v>10.808406121308742</v>
      </c>
      <c r="O109" s="83">
        <v>9.7875386002060729</v>
      </c>
      <c r="P109" s="83">
        <v>8.8327539491783806</v>
      </c>
      <c r="Q109" s="83">
        <v>8.4923036728361243</v>
      </c>
      <c r="R109" s="83">
        <v>7.1460079698916292</v>
      </c>
      <c r="S109" s="83">
        <v>7.161543536776084</v>
      </c>
      <c r="T109" s="83">
        <v>7.2966755907237628</v>
      </c>
      <c r="U109" s="83">
        <v>7.7934237053930797</v>
      </c>
      <c r="V109" s="83">
        <v>9.3515385273948173</v>
      </c>
      <c r="W109" s="83">
        <v>10.945018208583832</v>
      </c>
      <c r="X109" s="83">
        <v>12.330556071223899</v>
      </c>
      <c r="Y109" s="83">
        <v>14.306542960988388</v>
      </c>
      <c r="Z109" s="83">
        <v>15.851355041464473</v>
      </c>
      <c r="AA109" s="83">
        <v>17.971920909004773</v>
      </c>
      <c r="AB109" s="83">
        <v>19.303703867885766</v>
      </c>
      <c r="AC109" s="83">
        <v>21.38680988821169</v>
      </c>
      <c r="AD109" s="83">
        <v>22.099504011787438</v>
      </c>
      <c r="AE109" s="181">
        <v>23.269828053672427</v>
      </c>
      <c r="AF109" s="83">
        <v>24.31570895489001</v>
      </c>
      <c r="AG109" s="83">
        <v>17.606075090491832</v>
      </c>
      <c r="AH109" s="83">
        <v>21.927454354227841</v>
      </c>
      <c r="AI109" s="301">
        <v>23.738695466521133</v>
      </c>
      <c r="AJ109" s="302">
        <v>25.222074361939963</v>
      </c>
      <c r="AK109" s="301">
        <v>25.361758121500984</v>
      </c>
      <c r="AL109" s="277">
        <v>21.845480247723525</v>
      </c>
      <c r="AM109" s="277">
        <f t="shared" si="10"/>
        <v>20.605485159566818</v>
      </c>
      <c r="AN109" s="277">
        <v>19.365490071410111</v>
      </c>
      <c r="AO109" s="277">
        <f t="shared" ref="AO109" si="24">(AN109+AP109)/2</f>
        <v>18.928485614081328</v>
      </c>
      <c r="AP109" s="277">
        <v>18.491481156752545</v>
      </c>
      <c r="AQ109" s="277">
        <v>10.548505063511319</v>
      </c>
      <c r="AR109" s="277">
        <v>3.6611127306986138</v>
      </c>
    </row>
    <row r="110" spans="1:44" s="399" customFormat="1">
      <c r="A110" s="91" t="s">
        <v>312</v>
      </c>
      <c r="B110" s="83">
        <v>0</v>
      </c>
      <c r="C110" s="83">
        <v>0</v>
      </c>
      <c r="D110" s="83">
        <v>0</v>
      </c>
      <c r="E110" s="83">
        <v>0</v>
      </c>
      <c r="F110" s="83">
        <v>0</v>
      </c>
      <c r="G110" s="83">
        <v>0</v>
      </c>
      <c r="H110" s="83">
        <v>0</v>
      </c>
      <c r="I110" s="83">
        <v>0</v>
      </c>
      <c r="J110" s="83">
        <v>0</v>
      </c>
      <c r="K110" s="83">
        <v>0</v>
      </c>
      <c r="L110" s="83">
        <v>0</v>
      </c>
      <c r="M110" s="83">
        <v>0</v>
      </c>
      <c r="N110" s="83">
        <v>0</v>
      </c>
      <c r="O110" s="83">
        <v>0</v>
      </c>
      <c r="P110" s="83">
        <v>0</v>
      </c>
      <c r="Q110" s="83">
        <v>0</v>
      </c>
      <c r="R110" s="83">
        <v>0</v>
      </c>
      <c r="S110" s="83">
        <v>0</v>
      </c>
      <c r="T110" s="83">
        <v>0</v>
      </c>
      <c r="U110" s="83">
        <v>0</v>
      </c>
      <c r="V110" s="83">
        <v>0</v>
      </c>
      <c r="W110" s="83">
        <v>0</v>
      </c>
      <c r="X110" s="83">
        <v>0</v>
      </c>
      <c r="Y110" s="83">
        <v>0</v>
      </c>
      <c r="Z110" s="83">
        <v>0</v>
      </c>
      <c r="AA110" s="83">
        <v>0</v>
      </c>
      <c r="AB110" s="83">
        <v>0</v>
      </c>
      <c r="AC110" s="83">
        <v>0</v>
      </c>
      <c r="AD110" s="83">
        <v>0</v>
      </c>
      <c r="AE110" s="83">
        <v>0</v>
      </c>
      <c r="AF110" s="83">
        <v>0</v>
      </c>
      <c r="AG110" s="83">
        <v>0</v>
      </c>
      <c r="AH110" s="83">
        <v>0</v>
      </c>
      <c r="AI110" s="400">
        <v>0</v>
      </c>
      <c r="AJ110" s="401">
        <v>0</v>
      </c>
      <c r="AK110" s="400"/>
      <c r="AL110" s="277">
        <v>0</v>
      </c>
      <c r="AM110" s="277">
        <f t="shared" si="10"/>
        <v>0</v>
      </c>
      <c r="AN110" s="277">
        <v>0</v>
      </c>
      <c r="AO110" s="277">
        <f t="shared" ref="AO110" si="25">(AN110+AP110)/2</f>
        <v>0</v>
      </c>
      <c r="AP110" s="277">
        <v>0</v>
      </c>
      <c r="AQ110" s="277">
        <v>0</v>
      </c>
      <c r="AR110" s="277">
        <v>0</v>
      </c>
    </row>
    <row r="111" spans="1:44">
      <c r="A111" s="91" t="s">
        <v>313</v>
      </c>
      <c r="B111" s="83">
        <v>8.548598258811619E-3</v>
      </c>
      <c r="C111" s="83">
        <v>0</v>
      </c>
      <c r="D111" s="83">
        <v>0</v>
      </c>
      <c r="E111" s="83">
        <v>0</v>
      </c>
      <c r="F111" s="83">
        <v>0</v>
      </c>
      <c r="G111" s="83">
        <v>2.2230507102919041E-2</v>
      </c>
      <c r="H111" s="83">
        <v>0</v>
      </c>
      <c r="I111" s="83">
        <v>0</v>
      </c>
      <c r="J111" s="83">
        <v>0</v>
      </c>
      <c r="K111" s="83">
        <v>0</v>
      </c>
      <c r="L111" s="83">
        <v>5.1490033789159458E-2</v>
      </c>
      <c r="M111" s="83">
        <v>0</v>
      </c>
      <c r="N111" s="83">
        <v>0</v>
      </c>
      <c r="O111" s="83">
        <v>0</v>
      </c>
      <c r="P111" s="83">
        <v>0</v>
      </c>
      <c r="Q111" s="83">
        <v>0.99691770995971085</v>
      </c>
      <c r="R111" s="83">
        <v>0</v>
      </c>
      <c r="S111" s="83">
        <v>0</v>
      </c>
      <c r="T111" s="83">
        <v>0</v>
      </c>
      <c r="U111" s="83">
        <v>0</v>
      </c>
      <c r="V111" s="83">
        <v>1.9301524647889376</v>
      </c>
      <c r="W111" s="83">
        <v>0</v>
      </c>
      <c r="X111" s="83">
        <v>0</v>
      </c>
      <c r="Y111" s="83">
        <v>0</v>
      </c>
      <c r="Z111" s="83">
        <v>0</v>
      </c>
      <c r="AA111" s="83">
        <v>0</v>
      </c>
      <c r="AB111" s="83">
        <v>5.4580981048506354</v>
      </c>
      <c r="AC111" s="83">
        <v>5.4691050427487831</v>
      </c>
      <c r="AD111" s="83">
        <v>5.5589381767252322</v>
      </c>
      <c r="AE111" s="83">
        <v>6.1831982256570859</v>
      </c>
      <c r="AF111" s="83">
        <v>6.9848070762920713</v>
      </c>
      <c r="AG111" s="83">
        <v>7.8885726022514433</v>
      </c>
      <c r="AH111" s="83">
        <v>10.414534412828838</v>
      </c>
      <c r="AI111" s="301">
        <v>11.623604681529804</v>
      </c>
      <c r="AJ111" s="302">
        <v>12.891877026622975</v>
      </c>
      <c r="AK111" s="301">
        <v>12.348474741633357</v>
      </c>
      <c r="AL111" s="277">
        <v>13.240964889238688</v>
      </c>
      <c r="AM111" s="277">
        <f t="shared" si="10"/>
        <v>6.6245548398401315</v>
      </c>
      <c r="AN111" s="277">
        <v>8.1447904415747705E-3</v>
      </c>
      <c r="AO111" s="277">
        <f t="shared" ref="AO111" si="26">(AN111+AP111)/2</f>
        <v>8.3597660327326059E-3</v>
      </c>
      <c r="AP111" s="277">
        <v>8.5747416238904414E-3</v>
      </c>
      <c r="AQ111" s="277">
        <v>1.9936346382278957E-3</v>
      </c>
      <c r="AR111" s="277">
        <v>1.0304287757115834E-4</v>
      </c>
    </row>
    <row r="112" spans="1:44">
      <c r="A112" s="91" t="s">
        <v>314</v>
      </c>
      <c r="B112" s="83">
        <v>0</v>
      </c>
      <c r="C112" s="83">
        <v>0</v>
      </c>
      <c r="D112" s="83">
        <v>0</v>
      </c>
      <c r="E112" s="83">
        <v>0</v>
      </c>
      <c r="F112" s="83">
        <v>0</v>
      </c>
      <c r="G112" s="83">
        <v>0</v>
      </c>
      <c r="H112" s="83">
        <v>0</v>
      </c>
      <c r="I112" s="83">
        <v>0</v>
      </c>
      <c r="J112" s="83">
        <v>0</v>
      </c>
      <c r="K112" s="83">
        <v>0</v>
      </c>
      <c r="L112" s="83">
        <v>0</v>
      </c>
      <c r="M112" s="83">
        <v>0</v>
      </c>
      <c r="N112" s="83">
        <v>0</v>
      </c>
      <c r="O112" s="83">
        <v>0</v>
      </c>
      <c r="P112" s="83">
        <v>0</v>
      </c>
      <c r="Q112" s="83">
        <v>0</v>
      </c>
      <c r="R112" s="83">
        <v>0</v>
      </c>
      <c r="S112" s="83">
        <v>0</v>
      </c>
      <c r="T112" s="83">
        <v>0</v>
      </c>
      <c r="U112" s="83">
        <v>0</v>
      </c>
      <c r="V112" s="83">
        <v>0</v>
      </c>
      <c r="W112" s="83">
        <v>0</v>
      </c>
      <c r="X112" s="83">
        <v>0</v>
      </c>
      <c r="Y112" s="83">
        <v>0</v>
      </c>
      <c r="Z112" s="83">
        <v>0</v>
      </c>
      <c r="AA112" s="83">
        <v>0</v>
      </c>
      <c r="AB112" s="83">
        <v>0</v>
      </c>
      <c r="AC112" s="83">
        <v>0</v>
      </c>
      <c r="AD112" s="83">
        <v>0</v>
      </c>
      <c r="AE112" s="83">
        <v>0</v>
      </c>
      <c r="AF112" s="83">
        <v>0</v>
      </c>
      <c r="AG112" s="83">
        <v>0</v>
      </c>
      <c r="AH112" s="83">
        <v>0</v>
      </c>
      <c r="AI112" s="301">
        <v>0</v>
      </c>
      <c r="AJ112" s="302">
        <v>0</v>
      </c>
      <c r="AK112" s="301">
        <v>0</v>
      </c>
      <c r="AL112" s="277">
        <v>0</v>
      </c>
      <c r="AM112" s="277">
        <f t="shared" si="10"/>
        <v>0</v>
      </c>
      <c r="AN112" s="277">
        <v>0</v>
      </c>
      <c r="AO112" s="277">
        <f t="shared" ref="AO112" si="27">(AN112+AP112)/2</f>
        <v>0</v>
      </c>
      <c r="AP112" s="277">
        <v>0</v>
      </c>
      <c r="AQ112" s="277">
        <v>0</v>
      </c>
      <c r="AR112" s="277">
        <v>0</v>
      </c>
    </row>
    <row r="113" spans="1:47">
      <c r="A113" s="91" t="s">
        <v>315</v>
      </c>
      <c r="B113" s="83">
        <v>2.7085122365419454</v>
      </c>
      <c r="C113" s="83">
        <v>2.3873170619674022</v>
      </c>
      <c r="D113" s="83">
        <v>2.445576935460029</v>
      </c>
      <c r="E113" s="83">
        <v>3.0693470746995959</v>
      </c>
      <c r="F113" s="83">
        <v>2.6724798667761283</v>
      </c>
      <c r="G113" s="83">
        <v>2.7130204779955096</v>
      </c>
      <c r="H113" s="83">
        <v>2.3362123769107757</v>
      </c>
      <c r="I113" s="83">
        <v>2.8316017031886602</v>
      </c>
      <c r="J113" s="83">
        <v>3.4689017769267863</v>
      </c>
      <c r="K113" s="83">
        <v>3.5839705945392257</v>
      </c>
      <c r="L113" s="83">
        <v>4.4444881222362271</v>
      </c>
      <c r="M113" s="83">
        <v>4.3733231569448661</v>
      </c>
      <c r="N113" s="83">
        <v>4.813804414792072</v>
      </c>
      <c r="O113" s="83">
        <v>4.8268580685839506</v>
      </c>
      <c r="P113" s="83">
        <v>5.1268287111628696</v>
      </c>
      <c r="Q113" s="83">
        <v>5.370325318961755</v>
      </c>
      <c r="R113" s="83">
        <v>5.3385539801525406</v>
      </c>
      <c r="S113" s="83">
        <v>5.505966652632714</v>
      </c>
      <c r="T113" s="83">
        <v>5.7144126626783214</v>
      </c>
      <c r="U113" s="83">
        <v>6.0027934653120347</v>
      </c>
      <c r="V113" s="83">
        <v>5.4301109822539164</v>
      </c>
      <c r="W113" s="83">
        <v>5.8726765321105416</v>
      </c>
      <c r="X113" s="83">
        <v>5.774406919071283</v>
      </c>
      <c r="Y113" s="83">
        <v>5.6778554178942571</v>
      </c>
      <c r="Z113" s="83">
        <v>5.6074112818057795</v>
      </c>
      <c r="AA113" s="83">
        <v>5.5831713519530402</v>
      </c>
      <c r="AB113" s="83">
        <v>5.6647206703236099</v>
      </c>
      <c r="AC113" s="83">
        <v>5.7197060597349845</v>
      </c>
      <c r="AD113" s="83">
        <v>5.753845945683123</v>
      </c>
      <c r="AE113" s="83">
        <v>5.8169134527287296</v>
      </c>
      <c r="AF113" s="83">
        <v>5.8442896736392216</v>
      </c>
      <c r="AG113" s="83">
        <v>5.0467998541897323</v>
      </c>
      <c r="AH113" s="83">
        <v>5.2534880668604655</v>
      </c>
      <c r="AI113" s="277">
        <v>5.9719128337222704</v>
      </c>
      <c r="AJ113" s="277">
        <v>5.8708867682192238</v>
      </c>
      <c r="AK113" s="277">
        <v>6.5114502264182761</v>
      </c>
      <c r="AL113" s="277">
        <v>6.427416019165344</v>
      </c>
      <c r="AM113" s="277">
        <f t="shared" si="10"/>
        <v>5.7069785460447173</v>
      </c>
      <c r="AN113" s="277">
        <v>4.9865410729240907</v>
      </c>
      <c r="AO113" s="277">
        <f t="shared" ref="AO113" si="28">(AN113+AP113)/2</f>
        <v>4.6599752104868628</v>
      </c>
      <c r="AP113" s="277">
        <v>4.3334093480496341</v>
      </c>
      <c r="AQ113" s="277">
        <v>2.0730622646000683</v>
      </c>
      <c r="AR113" s="277">
        <v>0.95486010724137904</v>
      </c>
    </row>
    <row r="114" spans="1:47">
      <c r="A114" s="91" t="s">
        <v>316</v>
      </c>
      <c r="B114" s="83">
        <v>0</v>
      </c>
      <c r="C114" s="83">
        <v>0</v>
      </c>
      <c r="D114" s="83">
        <v>0</v>
      </c>
      <c r="E114" s="83">
        <v>0</v>
      </c>
      <c r="F114" s="83">
        <v>0</v>
      </c>
      <c r="G114" s="83">
        <v>0</v>
      </c>
      <c r="H114" s="83">
        <v>0</v>
      </c>
      <c r="I114" s="83">
        <v>0</v>
      </c>
      <c r="J114" s="83">
        <v>0</v>
      </c>
      <c r="K114" s="83">
        <v>0</v>
      </c>
      <c r="L114" s="83">
        <v>0</v>
      </c>
      <c r="M114" s="83">
        <v>0</v>
      </c>
      <c r="N114" s="83">
        <v>0</v>
      </c>
      <c r="O114" s="83">
        <v>0</v>
      </c>
      <c r="P114" s="83">
        <v>0</v>
      </c>
      <c r="Q114" s="83">
        <v>0</v>
      </c>
      <c r="R114" s="83">
        <v>0</v>
      </c>
      <c r="S114" s="83">
        <v>0</v>
      </c>
      <c r="T114" s="83">
        <v>0</v>
      </c>
      <c r="U114" s="83">
        <v>0</v>
      </c>
      <c r="V114" s="83">
        <v>0</v>
      </c>
      <c r="W114" s="83">
        <v>0</v>
      </c>
      <c r="X114" s="83">
        <v>0</v>
      </c>
      <c r="Y114" s="83">
        <v>0</v>
      </c>
      <c r="Z114" s="83">
        <v>0</v>
      </c>
      <c r="AA114" s="83">
        <v>0</v>
      </c>
      <c r="AB114" s="83">
        <v>0</v>
      </c>
      <c r="AC114" s="83">
        <v>0</v>
      </c>
      <c r="AD114" s="83">
        <v>0</v>
      </c>
      <c r="AE114" s="83">
        <v>0</v>
      </c>
      <c r="AF114" s="83">
        <v>0</v>
      </c>
      <c r="AG114" s="83">
        <v>0</v>
      </c>
      <c r="AH114" s="83">
        <v>0</v>
      </c>
      <c r="AI114" s="277">
        <v>0</v>
      </c>
      <c r="AJ114" s="277">
        <v>0</v>
      </c>
      <c r="AK114" s="277">
        <v>0</v>
      </c>
      <c r="AL114" s="277">
        <v>0</v>
      </c>
      <c r="AM114" s="277">
        <f t="shared" si="10"/>
        <v>1.6935707804025291E-4</v>
      </c>
      <c r="AN114" s="277">
        <v>3.3871415608050583E-4</v>
      </c>
      <c r="AO114" s="277">
        <f t="shared" ref="AO114" si="29">(AN114+AP114)/2</f>
        <v>3.1692510010902666E-4</v>
      </c>
      <c r="AP114" s="277">
        <v>2.9513604413754755E-4</v>
      </c>
      <c r="AQ114" s="277">
        <v>1.3109428445100792E-4</v>
      </c>
      <c r="AR114" s="277">
        <v>0</v>
      </c>
    </row>
    <row r="115" spans="1:47">
      <c r="A115" s="91" t="s">
        <v>317</v>
      </c>
      <c r="B115" s="83">
        <v>0</v>
      </c>
      <c r="C115" s="83">
        <v>0</v>
      </c>
      <c r="D115" s="83">
        <v>0</v>
      </c>
      <c r="E115" s="83">
        <v>0</v>
      </c>
      <c r="F115" s="83">
        <v>0</v>
      </c>
      <c r="G115" s="83">
        <v>0</v>
      </c>
      <c r="H115" s="83">
        <v>0</v>
      </c>
      <c r="I115" s="83">
        <v>0</v>
      </c>
      <c r="J115" s="83">
        <v>0</v>
      </c>
      <c r="K115" s="83">
        <v>0</v>
      </c>
      <c r="L115" s="83">
        <v>0</v>
      </c>
      <c r="M115" s="83">
        <v>0</v>
      </c>
      <c r="N115" s="83">
        <v>0</v>
      </c>
      <c r="O115" s="83">
        <v>0</v>
      </c>
      <c r="P115" s="83">
        <v>0</v>
      </c>
      <c r="Q115" s="83">
        <v>0</v>
      </c>
      <c r="R115" s="83">
        <v>0</v>
      </c>
      <c r="S115" s="83">
        <v>0</v>
      </c>
      <c r="T115" s="83">
        <v>0</v>
      </c>
      <c r="U115" s="83">
        <v>0</v>
      </c>
      <c r="V115" s="83">
        <v>0</v>
      </c>
      <c r="W115" s="83">
        <v>0</v>
      </c>
      <c r="X115" s="83">
        <v>0</v>
      </c>
      <c r="Y115" s="83">
        <v>0</v>
      </c>
      <c r="Z115" s="83">
        <v>0</v>
      </c>
      <c r="AA115" s="83">
        <v>0</v>
      </c>
      <c r="AB115" s="83">
        <v>0</v>
      </c>
      <c r="AC115" s="83">
        <v>0</v>
      </c>
      <c r="AD115" s="83">
        <v>0</v>
      </c>
      <c r="AE115" s="83">
        <v>0</v>
      </c>
      <c r="AF115" s="83">
        <v>0</v>
      </c>
      <c r="AG115" s="83">
        <v>0</v>
      </c>
      <c r="AH115" s="83">
        <v>0</v>
      </c>
      <c r="AI115" s="277">
        <v>0</v>
      </c>
      <c r="AJ115" s="277">
        <v>0</v>
      </c>
      <c r="AK115" s="277">
        <v>0</v>
      </c>
      <c r="AL115" s="277">
        <v>0</v>
      </c>
      <c r="AM115" s="277">
        <f t="shared" si="10"/>
        <v>0</v>
      </c>
      <c r="AN115" s="277">
        <v>0</v>
      </c>
      <c r="AO115" s="277">
        <f t="shared" ref="AO115" si="30">(AN115+AP115)/2</f>
        <v>0</v>
      </c>
      <c r="AP115" s="277">
        <v>0</v>
      </c>
      <c r="AQ115" s="277">
        <v>0</v>
      </c>
      <c r="AR115" s="277">
        <v>0</v>
      </c>
    </row>
    <row r="116" spans="1:47">
      <c r="A116" s="115" t="s">
        <v>318</v>
      </c>
      <c r="B116" s="117">
        <v>840.32027929538674</v>
      </c>
      <c r="C116" s="117">
        <v>800.37383360692399</v>
      </c>
      <c r="D116" s="117">
        <v>848.01341581595204</v>
      </c>
      <c r="E116" s="117">
        <v>941.01941312122347</v>
      </c>
      <c r="F116" s="117">
        <v>1132.0569638258619</v>
      </c>
      <c r="G116" s="117">
        <v>1459.0663029888869</v>
      </c>
      <c r="H116" s="117">
        <v>1689.7205282562199</v>
      </c>
      <c r="I116" s="117">
        <v>1952.0478739223304</v>
      </c>
      <c r="J116" s="117">
        <v>2065.4546613610823</v>
      </c>
      <c r="K116" s="117">
        <v>1176.54827789672</v>
      </c>
      <c r="L116" s="117">
        <v>1204.6614188342569</v>
      </c>
      <c r="M116" s="117">
        <v>1217.1591627221378</v>
      </c>
      <c r="N116" s="117">
        <v>1233.4304596663196</v>
      </c>
      <c r="O116" s="117">
        <v>1245.8358090232609</v>
      </c>
      <c r="P116" s="117">
        <v>1248.9708240230461</v>
      </c>
      <c r="Q116" s="117">
        <v>1235.1760466024016</v>
      </c>
      <c r="R116" s="117">
        <v>1205.4588393361928</v>
      </c>
      <c r="S116" s="117">
        <v>1205.1706232858699</v>
      </c>
      <c r="T116" s="117">
        <v>1168.0845374729638</v>
      </c>
      <c r="U116" s="117">
        <v>1028.6478595807268</v>
      </c>
      <c r="V116" s="117">
        <v>1106.7913672417608</v>
      </c>
      <c r="W116" s="117">
        <v>1120.5399095555072</v>
      </c>
      <c r="X116" s="117">
        <v>1159.2663177124375</v>
      </c>
      <c r="Y116" s="117">
        <v>1201.0018441874729</v>
      </c>
      <c r="Z116" s="117">
        <v>1248.4655475564093</v>
      </c>
      <c r="AA116" s="117">
        <v>1284.8016769086696</v>
      </c>
      <c r="AB116" s="117">
        <v>1328.4407549435937</v>
      </c>
      <c r="AC116" s="117">
        <v>1370.464564089347</v>
      </c>
      <c r="AD116" s="117">
        <v>1355.6845171784973</v>
      </c>
      <c r="AE116" s="117">
        <v>1313.7170661368204</v>
      </c>
      <c r="AF116" s="117">
        <v>1289.7761760182361</v>
      </c>
      <c r="AG116" s="117">
        <v>1106.6961006833506</v>
      </c>
      <c r="AH116" s="117">
        <v>1202.5861584907836</v>
      </c>
      <c r="AI116" s="285">
        <v>1207.3317550577567</v>
      </c>
      <c r="AJ116" s="285">
        <v>1158.6230145496158</v>
      </c>
      <c r="AK116" s="285">
        <v>1135.2345515563691</v>
      </c>
      <c r="AL116" s="285">
        <v>1092.4803628240722</v>
      </c>
      <c r="AM116" s="285">
        <f>SUM(AM95:AM115)</f>
        <v>1001.136403314075</v>
      </c>
      <c r="AN116" s="285">
        <v>909.79244380407795</v>
      </c>
      <c r="AO116" s="285">
        <f>SUM(AO95:AO115)</f>
        <v>844.48831197914967</v>
      </c>
      <c r="AP116" s="285">
        <v>779.18418015422128</v>
      </c>
      <c r="AQ116" s="285">
        <v>291.90904334221204</v>
      </c>
      <c r="AR116" s="285">
        <v>57.879639817726122</v>
      </c>
    </row>
    <row r="117" spans="1:47">
      <c r="A117" s="91" t="s">
        <v>45</v>
      </c>
      <c r="B117" s="83">
        <v>11.252495386883803</v>
      </c>
      <c r="C117" s="83">
        <v>10.899805232966548</v>
      </c>
      <c r="D117" s="83">
        <v>10.379167386707744</v>
      </c>
      <c r="E117" s="83">
        <v>9.6038088737309266</v>
      </c>
      <c r="F117" s="83">
        <v>8.9180224633362695</v>
      </c>
      <c r="G117" s="83">
        <v>8.5205462581279328</v>
      </c>
      <c r="H117" s="83">
        <v>8.2518299503814561</v>
      </c>
      <c r="I117" s="83">
        <v>8.1734543606220669</v>
      </c>
      <c r="J117" s="83">
        <v>7.7787772836194256</v>
      </c>
      <c r="K117" s="83">
        <v>7.8375589759389657</v>
      </c>
      <c r="L117" s="83">
        <v>7.9775153862235904</v>
      </c>
      <c r="M117" s="83">
        <v>7.5856374374266426</v>
      </c>
      <c r="N117" s="83">
        <v>7.8095676938820411</v>
      </c>
      <c r="O117" s="83">
        <v>7.4736723091989452</v>
      </c>
      <c r="P117" s="83">
        <v>7.3617071809712415</v>
      </c>
      <c r="Q117" s="83">
        <v>7.0226648474178406</v>
      </c>
      <c r="R117" s="83">
        <v>6.4874168657098545</v>
      </c>
      <c r="S117" s="83">
        <v>6.2474871232602212</v>
      </c>
      <c r="T117" s="83">
        <v>6.4957729803507389</v>
      </c>
      <c r="U117" s="83">
        <v>5.9418762078015694</v>
      </c>
      <c r="V117" s="83">
        <v>5.6112694911380645</v>
      </c>
      <c r="W117" s="83">
        <v>5.666795521347753</v>
      </c>
      <c r="X117" s="83">
        <v>5.2026804959889708</v>
      </c>
      <c r="Y117" s="83">
        <v>5.1425659857646826</v>
      </c>
      <c r="Z117" s="83">
        <v>4.7952337786395027</v>
      </c>
      <c r="AA117" s="83">
        <v>4.8718078318524345</v>
      </c>
      <c r="AB117" s="83">
        <v>5.201189827274634</v>
      </c>
      <c r="AC117" s="83">
        <v>5.0271203998202747</v>
      </c>
      <c r="AD117" s="83">
        <v>5.2118330481214805</v>
      </c>
      <c r="AE117" s="83">
        <v>4.8224481777396022</v>
      </c>
      <c r="AF117" s="83">
        <v>4.8293382848939466</v>
      </c>
      <c r="AG117" s="83">
        <v>3.857379881516013</v>
      </c>
      <c r="AH117" s="83">
        <v>4.4151877158374342</v>
      </c>
      <c r="AI117" s="277">
        <v>4.6982356410665425</v>
      </c>
      <c r="AJ117" s="277">
        <v>4.3085810027592748</v>
      </c>
      <c r="AK117" s="277">
        <v>4.5178430926815105</v>
      </c>
      <c r="AL117" s="277">
        <v>4.5374561307348316</v>
      </c>
      <c r="AM117" s="277">
        <f>AL117+(AN117-AL117)/2</f>
        <v>4.5407566152041259</v>
      </c>
      <c r="AN117" s="277">
        <v>4.5440570996734211</v>
      </c>
      <c r="AO117" s="277">
        <f>AN117+(AP117-AN117)/2</f>
        <v>4.6324503981703344</v>
      </c>
      <c r="AP117" s="277">
        <v>4.7208436966672487</v>
      </c>
      <c r="AQ117" s="277">
        <v>3.8118935041231983</v>
      </c>
      <c r="AR117" s="277">
        <v>1.426888614419727</v>
      </c>
    </row>
    <row r="118" spans="1:47">
      <c r="A118" s="91" t="s">
        <v>319</v>
      </c>
      <c r="B118" s="83">
        <v>0.90095787050398335</v>
      </c>
      <c r="C118" s="83">
        <v>0.99536140474100099</v>
      </c>
      <c r="D118" s="83">
        <v>1.0425704311966433</v>
      </c>
      <c r="E118" s="83">
        <v>0.67288890857142858</v>
      </c>
      <c r="F118" s="83">
        <v>0.68432487992863522</v>
      </c>
      <c r="G118" s="83">
        <v>0.679163056172427</v>
      </c>
      <c r="H118" s="83">
        <v>0.69158882486072426</v>
      </c>
      <c r="I118" s="83">
        <v>0.66276085850052802</v>
      </c>
      <c r="J118" s="83">
        <v>0.72840426168224315</v>
      </c>
      <c r="K118" s="83">
        <v>0.86281306999598428</v>
      </c>
      <c r="L118" s="83">
        <v>0.86667666941798871</v>
      </c>
      <c r="M118" s="83">
        <v>0.74946349013144364</v>
      </c>
      <c r="N118" s="83">
        <v>0.8108111093908339</v>
      </c>
      <c r="O118" s="83">
        <v>0.83271832477076924</v>
      </c>
      <c r="P118" s="83">
        <v>0.85934454120713033</v>
      </c>
      <c r="Q118" s="83">
        <v>0.95473449645806874</v>
      </c>
      <c r="R118" s="83">
        <v>0.95304749079286422</v>
      </c>
      <c r="S118" s="83">
        <v>0.89570801005197576</v>
      </c>
      <c r="T118" s="83">
        <v>0.91324931848882973</v>
      </c>
      <c r="U118" s="83">
        <v>0.97331080076429333</v>
      </c>
      <c r="V118" s="83">
        <v>1.017845077654</v>
      </c>
      <c r="W118" s="83">
        <v>1.0682620052234693</v>
      </c>
      <c r="X118" s="83">
        <v>1.0580428305987502</v>
      </c>
      <c r="Y118" s="83">
        <v>1.0497592719673212</v>
      </c>
      <c r="Z118" s="83">
        <v>1.0194636726480135</v>
      </c>
      <c r="AA118" s="83">
        <v>0.9596692879267027</v>
      </c>
      <c r="AB118" s="83">
        <v>0.95951519844696997</v>
      </c>
      <c r="AC118" s="83">
        <v>0.84999521719040794</v>
      </c>
      <c r="AD118" s="83">
        <v>0.81936856907805966</v>
      </c>
      <c r="AE118" s="83">
        <v>0.87276664073339538</v>
      </c>
      <c r="AF118" s="83">
        <v>0.95210606070213888</v>
      </c>
      <c r="AG118" s="83">
        <v>0.87481971650812351</v>
      </c>
      <c r="AH118" s="83">
        <v>0.93075403898661158</v>
      </c>
      <c r="AI118" s="277">
        <v>0.81371146245263382</v>
      </c>
      <c r="AJ118" s="277">
        <v>0.73540001288168844</v>
      </c>
      <c r="AK118" s="277">
        <v>0.71727308160154968</v>
      </c>
      <c r="AL118" s="277">
        <v>0.76067605509120773</v>
      </c>
      <c r="AM118" s="277">
        <f>AL118+(AN118-AL118)/2</f>
        <v>0.89476560807952854</v>
      </c>
      <c r="AN118" s="277">
        <v>1.0288551610678494</v>
      </c>
      <c r="AO118" s="277">
        <f>AN118+(AP118-AN118)/2</f>
        <v>1.104049681612866</v>
      </c>
      <c r="AP118" s="277">
        <v>1.1792442021578828</v>
      </c>
      <c r="AQ118" s="277">
        <v>1.3107855940747553</v>
      </c>
      <c r="AR118" s="277">
        <v>1.5599832332110379</v>
      </c>
    </row>
    <row r="119" spans="1:47">
      <c r="A119" s="91" t="s">
        <v>320</v>
      </c>
      <c r="B119" s="83">
        <v>25.421085979107325</v>
      </c>
      <c r="C119" s="83">
        <v>22.238493653384118</v>
      </c>
      <c r="D119" s="83">
        <v>20.026903902944856</v>
      </c>
      <c r="E119" s="83">
        <v>21.982540265493032</v>
      </c>
      <c r="F119" s="83">
        <v>20.648743670712879</v>
      </c>
      <c r="G119" s="83">
        <v>24.325988421416891</v>
      </c>
      <c r="H119" s="83">
        <v>20.500260747902942</v>
      </c>
      <c r="I119" s="83">
        <v>20.517613290089987</v>
      </c>
      <c r="J119" s="83">
        <v>20.117940286705394</v>
      </c>
      <c r="K119" s="83">
        <v>20.360895577125049</v>
      </c>
      <c r="L119" s="83">
        <v>25.345254185002155</v>
      </c>
      <c r="M119" s="83">
        <v>21.237882140868763</v>
      </c>
      <c r="N119" s="83">
        <v>20.122519211810467</v>
      </c>
      <c r="O119" s="83">
        <v>19.732520905615456</v>
      </c>
      <c r="P119" s="83">
        <v>16.249247153357299</v>
      </c>
      <c r="Q119" s="83">
        <v>18.025313449786481</v>
      </c>
      <c r="R119" s="83">
        <v>13.3596866673974</v>
      </c>
      <c r="S119" s="83">
        <v>12.226545389242323</v>
      </c>
      <c r="T119" s="83">
        <v>12.628697522083471</v>
      </c>
      <c r="U119" s="83">
        <v>12.428937584875369</v>
      </c>
      <c r="V119" s="83">
        <v>15.447368974910596</v>
      </c>
      <c r="W119" s="83">
        <v>12.106679818590257</v>
      </c>
      <c r="X119" s="83">
        <v>13.04877238738753</v>
      </c>
      <c r="Y119" s="83">
        <v>11.821402337567623</v>
      </c>
      <c r="Z119" s="83">
        <v>11.36970969185627</v>
      </c>
      <c r="AA119" s="83">
        <v>11.455558974683949</v>
      </c>
      <c r="AB119" s="83">
        <v>13.69254140968132</v>
      </c>
      <c r="AC119" s="83">
        <v>13.896138948986298</v>
      </c>
      <c r="AD119" s="83">
        <v>13.668987025199373</v>
      </c>
      <c r="AE119" s="83">
        <v>13.865521663193189</v>
      </c>
      <c r="AF119" s="83">
        <v>11.865574979352068</v>
      </c>
      <c r="AG119" s="83">
        <v>11.98383697043336</v>
      </c>
      <c r="AH119" s="83">
        <v>13.126831894642761</v>
      </c>
      <c r="AI119" s="277">
        <v>14.29099312369347</v>
      </c>
      <c r="AJ119" s="277">
        <v>12.170440100490167</v>
      </c>
      <c r="AK119" s="277">
        <v>12.896749019212089</v>
      </c>
      <c r="AL119" s="277">
        <v>11.722815314755312</v>
      </c>
      <c r="AM119" s="277">
        <f>AL119+(AN119-AL119)/2</f>
        <v>10.925995576202611</v>
      </c>
      <c r="AN119" s="277">
        <v>10.12917583764991</v>
      </c>
      <c r="AO119" s="277">
        <f>AN119+(AP119-AN119)/2</f>
        <v>9.9112023440529118</v>
      </c>
      <c r="AP119" s="277">
        <v>9.6932288504559132</v>
      </c>
      <c r="AQ119" s="277">
        <v>6.358866750489403</v>
      </c>
      <c r="AR119" s="277">
        <v>3.5121436869951341</v>
      </c>
    </row>
    <row r="120" spans="1:47">
      <c r="A120" s="91" t="s">
        <v>321</v>
      </c>
      <c r="B120" s="83">
        <v>3.6115120914995207</v>
      </c>
      <c r="C120" s="83">
        <v>3.7127435466439125</v>
      </c>
      <c r="D120" s="83">
        <v>3.8150097812427521</v>
      </c>
      <c r="E120" s="83">
        <v>3.9909337184503868</v>
      </c>
      <c r="F120" s="83">
        <v>4.081024850485262</v>
      </c>
      <c r="G120" s="83">
        <v>4.2808859274496891</v>
      </c>
      <c r="H120" s="83">
        <v>4.3938903873445261</v>
      </c>
      <c r="I120" s="83">
        <v>4.5354708682585532</v>
      </c>
      <c r="J120" s="83">
        <v>4.855334232910093</v>
      </c>
      <c r="K120" s="83">
        <v>4.9627906391012671</v>
      </c>
      <c r="L120" s="83">
        <v>4.5450276923119111</v>
      </c>
      <c r="M120" s="83">
        <v>4.9138345271696249</v>
      </c>
      <c r="N120" s="83">
        <v>5.2621486135437463</v>
      </c>
      <c r="O120" s="83">
        <v>5.3485807493488791</v>
      </c>
      <c r="P120" s="83">
        <v>5.4738193637343056</v>
      </c>
      <c r="Q120" s="83">
        <v>5.208039774208487</v>
      </c>
      <c r="R120" s="83">
        <v>5.2058488449445566</v>
      </c>
      <c r="S120" s="83">
        <v>5.4186910254303093</v>
      </c>
      <c r="T120" s="83">
        <v>5.3314603599336436</v>
      </c>
      <c r="U120" s="83">
        <v>5.4070100513423816</v>
      </c>
      <c r="V120" s="83">
        <v>5.4985878204094449</v>
      </c>
      <c r="W120" s="83">
        <v>5.4964276048546381</v>
      </c>
      <c r="X120" s="83">
        <v>5.8245105609402374</v>
      </c>
      <c r="Y120" s="83">
        <v>5.8612522488471912</v>
      </c>
      <c r="Z120" s="83">
        <v>5.90082196627902</v>
      </c>
      <c r="AA120" s="83">
        <v>5.9420760181755012</v>
      </c>
      <c r="AB120" s="83">
        <v>5.9414112576808868</v>
      </c>
      <c r="AC120" s="83">
        <v>5.9845800213458329</v>
      </c>
      <c r="AD120" s="83">
        <v>6.0091389656270131</v>
      </c>
      <c r="AE120" s="83">
        <v>6.0500503338017042</v>
      </c>
      <c r="AF120" s="83">
        <v>6.1106927865321579</v>
      </c>
      <c r="AG120" s="83">
        <v>6.1285815442866811</v>
      </c>
      <c r="AH120" s="83">
        <v>6.1619622836835308</v>
      </c>
      <c r="AI120" s="277">
        <v>6.0889210410552153</v>
      </c>
      <c r="AJ120" s="277">
        <v>6.111719171001238</v>
      </c>
      <c r="AK120" s="277">
        <v>6.1641936065403984</v>
      </c>
      <c r="AL120" s="277">
        <v>6.3729557872763332</v>
      </c>
      <c r="AM120" s="277">
        <f>AL120+(AN120-AL120)/2</f>
        <v>6.2200592530110796</v>
      </c>
      <c r="AN120" s="277">
        <v>6.067162718745827</v>
      </c>
      <c r="AO120" s="277">
        <f>AN120+(AP120-AN120)/2</f>
        <v>6.1302175720565764</v>
      </c>
      <c r="AP120" s="277">
        <v>6.1932724253673248</v>
      </c>
      <c r="AQ120" s="277">
        <v>5.3654677067014234</v>
      </c>
      <c r="AR120" s="277">
        <v>5.6284200007868668</v>
      </c>
    </row>
    <row r="121" spans="1:47">
      <c r="A121" s="91" t="s">
        <v>199</v>
      </c>
      <c r="B121" s="83">
        <v>26.21838043209593</v>
      </c>
      <c r="C121" s="83">
        <v>26.968303593942732</v>
      </c>
      <c r="D121" s="83">
        <v>26.743604760522569</v>
      </c>
      <c r="E121" s="83">
        <v>26.795792787247475</v>
      </c>
      <c r="F121" s="83">
        <v>28.0598984254874</v>
      </c>
      <c r="G121" s="83">
        <v>32.166153102405403</v>
      </c>
      <c r="H121" s="83">
        <v>35.78224841195064</v>
      </c>
      <c r="I121" s="83">
        <v>36.824271166767247</v>
      </c>
      <c r="J121" s="83">
        <v>38.220801017816996</v>
      </c>
      <c r="K121" s="83">
        <v>39.447635598397973</v>
      </c>
      <c r="L121" s="83">
        <v>40.77153211371467</v>
      </c>
      <c r="M121" s="83">
        <v>38.500342519529674</v>
      </c>
      <c r="N121" s="83">
        <v>37.391236365559713</v>
      </c>
      <c r="O121" s="83">
        <v>34.123298595551539</v>
      </c>
      <c r="P121" s="83">
        <v>34.645219539326469</v>
      </c>
      <c r="Q121" s="83">
        <v>33.647529884862195</v>
      </c>
      <c r="R121" s="83">
        <v>32.22884622517455</v>
      </c>
      <c r="S121" s="83">
        <v>31.843222191718347</v>
      </c>
      <c r="T121" s="83">
        <v>32.126507770497426</v>
      </c>
      <c r="U121" s="83">
        <v>31.904172618322001</v>
      </c>
      <c r="V121" s="83">
        <v>31.694017048920479</v>
      </c>
      <c r="W121" s="83">
        <v>33.180211365164688</v>
      </c>
      <c r="X121" s="83">
        <v>33.342052011026503</v>
      </c>
      <c r="Y121" s="83">
        <v>32.886854545909976</v>
      </c>
      <c r="Z121" s="83">
        <v>31.51466411158043</v>
      </c>
      <c r="AA121" s="83">
        <v>31.474389479962266</v>
      </c>
      <c r="AB121" s="83">
        <v>31.465608895476628</v>
      </c>
      <c r="AC121" s="83">
        <v>32.464621555274299</v>
      </c>
      <c r="AD121" s="83">
        <v>33.537553243217026</v>
      </c>
      <c r="AE121" s="83">
        <v>35.292809703331073</v>
      </c>
      <c r="AF121" s="83">
        <v>35.868371371391881</v>
      </c>
      <c r="AG121" s="83">
        <v>22.029843455169114</v>
      </c>
      <c r="AH121" s="83">
        <v>27.201505210195538</v>
      </c>
      <c r="AI121" s="277">
        <v>33.153104209702448</v>
      </c>
      <c r="AJ121" s="277">
        <v>31.638498751800611</v>
      </c>
      <c r="AK121" s="277">
        <v>30.498586399979523</v>
      </c>
      <c r="AL121" s="277">
        <v>31.440093393842925</v>
      </c>
      <c r="AM121" s="277">
        <f>AL121+(AN121-AL121)/2</f>
        <v>31.375454686850006</v>
      </c>
      <c r="AN121" s="277">
        <v>31.31081597985709</v>
      </c>
      <c r="AO121" s="277">
        <f>AN121+(AP121-AN121)/2</f>
        <v>31.079464966453909</v>
      </c>
      <c r="AP121" s="277">
        <v>30.848113953050728</v>
      </c>
      <c r="AQ121" s="277">
        <v>21.788108514770364</v>
      </c>
      <c r="AR121" s="277">
        <v>17.409440511078781</v>
      </c>
    </row>
    <row r="122" spans="1:47">
      <c r="A122" s="115" t="s">
        <v>322</v>
      </c>
      <c r="B122" s="118">
        <v>67.40443176009056</v>
      </c>
      <c r="C122" s="118">
        <v>64.814707431678315</v>
      </c>
      <c r="D122" s="118">
        <v>62.007256262614561</v>
      </c>
      <c r="E122" s="116">
        <v>63.045964553493249</v>
      </c>
      <c r="F122" s="116">
        <v>62.392014289950453</v>
      </c>
      <c r="G122" s="116">
        <v>69.972736765572336</v>
      </c>
      <c r="H122" s="116">
        <v>69.619818322440295</v>
      </c>
      <c r="I122" s="116">
        <v>70.71357054423838</v>
      </c>
      <c r="J122" s="116">
        <v>71.701257082734145</v>
      </c>
      <c r="K122" s="116">
        <v>73.471693860559242</v>
      </c>
      <c r="L122" s="116">
        <v>79.506006046670308</v>
      </c>
      <c r="M122" s="116">
        <v>72.987160115126159</v>
      </c>
      <c r="N122" s="116">
        <v>71.396282994186805</v>
      </c>
      <c r="O122" s="116">
        <v>67.510790884485587</v>
      </c>
      <c r="P122" s="116">
        <v>64.589337778596445</v>
      </c>
      <c r="Q122" s="116">
        <v>64.858282452733079</v>
      </c>
      <c r="R122" s="116">
        <v>58.234846094019225</v>
      </c>
      <c r="S122" s="116">
        <v>56.631653739703182</v>
      </c>
      <c r="T122" s="116">
        <v>57.495687951354107</v>
      </c>
      <c r="U122" s="116">
        <v>56.655307263105612</v>
      </c>
      <c r="V122" s="116">
        <v>59.269088413032584</v>
      </c>
      <c r="W122" s="116">
        <v>57.518376315180802</v>
      </c>
      <c r="X122" s="116">
        <v>58.476058285941988</v>
      </c>
      <c r="Y122" s="116">
        <v>56.761834390056791</v>
      </c>
      <c r="Z122" s="116">
        <v>54.599893221003235</v>
      </c>
      <c r="AA122" s="116">
        <v>54.703501592600858</v>
      </c>
      <c r="AB122" s="116">
        <v>57.260266588560441</v>
      </c>
      <c r="AC122" s="116">
        <v>58.222456142617112</v>
      </c>
      <c r="AD122" s="116">
        <v>59.246880851242949</v>
      </c>
      <c r="AE122" s="116">
        <v>60.903596518798963</v>
      </c>
      <c r="AF122" s="116">
        <v>59.62608348287219</v>
      </c>
      <c r="AG122" s="116">
        <v>44.874461567913293</v>
      </c>
      <c r="AH122" s="116">
        <v>51.836241143345873</v>
      </c>
      <c r="AI122" s="285">
        <v>59.044965477970308</v>
      </c>
      <c r="AJ122" s="285">
        <v>54.964639038932972</v>
      </c>
      <c r="AK122" s="285">
        <v>54.794645200015069</v>
      </c>
      <c r="AL122" s="277">
        <v>54.833996681700611</v>
      </c>
      <c r="AM122" s="277">
        <f>SUM(AM117:AM121)</f>
        <v>53.95703173934735</v>
      </c>
      <c r="AN122" s="277">
        <v>53.080066796994096</v>
      </c>
      <c r="AO122" s="277">
        <f>SUM(AO117:AO121)</f>
        <v>52.8573849623466</v>
      </c>
      <c r="AP122" s="277">
        <v>52.634703127699098</v>
      </c>
      <c r="AQ122" s="277">
        <v>38.635122070159149</v>
      </c>
      <c r="AR122" s="277">
        <v>29.536876046491546</v>
      </c>
    </row>
    <row r="123" spans="1:47">
      <c r="A123" s="119" t="s">
        <v>323</v>
      </c>
      <c r="B123" s="121">
        <v>907.72471105547731</v>
      </c>
      <c r="C123" s="121">
        <v>865.18854103860235</v>
      </c>
      <c r="D123" s="121">
        <v>910.02067207856658</v>
      </c>
      <c r="E123" s="120">
        <v>1004.0653776747167</v>
      </c>
      <c r="F123" s="120">
        <v>1194.4489781158122</v>
      </c>
      <c r="G123" s="120">
        <v>1529.0390397544593</v>
      </c>
      <c r="H123" s="120">
        <v>1759.3403465786603</v>
      </c>
      <c r="I123" s="120">
        <v>2022.7614444665687</v>
      </c>
      <c r="J123" s="120">
        <v>2137.1559184438165</v>
      </c>
      <c r="K123" s="120">
        <v>1250.0199717572793</v>
      </c>
      <c r="L123" s="120">
        <v>1284.1674248809272</v>
      </c>
      <c r="M123" s="120">
        <v>1290.1463228372641</v>
      </c>
      <c r="N123" s="120">
        <v>1304.8267426605064</v>
      </c>
      <c r="O123" s="120">
        <v>1313.3465999077466</v>
      </c>
      <c r="P123" s="120">
        <v>1313.5601618016426</v>
      </c>
      <c r="Q123" s="120">
        <v>1300.0343290551345</v>
      </c>
      <c r="R123" s="120">
        <v>1263.6936854302121</v>
      </c>
      <c r="S123" s="120">
        <v>1261.8022770255729</v>
      </c>
      <c r="T123" s="120">
        <v>1225.5802254243179</v>
      </c>
      <c r="U123" s="120">
        <v>1085.3031668438325</v>
      </c>
      <c r="V123" s="120">
        <v>1166.0604556547933</v>
      </c>
      <c r="W123" s="120">
        <v>1178.058285870688</v>
      </c>
      <c r="X123" s="120">
        <v>1217.7423759983794</v>
      </c>
      <c r="Y123" s="120">
        <v>1257.7636785775296</v>
      </c>
      <c r="Z123" s="120">
        <v>1303.0654407774125</v>
      </c>
      <c r="AA123" s="120">
        <v>1339.5051785012704</v>
      </c>
      <c r="AB123" s="120">
        <v>1385.7010215321541</v>
      </c>
      <c r="AC123" s="120">
        <v>1428.6870202319642</v>
      </c>
      <c r="AD123" s="120">
        <v>1414.9313980297402</v>
      </c>
      <c r="AE123" s="120">
        <v>1374.6206626556195</v>
      </c>
      <c r="AF123" s="120">
        <v>1349.4022595011083</v>
      </c>
      <c r="AG123" s="120">
        <v>1151.5705622512639</v>
      </c>
      <c r="AH123" s="120">
        <v>1254.4223996341295</v>
      </c>
      <c r="AI123" s="286">
        <v>1266.3767205357269</v>
      </c>
      <c r="AJ123" s="286">
        <v>1213.5876535885488</v>
      </c>
      <c r="AK123" s="286">
        <v>1190.0291967563842</v>
      </c>
      <c r="AL123" s="286">
        <v>1147.3143595057729</v>
      </c>
      <c r="AM123" s="286">
        <f>+AM116+AM122</f>
        <v>1055.0934350534224</v>
      </c>
      <c r="AN123" s="286">
        <v>962.87251060107201</v>
      </c>
      <c r="AO123" s="286">
        <f>+AO116+AO122</f>
        <v>897.34569694149627</v>
      </c>
      <c r="AP123" s="286">
        <v>831.81888328192042</v>
      </c>
      <c r="AQ123" s="286">
        <v>330.54416541237117</v>
      </c>
      <c r="AR123" s="286">
        <v>87.416515864217658</v>
      </c>
    </row>
    <row r="124" spans="1:47">
      <c r="A124" s="122"/>
      <c r="B124" s="122"/>
      <c r="C124" s="122"/>
      <c r="D124" s="122"/>
      <c r="E124" s="122"/>
      <c r="F124" s="122"/>
      <c r="G124" s="122"/>
      <c r="H124" s="122"/>
      <c r="I124" s="122"/>
      <c r="J124" s="122"/>
      <c r="K124" s="122"/>
      <c r="L124" s="122"/>
      <c r="M124" s="122"/>
      <c r="N124" s="122"/>
      <c r="O124" s="122"/>
      <c r="P124" s="122"/>
      <c r="Q124" s="122"/>
      <c r="R124" s="122"/>
      <c r="S124" s="122"/>
      <c r="T124" s="122"/>
      <c r="U124" s="122"/>
      <c r="V124" s="122"/>
      <c r="W124" s="140"/>
      <c r="X124" s="140"/>
      <c r="Y124" s="140"/>
      <c r="Z124" s="140"/>
      <c r="AA124" s="140"/>
      <c r="AB124" s="140"/>
      <c r="AC124" s="140"/>
      <c r="AD124" s="140"/>
      <c r="AE124" s="140"/>
      <c r="AF124" s="122"/>
      <c r="AG124" s="122"/>
      <c r="AH124" s="122"/>
      <c r="AP124">
        <v>0</v>
      </c>
      <c r="AQ124">
        <v>0</v>
      </c>
      <c r="AR124">
        <v>0</v>
      </c>
    </row>
    <row r="125" spans="1:47" ht="24">
      <c r="A125" s="123" t="s">
        <v>324</v>
      </c>
      <c r="B125" s="124">
        <v>0.61180363949601657</v>
      </c>
      <c r="C125" s="124">
        <v>0.5850985952589991</v>
      </c>
      <c r="D125" s="124">
        <v>0.65077956880335697</v>
      </c>
      <c r="E125" s="124">
        <v>0.47858909142857148</v>
      </c>
      <c r="F125" s="124">
        <v>0.53488712007136485</v>
      </c>
      <c r="G125" s="124">
        <v>0.58523462382757296</v>
      </c>
      <c r="H125" s="124">
        <v>0.5502011751392758</v>
      </c>
      <c r="I125" s="124">
        <v>0.53387314149947196</v>
      </c>
      <c r="J125" s="124">
        <v>0.58111973831775687</v>
      </c>
      <c r="K125" s="124">
        <v>0.57219678265929497</v>
      </c>
      <c r="L125" s="124">
        <v>0.65290462282732953</v>
      </c>
      <c r="M125" s="124">
        <v>0.65082792228721065</v>
      </c>
      <c r="N125" s="124">
        <v>0.63127733222177174</v>
      </c>
      <c r="O125" s="124">
        <v>0.59394084940128478</v>
      </c>
      <c r="P125" s="124">
        <v>0.65044310577556264</v>
      </c>
      <c r="Q125" s="124">
        <v>0.66175105166466974</v>
      </c>
      <c r="R125" s="124">
        <v>0.67811021680740935</v>
      </c>
      <c r="S125" s="124">
        <v>0.64774133390236532</v>
      </c>
      <c r="T125" s="124">
        <v>0.61760627503701704</v>
      </c>
      <c r="U125" s="124">
        <v>0.5372236073631057</v>
      </c>
      <c r="V125" s="124">
        <v>0.61792626165001074</v>
      </c>
      <c r="W125" s="124">
        <v>0.56875435418360976</v>
      </c>
      <c r="X125" s="124">
        <v>0.57729790184254071</v>
      </c>
      <c r="Y125" s="124">
        <v>0.59148463490575687</v>
      </c>
      <c r="Z125" s="124">
        <v>0.58815211883539231</v>
      </c>
      <c r="AA125" s="124">
        <v>0.57022373328197573</v>
      </c>
      <c r="AB125" s="124">
        <v>0.57015929513525276</v>
      </c>
      <c r="AC125" s="124">
        <v>0.55275878447192106</v>
      </c>
      <c r="AD125" s="124">
        <v>0.56305562118336194</v>
      </c>
      <c r="AE125" s="124">
        <v>0.49492626017927288</v>
      </c>
      <c r="AF125" s="124">
        <v>0.54160112996153531</v>
      </c>
      <c r="AG125" s="124">
        <v>0.44618994675506013</v>
      </c>
      <c r="AH125" s="124">
        <v>0.45257875148417104</v>
      </c>
      <c r="AI125" s="277">
        <v>0.44069820869733883</v>
      </c>
      <c r="AJ125" s="277">
        <v>0.38641740376794292</v>
      </c>
      <c r="AK125" s="277">
        <v>0.42491821594828966</v>
      </c>
      <c r="AL125" s="277">
        <v>0.42294484473277077</v>
      </c>
      <c r="AM125" s="277">
        <v>0.55714168768523775</v>
      </c>
      <c r="AN125" s="277">
        <v>0.55714168768523775</v>
      </c>
      <c r="AO125" s="277">
        <f>AN125+(AP125-AN125)/2</f>
        <v>0.59786073509483728</v>
      </c>
      <c r="AP125" s="277">
        <v>0.63857978250443692</v>
      </c>
      <c r="AQ125" s="277">
        <v>0.70981157087100066</v>
      </c>
      <c r="AR125" s="277">
        <v>0.84475611747896484</v>
      </c>
      <c r="AU125" s="390"/>
    </row>
    <row r="126" spans="1:47" ht="24">
      <c r="A126" s="123" t="s">
        <v>325</v>
      </c>
      <c r="B126" s="124">
        <v>40.952196203162671</v>
      </c>
      <c r="C126" s="124">
        <v>47.279515013914086</v>
      </c>
      <c r="D126" s="124">
        <v>46.583136842756247</v>
      </c>
      <c r="E126" s="124">
        <v>44.41597089307858</v>
      </c>
      <c r="F126" s="124">
        <v>39.312254742404299</v>
      </c>
      <c r="G126" s="124">
        <v>36.637815407497193</v>
      </c>
      <c r="H126" s="124">
        <v>42.608368151648165</v>
      </c>
      <c r="I126" s="124">
        <v>47.665955548541326</v>
      </c>
      <c r="J126" s="124">
        <v>53.926489740604744</v>
      </c>
      <c r="K126" s="124">
        <v>55.012271567416157</v>
      </c>
      <c r="L126" s="124">
        <v>51.448284979856361</v>
      </c>
      <c r="M126" s="124">
        <v>46.283945168596048</v>
      </c>
      <c r="N126" s="124">
        <v>45.228439029026696</v>
      </c>
      <c r="O126" s="124">
        <v>50.177322550864787</v>
      </c>
      <c r="P126" s="124">
        <v>60.474115808588827</v>
      </c>
      <c r="Q126" s="124">
        <v>52.656785096848417</v>
      </c>
      <c r="R126" s="124">
        <v>58.650564722672506</v>
      </c>
      <c r="S126" s="124">
        <v>60.849411734359848</v>
      </c>
      <c r="T126" s="124">
        <v>51.51448017490857</v>
      </c>
      <c r="U126" s="124">
        <v>51.930509660293318</v>
      </c>
      <c r="V126" s="124">
        <v>46.946388022847003</v>
      </c>
      <c r="W126" s="124">
        <v>53.79836573556684</v>
      </c>
      <c r="X126" s="124">
        <v>50.417471629133388</v>
      </c>
      <c r="Y126" s="124">
        <v>45.741182721770528</v>
      </c>
      <c r="Z126" s="124">
        <v>38.767620362837931</v>
      </c>
      <c r="AA126" s="124">
        <v>33.992442120644633</v>
      </c>
      <c r="AB126" s="124">
        <v>31.754683489880478</v>
      </c>
      <c r="AC126" s="124">
        <v>29.379568115932329</v>
      </c>
      <c r="AD126" s="124">
        <v>32.643078851424178</v>
      </c>
      <c r="AE126" s="124">
        <v>37.020932338299993</v>
      </c>
      <c r="AF126" s="124">
        <v>32.680600572091919</v>
      </c>
      <c r="AG126" s="124">
        <v>17.487106097127896</v>
      </c>
      <c r="AH126" s="124">
        <v>19.978583930636336</v>
      </c>
      <c r="AI126" s="277">
        <v>25.629863764119914</v>
      </c>
      <c r="AJ126" s="277">
        <v>25.035340856372382</v>
      </c>
      <c r="AK126" s="277">
        <v>27.476120193666087</v>
      </c>
      <c r="AL126" s="277">
        <v>21.218506584940034</v>
      </c>
      <c r="AM126" s="277">
        <v>19.825904820907184</v>
      </c>
      <c r="AN126" s="277">
        <v>19.825904820907184</v>
      </c>
      <c r="AO126" s="277">
        <f>AN126+(AP126-AN126)/2</f>
        <v>19.179006791590222</v>
      </c>
      <c r="AP126" s="277">
        <v>18.532108762273261</v>
      </c>
      <c r="AQ126" s="277">
        <v>13.305168474666383</v>
      </c>
      <c r="AR126" s="277">
        <v>8.9959498161277498</v>
      </c>
    </row>
    <row r="127" spans="1:47" ht="24">
      <c r="A127" s="123" t="s">
        <v>326</v>
      </c>
      <c r="B127" s="124">
        <v>67.459492752479861</v>
      </c>
      <c r="C127" s="124">
        <v>64.943649304098216</v>
      </c>
      <c r="D127" s="124">
        <v>75.139468171183779</v>
      </c>
      <c r="E127" s="124">
        <v>77.288831818867479</v>
      </c>
      <c r="F127" s="124">
        <v>80.080983137060912</v>
      </c>
      <c r="G127" s="124">
        <v>80.51750983539452</v>
      </c>
      <c r="H127" s="124">
        <v>85.384690199632772</v>
      </c>
      <c r="I127" s="124">
        <v>87.545495153300649</v>
      </c>
      <c r="J127" s="124">
        <v>92.772350767735773</v>
      </c>
      <c r="K127" s="124">
        <v>102.22124183138132</v>
      </c>
      <c r="L127" s="124">
        <v>105.68738221265427</v>
      </c>
      <c r="M127" s="124">
        <v>106.04390910228099</v>
      </c>
      <c r="N127" s="124">
        <v>106.45518598048507</v>
      </c>
      <c r="O127" s="124">
        <v>107.14094240197583</v>
      </c>
      <c r="P127" s="124">
        <v>114.20805863093742</v>
      </c>
      <c r="Q127" s="124">
        <v>115.68071112728177</v>
      </c>
      <c r="R127" s="124">
        <v>121.65029621926925</v>
      </c>
      <c r="S127" s="124">
        <v>126.01951391732048</v>
      </c>
      <c r="T127" s="124">
        <v>127.34924034885132</v>
      </c>
      <c r="U127" s="124">
        <v>116.88002284752082</v>
      </c>
      <c r="V127" s="124">
        <v>117.24985638941155</v>
      </c>
      <c r="W127" s="124">
        <v>122.05622478305409</v>
      </c>
      <c r="X127" s="124">
        <v>119.07740386850882</v>
      </c>
      <c r="Y127" s="124">
        <v>118.35943626535983</v>
      </c>
      <c r="Z127" s="124">
        <v>119.74267424765146</v>
      </c>
      <c r="AA127" s="124">
        <v>126.61941137918021</v>
      </c>
      <c r="AB127" s="124">
        <v>126.63073470044725</v>
      </c>
      <c r="AC127" s="124">
        <v>124.50645826235423</v>
      </c>
      <c r="AD127" s="124">
        <v>126.53476529918467</v>
      </c>
      <c r="AE127" s="124">
        <v>131.04867178626259</v>
      </c>
      <c r="AF127" s="124">
        <v>137.56998508519598</v>
      </c>
      <c r="AG127" s="124">
        <v>59.043779319685555</v>
      </c>
      <c r="AH127" s="124">
        <v>64.695986678204662</v>
      </c>
      <c r="AI127" s="277">
        <v>103.07573765529197</v>
      </c>
      <c r="AJ127" s="277">
        <v>119.70578523823681</v>
      </c>
      <c r="AK127" s="277">
        <v>129.8527633054762</v>
      </c>
      <c r="AL127" s="277">
        <v>139.59228517741849</v>
      </c>
      <c r="AM127" s="277">
        <v>136.90419576688103</v>
      </c>
      <c r="AN127" s="277">
        <v>136.90419576688103</v>
      </c>
      <c r="AO127" s="277">
        <f>AN127+(AP127-AN127)/2</f>
        <v>135.825194340759</v>
      </c>
      <c r="AP127" s="277">
        <v>134.74619291463696</v>
      </c>
      <c r="AQ127" s="277">
        <v>87.914547081679544</v>
      </c>
      <c r="AR127" s="277">
        <v>34.330471865422467</v>
      </c>
    </row>
    <row r="128" spans="1:47">
      <c r="A128" s="125" t="s">
        <v>327</v>
      </c>
      <c r="B128" s="126">
        <v>0</v>
      </c>
      <c r="C128" s="126">
        <v>0</v>
      </c>
      <c r="D128" s="126">
        <v>0</v>
      </c>
      <c r="E128" s="126">
        <v>0</v>
      </c>
      <c r="F128" s="126">
        <v>0</v>
      </c>
      <c r="G128" s="126">
        <v>0</v>
      </c>
      <c r="H128" s="126">
        <v>0</v>
      </c>
      <c r="I128" s="126">
        <v>0</v>
      </c>
      <c r="J128" s="126">
        <v>0</v>
      </c>
      <c r="K128" s="126">
        <v>0</v>
      </c>
      <c r="L128" s="126">
        <v>0</v>
      </c>
      <c r="M128" s="126">
        <v>0</v>
      </c>
      <c r="N128" s="126">
        <v>0</v>
      </c>
      <c r="O128" s="126">
        <v>0</v>
      </c>
      <c r="P128" s="126">
        <v>0</v>
      </c>
      <c r="Q128" s="126">
        <v>0</v>
      </c>
      <c r="R128" s="126">
        <v>0</v>
      </c>
      <c r="S128" s="126">
        <v>0</v>
      </c>
      <c r="T128" s="126">
        <v>0</v>
      </c>
      <c r="U128" s="126">
        <v>0</v>
      </c>
      <c r="V128" s="126">
        <v>0</v>
      </c>
      <c r="W128" s="126">
        <v>0</v>
      </c>
      <c r="X128" s="126">
        <v>0</v>
      </c>
      <c r="Y128" s="126">
        <v>0</v>
      </c>
      <c r="Z128" s="126">
        <v>0</v>
      </c>
      <c r="AA128" s="126">
        <v>0</v>
      </c>
      <c r="AB128" s="126">
        <v>0</v>
      </c>
      <c r="AC128" s="126">
        <v>0</v>
      </c>
      <c r="AD128" s="126">
        <v>0</v>
      </c>
      <c r="AE128" s="126">
        <v>0</v>
      </c>
      <c r="AF128" s="126">
        <v>0</v>
      </c>
      <c r="AG128" s="126">
        <v>0</v>
      </c>
      <c r="AH128" s="126">
        <v>0</v>
      </c>
      <c r="AI128" s="277">
        <v>0</v>
      </c>
      <c r="AJ128" s="277">
        <v>0</v>
      </c>
      <c r="AK128" s="277">
        <v>0</v>
      </c>
      <c r="AL128" s="277">
        <v>0</v>
      </c>
      <c r="AM128" s="277">
        <v>0</v>
      </c>
      <c r="AN128" s="277">
        <v>0</v>
      </c>
      <c r="AO128" s="277">
        <f>AN128+(AP128-AN128)/2</f>
        <v>0</v>
      </c>
      <c r="AP128" s="277">
        <v>0</v>
      </c>
      <c r="AQ128" s="277">
        <v>0</v>
      </c>
      <c r="AR128" s="277">
        <v>0</v>
      </c>
    </row>
    <row r="129" spans="1:44">
      <c r="A129" s="127" t="s">
        <v>328</v>
      </c>
      <c r="B129" s="129">
        <v>109.02349259513855</v>
      </c>
      <c r="C129" s="129">
        <v>112.80826291327131</v>
      </c>
      <c r="D129" s="129">
        <v>122.37338458274338</v>
      </c>
      <c r="E129" s="129">
        <v>122.18339180337463</v>
      </c>
      <c r="F129" s="128">
        <v>119.92812499953658</v>
      </c>
      <c r="G129" s="128">
        <v>117.74055986671928</v>
      </c>
      <c r="H129" s="128">
        <v>128.54325952642023</v>
      </c>
      <c r="I129" s="128">
        <v>135.74532384334145</v>
      </c>
      <c r="J129" s="128">
        <v>147.27996024665828</v>
      </c>
      <c r="K129" s="128">
        <v>157.80571018145679</v>
      </c>
      <c r="L129" s="128">
        <v>157.78857181533795</v>
      </c>
      <c r="M129" s="128">
        <v>152.97868219316425</v>
      </c>
      <c r="N129" s="128">
        <v>152.31490234173353</v>
      </c>
      <c r="O129" s="128">
        <v>157.91220580224191</v>
      </c>
      <c r="P129" s="128">
        <v>175.33261754530182</v>
      </c>
      <c r="Q129" s="128">
        <v>168.99924727579486</v>
      </c>
      <c r="R129" s="128">
        <v>180.97897115874918</v>
      </c>
      <c r="S129" s="128">
        <v>187.5166669855827</v>
      </c>
      <c r="T129" s="128">
        <v>179.48132679879691</v>
      </c>
      <c r="U129" s="128">
        <v>169.34775611517725</v>
      </c>
      <c r="V129" s="128">
        <v>164.81417067390856</v>
      </c>
      <c r="W129" s="128">
        <v>176.42334487280453</v>
      </c>
      <c r="X129" s="128">
        <v>170.07217339948477</v>
      </c>
      <c r="Y129" s="128">
        <v>164.69210362203611</v>
      </c>
      <c r="Z129" s="128">
        <v>159.09844672932479</v>
      </c>
      <c r="AA129" s="128">
        <v>161.18207723310681</v>
      </c>
      <c r="AB129" s="128">
        <v>158.95557748546298</v>
      </c>
      <c r="AC129" s="128">
        <v>154.43878516275848</v>
      </c>
      <c r="AD129" s="128">
        <v>159.74089977179221</v>
      </c>
      <c r="AE129" s="128">
        <v>168.56453038474186</v>
      </c>
      <c r="AF129" s="128">
        <v>170.79218678724942</v>
      </c>
      <c r="AG129" s="128">
        <v>76.977075363568503</v>
      </c>
      <c r="AH129" s="128">
        <v>85.127149360325177</v>
      </c>
      <c r="AI129" s="287">
        <v>129.14629962810923</v>
      </c>
      <c r="AJ129" s="287">
        <v>145.12754349837715</v>
      </c>
      <c r="AK129" s="287">
        <v>157.75380171509059</v>
      </c>
      <c r="AL129" s="287">
        <v>161.23373660709129</v>
      </c>
      <c r="AM129" s="287">
        <v>157.28724227547346</v>
      </c>
      <c r="AN129" s="287">
        <v>157.28724227547346</v>
      </c>
      <c r="AO129" s="287">
        <f>SUM(AO125:AO128)</f>
        <v>155.60206186744406</v>
      </c>
      <c r="AP129" s="287">
        <v>153.9168814594147</v>
      </c>
      <c r="AQ129" s="287">
        <v>101.92952712721694</v>
      </c>
      <c r="AR129" s="287">
        <v>44.171177799029181</v>
      </c>
    </row>
    <row r="130" spans="1:44" ht="15">
      <c r="A130" s="501"/>
      <c r="B130" s="501"/>
      <c r="C130" s="501"/>
      <c r="D130" s="501"/>
      <c r="E130" s="501"/>
      <c r="F130" s="501"/>
      <c r="G130" s="501"/>
      <c r="H130" s="501"/>
      <c r="I130" s="501"/>
      <c r="J130" s="501"/>
      <c r="K130" s="501"/>
      <c r="L130" s="501"/>
      <c r="M130" s="501"/>
      <c r="N130" s="501"/>
      <c r="O130" s="501"/>
      <c r="P130" s="501"/>
      <c r="Q130" s="501"/>
      <c r="R130" s="501"/>
      <c r="S130" s="501"/>
      <c r="T130" s="501"/>
      <c r="U130" s="501"/>
      <c r="V130" s="501"/>
      <c r="W130" s="501"/>
      <c r="X130" s="501"/>
      <c r="Y130" s="501"/>
      <c r="Z130" s="501"/>
      <c r="AA130" s="501"/>
      <c r="AB130" s="501"/>
      <c r="AC130" s="61"/>
      <c r="AD130" s="61"/>
      <c r="AE130" s="61"/>
      <c r="AF130" s="61"/>
      <c r="AG130" s="61"/>
      <c r="AH130" s="61"/>
    </row>
    <row r="131" spans="1:44">
      <c r="A131" s="130" t="s">
        <v>329</v>
      </c>
      <c r="B131" s="131"/>
      <c r="C131" s="131"/>
      <c r="D131" s="131"/>
      <c r="E131" s="131"/>
      <c r="F131" s="131"/>
      <c r="G131" s="131"/>
      <c r="H131" s="131"/>
      <c r="I131" s="131"/>
      <c r="J131" s="131"/>
      <c r="K131" s="131"/>
      <c r="L131" s="131"/>
      <c r="M131" s="131"/>
      <c r="N131" s="131"/>
      <c r="O131" s="131"/>
      <c r="P131" s="131"/>
      <c r="Q131" s="131"/>
      <c r="R131" s="131"/>
      <c r="S131" s="131"/>
      <c r="T131" s="131"/>
      <c r="U131" s="131"/>
      <c r="V131" s="131"/>
      <c r="W131" s="131"/>
      <c r="X131" s="131"/>
      <c r="Y131" s="131"/>
      <c r="Z131" s="131"/>
      <c r="AA131" s="131"/>
      <c r="AB131" s="131"/>
      <c r="AC131" s="131"/>
      <c r="AD131" s="131"/>
      <c r="AE131" s="131"/>
      <c r="AF131" s="131"/>
      <c r="AG131" s="131"/>
      <c r="AH131" s="131"/>
      <c r="AI131" s="131"/>
      <c r="AJ131" s="131"/>
      <c r="AK131" s="131"/>
      <c r="AL131" s="506" t="s">
        <v>262</v>
      </c>
      <c r="AM131" s="506"/>
      <c r="AN131" s="506"/>
      <c r="AO131" s="506"/>
      <c r="AP131" s="506"/>
      <c r="AQ131" s="506"/>
      <c r="AR131" s="506"/>
    </row>
    <row r="132" spans="1:44" ht="52.8">
      <c r="A132" s="66" t="s">
        <v>341</v>
      </c>
      <c r="B132" s="393">
        <v>1990</v>
      </c>
      <c r="C132" s="393">
        <v>1991</v>
      </c>
      <c r="D132" s="393">
        <v>1992</v>
      </c>
      <c r="E132" s="393">
        <v>1993</v>
      </c>
      <c r="F132" s="393">
        <v>1994</v>
      </c>
      <c r="G132" s="393">
        <v>1995</v>
      </c>
      <c r="H132" s="393">
        <v>1996</v>
      </c>
      <c r="I132" s="393">
        <v>1997</v>
      </c>
      <c r="J132" s="393">
        <v>1998</v>
      </c>
      <c r="K132" s="393">
        <v>1999</v>
      </c>
      <c r="L132" s="393">
        <v>2000</v>
      </c>
      <c r="M132" s="393">
        <v>2001</v>
      </c>
      <c r="N132" s="393">
        <v>2002</v>
      </c>
      <c r="O132" s="393">
        <v>2003</v>
      </c>
      <c r="P132" s="393">
        <v>2004</v>
      </c>
      <c r="Q132" s="393">
        <v>2005</v>
      </c>
      <c r="R132" s="393">
        <v>2006</v>
      </c>
      <c r="S132" s="393">
        <v>2007</v>
      </c>
      <c r="T132" s="393">
        <v>2008</v>
      </c>
      <c r="U132" s="393">
        <v>2009</v>
      </c>
      <c r="V132" s="393">
        <v>2010</v>
      </c>
      <c r="W132" s="393">
        <v>2011</v>
      </c>
      <c r="X132" s="393">
        <v>2012</v>
      </c>
      <c r="Y132" s="393">
        <v>2013</v>
      </c>
      <c r="Z132" s="393">
        <v>2014</v>
      </c>
      <c r="AA132" s="393">
        <v>2015</v>
      </c>
      <c r="AB132" s="393">
        <v>2016</v>
      </c>
      <c r="AC132" s="393">
        <v>2017</v>
      </c>
      <c r="AD132" s="393">
        <v>2018</v>
      </c>
      <c r="AE132" s="393">
        <v>2019</v>
      </c>
      <c r="AF132" s="393">
        <v>2020</v>
      </c>
      <c r="AG132" s="397">
        <v>2021</v>
      </c>
      <c r="AH132" s="397">
        <v>2022</v>
      </c>
      <c r="AI132" s="393">
        <v>2023</v>
      </c>
      <c r="AJ132" s="394">
        <v>2024</v>
      </c>
      <c r="AK132" s="393">
        <v>2025</v>
      </c>
      <c r="AL132" s="394">
        <v>2026</v>
      </c>
      <c r="AM132" s="394">
        <v>2027</v>
      </c>
      <c r="AN132" s="393">
        <v>2028</v>
      </c>
      <c r="AO132" s="394">
        <v>2029</v>
      </c>
      <c r="AP132" s="393">
        <v>2030</v>
      </c>
      <c r="AQ132" s="395">
        <v>2040</v>
      </c>
      <c r="AR132" s="396">
        <v>2050</v>
      </c>
    </row>
    <row r="133" spans="1:44">
      <c r="A133" s="91" t="s">
        <v>85</v>
      </c>
      <c r="B133" s="83">
        <v>91.714536172628172</v>
      </c>
      <c r="C133" s="83">
        <v>41.699619405534236</v>
      </c>
      <c r="D133" s="83">
        <v>47.622537336174368</v>
      </c>
      <c r="E133" s="83">
        <v>46.958864008364721</v>
      </c>
      <c r="F133" s="83">
        <v>52.516603899021241</v>
      </c>
      <c r="G133" s="83">
        <v>47.705533203678243</v>
      </c>
      <c r="H133" s="83">
        <v>42.752879692435513</v>
      </c>
      <c r="I133" s="83">
        <v>50.542654229217987</v>
      </c>
      <c r="J133" s="83">
        <v>48.549336391085092</v>
      </c>
      <c r="K133" s="83">
        <v>44.29419786030892</v>
      </c>
      <c r="L133" s="83">
        <v>52.580761912061739</v>
      </c>
      <c r="M133" s="83">
        <v>47.122395835004951</v>
      </c>
      <c r="N133" s="83">
        <v>60.763125984152985</v>
      </c>
      <c r="O133" s="83">
        <v>87.936712684843485</v>
      </c>
      <c r="P133" s="83">
        <v>39.268284089634683</v>
      </c>
      <c r="Q133" s="83">
        <v>49.120693488692034</v>
      </c>
      <c r="R133" s="83">
        <v>33.719177538860713</v>
      </c>
      <c r="S133" s="83">
        <v>32.778651635029519</v>
      </c>
      <c r="T133" s="83">
        <v>30.564991519524465</v>
      </c>
      <c r="U133" s="83">
        <v>39.436758193813624</v>
      </c>
      <c r="V133" s="83">
        <v>35.466904401594327</v>
      </c>
      <c r="W133" s="83">
        <v>37.146293419342868</v>
      </c>
      <c r="X133" s="83">
        <v>36.599696298041415</v>
      </c>
      <c r="Y133" s="83">
        <v>24.881250869851989</v>
      </c>
      <c r="Z133" s="83">
        <v>32.526265631101943</v>
      </c>
      <c r="AA133" s="83">
        <v>33.93004274155507</v>
      </c>
      <c r="AB133" s="83">
        <v>39.296628973443276</v>
      </c>
      <c r="AC133" s="83">
        <v>45.147308271170857</v>
      </c>
      <c r="AD133" s="83">
        <v>31.09439996983166</v>
      </c>
      <c r="AE133" s="83">
        <v>40.64169619247992</v>
      </c>
      <c r="AF133" s="83">
        <v>36.60777219928449</v>
      </c>
      <c r="AG133" s="83">
        <v>37.12789097859131</v>
      </c>
      <c r="AH133" s="83">
        <v>95.29161247263005</v>
      </c>
      <c r="AI133" s="277">
        <v>32.884794520526306</v>
      </c>
      <c r="AJ133" s="277">
        <v>28.965036956505596</v>
      </c>
      <c r="AK133" s="277">
        <v>44.807133597002412</v>
      </c>
      <c r="AL133" s="277">
        <v>28.916855397364639</v>
      </c>
      <c r="AM133" s="277">
        <f t="shared" ref="AM133:AO140" si="31">AL133+(AN133-AL133)/2</f>
        <v>31.788793793755055</v>
      </c>
      <c r="AN133" s="277">
        <v>34.660732190145474</v>
      </c>
      <c r="AO133" s="277">
        <f t="shared" si="31"/>
        <v>34.660732190145474</v>
      </c>
      <c r="AP133" s="277">
        <v>34.660732190145474</v>
      </c>
      <c r="AQ133" s="277">
        <v>34.660732190145474</v>
      </c>
      <c r="AR133" s="277">
        <v>34.660732190145474</v>
      </c>
    </row>
    <row r="134" spans="1:44">
      <c r="A134" s="91" t="s">
        <v>330</v>
      </c>
      <c r="B134" s="83">
        <v>1654.5553833115609</v>
      </c>
      <c r="C134" s="83">
        <v>1681.2001323369125</v>
      </c>
      <c r="D134" s="83">
        <v>1624.9380799537109</v>
      </c>
      <c r="E134" s="83">
        <v>1561.7700928617483</v>
      </c>
      <c r="F134" s="83">
        <v>1483.0000207865503</v>
      </c>
      <c r="G134" s="83">
        <v>1689.0491341366269</v>
      </c>
      <c r="H134" s="83">
        <v>1321.1434556454585</v>
      </c>
      <c r="I134" s="83">
        <v>1237.4337812120948</v>
      </c>
      <c r="J134" s="83">
        <v>1157.0279486689035</v>
      </c>
      <c r="K134" s="83">
        <v>1086.6988492686885</v>
      </c>
      <c r="L134" s="83">
        <v>1533.4750086965273</v>
      </c>
      <c r="M134" s="83">
        <v>942.08079770731752</v>
      </c>
      <c r="N134" s="83">
        <v>928.29968342314737</v>
      </c>
      <c r="O134" s="83">
        <v>930.07498402838826</v>
      </c>
      <c r="P134" s="83">
        <v>946.69123135443294</v>
      </c>
      <c r="Q134" s="83">
        <v>1274.4068645858267</v>
      </c>
      <c r="R134" s="83">
        <v>972.25735583939399</v>
      </c>
      <c r="S134" s="83">
        <v>979.92769091961827</v>
      </c>
      <c r="T134" s="83">
        <v>972.7927613477965</v>
      </c>
      <c r="U134" s="83">
        <v>963.59813168596224</v>
      </c>
      <c r="V134" s="83">
        <v>900.96464403872847</v>
      </c>
      <c r="W134" s="83">
        <v>905.83636785783915</v>
      </c>
      <c r="X134" s="83">
        <v>841.06498154678354</v>
      </c>
      <c r="Y134" s="83">
        <v>803.32235951784276</v>
      </c>
      <c r="Z134" s="83">
        <v>767.61852393056699</v>
      </c>
      <c r="AA134" s="83">
        <v>727.92188054887561</v>
      </c>
      <c r="AB134" s="83">
        <v>672.13455956129815</v>
      </c>
      <c r="AC134" s="83">
        <v>617.64467455616523</v>
      </c>
      <c r="AD134" s="83">
        <v>583.10011359122643</v>
      </c>
      <c r="AE134" s="83">
        <v>548.21411226564032</v>
      </c>
      <c r="AF134" s="83">
        <v>484.90344566180698</v>
      </c>
      <c r="AG134" s="83">
        <v>481.56358307152419</v>
      </c>
      <c r="AH134" s="83">
        <v>466.56807321514788</v>
      </c>
      <c r="AI134" s="277">
        <v>505.70079064904132</v>
      </c>
      <c r="AJ134" s="277">
        <v>441.59022206098405</v>
      </c>
      <c r="AK134" s="277">
        <v>441.59022206098405</v>
      </c>
      <c r="AL134" s="277">
        <v>441.59022206098405</v>
      </c>
      <c r="AM134" s="277">
        <f t="shared" si="31"/>
        <v>461.48670302710548</v>
      </c>
      <c r="AN134" s="277">
        <v>481.38318399322685</v>
      </c>
      <c r="AO134" s="277">
        <f t="shared" si="31"/>
        <v>481.17817399113625</v>
      </c>
      <c r="AP134" s="277">
        <v>480.97316398904564</v>
      </c>
      <c r="AQ134" s="277">
        <v>478.69527507692794</v>
      </c>
      <c r="AR134" s="277">
        <v>476.41738616481024</v>
      </c>
    </row>
    <row r="135" spans="1:44">
      <c r="A135" s="91" t="s">
        <v>331</v>
      </c>
      <c r="B135" s="83">
        <v>60.14511844044592</v>
      </c>
      <c r="C135" s="83">
        <v>64.438420600840573</v>
      </c>
      <c r="D135" s="83">
        <v>68.547876529604494</v>
      </c>
      <c r="E135" s="83">
        <v>70.836186614076041</v>
      </c>
      <c r="F135" s="83">
        <v>66.777509432538764</v>
      </c>
      <c r="G135" s="83">
        <v>63.76598622872428</v>
      </c>
      <c r="H135" s="83">
        <v>63.753557783662671</v>
      </c>
      <c r="I135" s="83">
        <v>63.563426641008292</v>
      </c>
      <c r="J135" s="83">
        <v>63.125969260734365</v>
      </c>
      <c r="K135" s="83">
        <v>61.445124443180852</v>
      </c>
      <c r="L135" s="83">
        <v>69.993006531993004</v>
      </c>
      <c r="M135" s="83">
        <v>85.438617850398032</v>
      </c>
      <c r="N135" s="83">
        <v>79.371579322931666</v>
      </c>
      <c r="O135" s="83">
        <v>76.185411946137805</v>
      </c>
      <c r="P135" s="83">
        <v>73.80703283134811</v>
      </c>
      <c r="Q135" s="83">
        <v>76.862796376984775</v>
      </c>
      <c r="R135" s="83">
        <v>83.521283843502317</v>
      </c>
      <c r="S135" s="83">
        <v>89.272030838584854</v>
      </c>
      <c r="T135" s="83">
        <v>93.33975210912071</v>
      </c>
      <c r="U135" s="83">
        <v>97.647781037157174</v>
      </c>
      <c r="V135" s="83">
        <v>79.047993437827472</v>
      </c>
      <c r="W135" s="83">
        <v>69.195449099013359</v>
      </c>
      <c r="X135" s="83">
        <v>62.722245712351523</v>
      </c>
      <c r="Y135" s="83">
        <v>59.014795679880066</v>
      </c>
      <c r="Z135" s="83">
        <v>59.590846106876846</v>
      </c>
      <c r="AA135" s="83">
        <v>55.405314217176759</v>
      </c>
      <c r="AB135" s="83">
        <v>58.446265081868646</v>
      </c>
      <c r="AC135" s="83">
        <v>59.886436072825049</v>
      </c>
      <c r="AD135" s="83">
        <v>60.295364678433806</v>
      </c>
      <c r="AE135" s="83">
        <v>58.120324230447473</v>
      </c>
      <c r="AF135" s="83">
        <v>57.531974530119655</v>
      </c>
      <c r="AG135" s="83">
        <v>57.935869524835887</v>
      </c>
      <c r="AH135" s="83">
        <v>57.088996783474158</v>
      </c>
      <c r="AI135" s="277">
        <v>57.770630507138101</v>
      </c>
      <c r="AJ135" s="277">
        <v>55.635043329951387</v>
      </c>
      <c r="AK135" s="277">
        <v>55.63504332995138</v>
      </c>
      <c r="AL135" s="277">
        <v>55.635043329951387</v>
      </c>
      <c r="AM135" s="277">
        <f t="shared" si="31"/>
        <v>56.182089695494312</v>
      </c>
      <c r="AN135" s="277">
        <v>56.729136061037245</v>
      </c>
      <c r="AO135" s="277">
        <f t="shared" si="31"/>
        <v>56.698542108397319</v>
      </c>
      <c r="AP135" s="277">
        <v>56.667948155757387</v>
      </c>
      <c r="AQ135" s="277">
        <v>56.328015348647099</v>
      </c>
      <c r="AR135" s="277">
        <v>55.988082541536805</v>
      </c>
    </row>
    <row r="136" spans="1:44">
      <c r="A136" s="91" t="s">
        <v>87</v>
      </c>
      <c r="B136" s="83">
        <v>2.1507911804667308</v>
      </c>
      <c r="C136" s="83">
        <v>2.8923388641567311</v>
      </c>
      <c r="D136" s="83">
        <v>3.7905350934900643</v>
      </c>
      <c r="E136" s="83">
        <v>4.6830319148233981</v>
      </c>
      <c r="F136" s="83">
        <v>5.5908184941567312</v>
      </c>
      <c r="G136" s="83">
        <v>6.3825626255400643</v>
      </c>
      <c r="H136" s="83">
        <v>7.9876803534900658</v>
      </c>
      <c r="I136" s="83">
        <v>9.4044916174900646</v>
      </c>
      <c r="J136" s="83">
        <v>10.846065612156734</v>
      </c>
      <c r="K136" s="83">
        <v>12.267000629490063</v>
      </c>
      <c r="L136" s="83">
        <v>13.16881027727673</v>
      </c>
      <c r="M136" s="83">
        <v>13.770485920490067</v>
      </c>
      <c r="N136" s="83">
        <v>13.948009031823396</v>
      </c>
      <c r="O136" s="83">
        <v>14.09986265315673</v>
      </c>
      <c r="P136" s="83">
        <v>14.260335540823396</v>
      </c>
      <c r="Q136" s="83">
        <v>13.234100247113398</v>
      </c>
      <c r="R136" s="83">
        <v>13.738045857156731</v>
      </c>
      <c r="S136" s="83">
        <v>13.726693292490067</v>
      </c>
      <c r="T136" s="83">
        <v>13.648233735490066</v>
      </c>
      <c r="U136" s="83">
        <v>15.402485726836966</v>
      </c>
      <c r="V136" s="83">
        <v>15.016120310806969</v>
      </c>
      <c r="W136" s="83">
        <v>18.489562257836965</v>
      </c>
      <c r="X136" s="83">
        <v>20.893453153836965</v>
      </c>
      <c r="Y136" s="83">
        <v>22.034463247503638</v>
      </c>
      <c r="Z136" s="83">
        <v>23.140146261836968</v>
      </c>
      <c r="AA136" s="83">
        <v>20.555983001403632</v>
      </c>
      <c r="AB136" s="83">
        <v>23.41686717274197</v>
      </c>
      <c r="AC136" s="83">
        <v>25.304732997971975</v>
      </c>
      <c r="AD136" s="83">
        <v>25.89732770492531</v>
      </c>
      <c r="AE136" s="83">
        <v>28.722711006801969</v>
      </c>
      <c r="AF136" s="83">
        <v>30.900508884625307</v>
      </c>
      <c r="AG136" s="83">
        <v>33.008384033638642</v>
      </c>
      <c r="AH136" s="83">
        <v>35.326903367391971</v>
      </c>
      <c r="AI136" s="277">
        <v>37.114097634895309</v>
      </c>
      <c r="AJ136" s="277">
        <v>38.601734109761964</v>
      </c>
      <c r="AK136" s="277">
        <v>38.601734109761964</v>
      </c>
      <c r="AL136" s="277">
        <v>38.601734109761964</v>
      </c>
      <c r="AM136" s="277">
        <f t="shared" si="31"/>
        <v>34.236211665397043</v>
      </c>
      <c r="AN136" s="277">
        <v>29.870689221032123</v>
      </c>
      <c r="AO136" s="277">
        <f t="shared" si="31"/>
        <v>29.868004963652858</v>
      </c>
      <c r="AP136" s="277">
        <v>29.865320706273597</v>
      </c>
      <c r="AQ136" s="277">
        <v>29.835495624281787</v>
      </c>
      <c r="AR136" s="277">
        <v>29.80567054228997</v>
      </c>
    </row>
    <row r="137" spans="1:44">
      <c r="A137" s="91" t="s">
        <v>88</v>
      </c>
      <c r="B137" s="83">
        <v>184.33699638315161</v>
      </c>
      <c r="C137" s="83">
        <v>224.03015959114285</v>
      </c>
      <c r="D137" s="83">
        <v>238.45995630476057</v>
      </c>
      <c r="E137" s="83">
        <v>221.41621681804506</v>
      </c>
      <c r="F137" s="83">
        <v>194.5103634359962</v>
      </c>
      <c r="G137" s="83">
        <v>166.00956808961732</v>
      </c>
      <c r="H137" s="83">
        <v>171.12551975756512</v>
      </c>
      <c r="I137" s="83">
        <v>176.60505111051626</v>
      </c>
      <c r="J137" s="83">
        <v>184.1035017468007</v>
      </c>
      <c r="K137" s="83">
        <v>191.26232126341847</v>
      </c>
      <c r="L137" s="83">
        <v>174.18232732898628</v>
      </c>
      <c r="M137" s="83">
        <v>243.2829455543208</v>
      </c>
      <c r="N137" s="83">
        <v>264.83034635127188</v>
      </c>
      <c r="O137" s="83">
        <v>272.0006124898897</v>
      </c>
      <c r="P137" s="83">
        <v>274.06036592450749</v>
      </c>
      <c r="Q137" s="83">
        <v>229.38806509913528</v>
      </c>
      <c r="R137" s="83">
        <v>276.46325786074311</v>
      </c>
      <c r="S137" s="83">
        <v>297.83904191936085</v>
      </c>
      <c r="T137" s="83">
        <v>312.12248930897874</v>
      </c>
      <c r="U137" s="83">
        <v>327.98719712268968</v>
      </c>
      <c r="V137" s="83">
        <v>218.6414325100487</v>
      </c>
      <c r="W137" s="83">
        <v>340.65634181071448</v>
      </c>
      <c r="X137" s="83">
        <v>339.12125785289345</v>
      </c>
      <c r="Y137" s="83">
        <v>304.21652600107245</v>
      </c>
      <c r="Z137" s="83">
        <v>271.82024143125147</v>
      </c>
      <c r="AA137" s="83">
        <v>199.03267087198049</v>
      </c>
      <c r="AB137" s="83">
        <v>194.53620570085315</v>
      </c>
      <c r="AC137" s="83">
        <v>182.9370105336578</v>
      </c>
      <c r="AD137" s="83">
        <v>175.66699294156581</v>
      </c>
      <c r="AE137" s="83">
        <v>172.21255992187048</v>
      </c>
      <c r="AF137" s="83">
        <v>172.58310567033513</v>
      </c>
      <c r="AG137" s="83">
        <v>179.34857403269649</v>
      </c>
      <c r="AH137" s="83">
        <v>179.76176908397443</v>
      </c>
      <c r="AI137" s="277">
        <v>180.63677298887578</v>
      </c>
      <c r="AJ137" s="277">
        <v>183.37205937215379</v>
      </c>
      <c r="AK137" s="277">
        <v>183.37205937215379</v>
      </c>
      <c r="AL137" s="277">
        <v>183.37205937215379</v>
      </c>
      <c r="AM137" s="277">
        <f t="shared" si="31"/>
        <v>176.95571604506731</v>
      </c>
      <c r="AN137" s="277">
        <v>170.53937271798083</v>
      </c>
      <c r="AO137" s="277">
        <f t="shared" si="31"/>
        <v>170.20307443602945</v>
      </c>
      <c r="AP137" s="277">
        <v>169.86677615407805</v>
      </c>
      <c r="AQ137" s="277">
        <v>166.13012857684046</v>
      </c>
      <c r="AR137" s="277">
        <v>162.39348099960282</v>
      </c>
    </row>
    <row r="138" spans="1:44">
      <c r="A138" s="91" t="s">
        <v>332</v>
      </c>
      <c r="B138" s="83">
        <v>2.2373351826100003</v>
      </c>
      <c r="C138" s="83">
        <v>2.1994335733333337</v>
      </c>
      <c r="D138" s="83">
        <v>2.1415832606666667</v>
      </c>
      <c r="E138" s="83">
        <v>2.0909462126666671</v>
      </c>
      <c r="F138" s="83">
        <v>2.0911558983333336</v>
      </c>
      <c r="G138" s="83">
        <v>1.9861025709066666</v>
      </c>
      <c r="H138" s="83">
        <v>2.2108333609999997</v>
      </c>
      <c r="I138" s="83">
        <v>2.3279432916666662</v>
      </c>
      <c r="J138" s="83">
        <v>2.452824418000001</v>
      </c>
      <c r="K138" s="83">
        <v>2.5693416319999995</v>
      </c>
      <c r="L138" s="83">
        <v>1.7198534843966662</v>
      </c>
      <c r="M138" s="83">
        <v>2.7734227253333334</v>
      </c>
      <c r="N138" s="83">
        <v>2.8545370700000001</v>
      </c>
      <c r="O138" s="83">
        <v>2.9396441873333332</v>
      </c>
      <c r="P138" s="83">
        <v>3.0332625216666669</v>
      </c>
      <c r="Q138" s="83">
        <v>1.2452759416166661</v>
      </c>
      <c r="R138" s="83">
        <v>3.2327017689999997</v>
      </c>
      <c r="S138" s="83">
        <v>3.2874553799999995</v>
      </c>
      <c r="T138" s="83">
        <v>3.3526744240000004</v>
      </c>
      <c r="U138" s="83">
        <v>3.5760469873333331</v>
      </c>
      <c r="V138" s="83">
        <v>1.1140793026000002</v>
      </c>
      <c r="W138" s="83">
        <v>3.7007953839999992</v>
      </c>
      <c r="X138" s="83">
        <v>3.798902624000001</v>
      </c>
      <c r="Y138" s="83">
        <v>3.8810990166666679</v>
      </c>
      <c r="Z138" s="83">
        <v>3.9644338139999999</v>
      </c>
      <c r="AA138" s="83">
        <v>1.9595257832699997</v>
      </c>
      <c r="AB138" s="83">
        <v>2.1012742908666664</v>
      </c>
      <c r="AC138" s="83">
        <v>2.3912324890666672</v>
      </c>
      <c r="AD138" s="83">
        <v>2.6155439194866665</v>
      </c>
      <c r="AE138" s="83">
        <v>3.1457757110999998</v>
      </c>
      <c r="AF138" s="83">
        <v>3.5890080353966671</v>
      </c>
      <c r="AG138" s="83">
        <v>4.0457736086533327</v>
      </c>
      <c r="AH138" s="83">
        <v>4.3840421776433338</v>
      </c>
      <c r="AI138" s="277">
        <v>4.6968198470233338</v>
      </c>
      <c r="AJ138" s="277">
        <v>5.1118792812633318</v>
      </c>
      <c r="AK138" s="277">
        <v>5.1118792812633318</v>
      </c>
      <c r="AL138" s="277">
        <v>5.1118792812633318</v>
      </c>
      <c r="AM138" s="277">
        <f t="shared" si="31"/>
        <v>4.0999262229522841</v>
      </c>
      <c r="AN138" s="277">
        <v>3.0879731646412369</v>
      </c>
      <c r="AO138" s="277">
        <f t="shared" si="31"/>
        <v>3.0879731646412369</v>
      </c>
      <c r="AP138" s="277">
        <v>3.0879731646412369</v>
      </c>
      <c r="AQ138" s="277">
        <v>3.0879731646412369</v>
      </c>
      <c r="AR138" s="277">
        <v>3.0879731646412369</v>
      </c>
    </row>
    <row r="139" spans="1:44">
      <c r="A139" s="91" t="s">
        <v>170</v>
      </c>
      <c r="B139" s="83">
        <v>0</v>
      </c>
      <c r="C139" s="83">
        <v>0</v>
      </c>
      <c r="D139" s="83">
        <v>0</v>
      </c>
      <c r="E139" s="83">
        <v>0</v>
      </c>
      <c r="F139" s="83">
        <v>0</v>
      </c>
      <c r="G139" s="83">
        <v>0</v>
      </c>
      <c r="H139" s="83">
        <v>0</v>
      </c>
      <c r="I139" s="83">
        <v>0</v>
      </c>
      <c r="J139" s="83">
        <v>0</v>
      </c>
      <c r="K139" s="83">
        <v>0</v>
      </c>
      <c r="L139" s="83">
        <v>0</v>
      </c>
      <c r="M139" s="83">
        <v>0</v>
      </c>
      <c r="N139" s="83">
        <v>0</v>
      </c>
      <c r="O139" s="83">
        <v>0</v>
      </c>
      <c r="P139" s="83">
        <v>0</v>
      </c>
      <c r="Q139" s="83">
        <v>0</v>
      </c>
      <c r="R139" s="83">
        <v>0</v>
      </c>
      <c r="S139" s="83">
        <v>0</v>
      </c>
      <c r="T139" s="83">
        <v>0</v>
      </c>
      <c r="U139" s="83">
        <v>0</v>
      </c>
      <c r="V139" s="83">
        <v>0</v>
      </c>
      <c r="W139" s="83">
        <v>0</v>
      </c>
      <c r="X139" s="83">
        <v>0</v>
      </c>
      <c r="Y139" s="83">
        <v>0</v>
      </c>
      <c r="Z139" s="83">
        <v>0</v>
      </c>
      <c r="AA139" s="83">
        <v>0</v>
      </c>
      <c r="AB139" s="83">
        <v>0</v>
      </c>
      <c r="AC139" s="83">
        <v>0</v>
      </c>
      <c r="AD139" s="83">
        <v>0</v>
      </c>
      <c r="AE139" s="83">
        <v>0</v>
      </c>
      <c r="AF139" s="83">
        <v>0</v>
      </c>
      <c r="AG139" s="83">
        <v>0</v>
      </c>
      <c r="AH139" s="83">
        <v>0</v>
      </c>
      <c r="AI139" s="277">
        <v>0</v>
      </c>
      <c r="AJ139" s="277">
        <v>0</v>
      </c>
      <c r="AK139" s="277">
        <v>0</v>
      </c>
      <c r="AL139" s="277">
        <v>0</v>
      </c>
      <c r="AM139" s="277">
        <f t="shared" si="31"/>
        <v>0</v>
      </c>
      <c r="AN139" s="277">
        <v>0</v>
      </c>
      <c r="AO139" s="277">
        <f t="shared" si="31"/>
        <v>0</v>
      </c>
      <c r="AP139" s="277">
        <v>0</v>
      </c>
      <c r="AQ139" s="277">
        <v>0</v>
      </c>
      <c r="AR139" s="277">
        <v>0</v>
      </c>
    </row>
    <row r="140" spans="1:44">
      <c r="A140" s="91" t="s">
        <v>333</v>
      </c>
      <c r="B140" s="83">
        <v>0</v>
      </c>
      <c r="C140" s="83">
        <v>0</v>
      </c>
      <c r="D140" s="83">
        <v>0</v>
      </c>
      <c r="E140" s="83">
        <v>0</v>
      </c>
      <c r="F140" s="83">
        <v>0</v>
      </c>
      <c r="G140" s="83">
        <v>0</v>
      </c>
      <c r="H140" s="83">
        <v>0</v>
      </c>
      <c r="I140" s="83">
        <v>0</v>
      </c>
      <c r="J140" s="83">
        <v>0</v>
      </c>
      <c r="K140" s="83">
        <v>0</v>
      </c>
      <c r="L140" s="83">
        <v>0</v>
      </c>
      <c r="M140" s="83">
        <v>0</v>
      </c>
      <c r="N140" s="83">
        <v>0</v>
      </c>
      <c r="O140" s="83">
        <v>0</v>
      </c>
      <c r="P140" s="83">
        <v>0</v>
      </c>
      <c r="Q140" s="83">
        <v>0</v>
      </c>
      <c r="R140" s="83">
        <v>0</v>
      </c>
      <c r="S140" s="83">
        <v>0</v>
      </c>
      <c r="T140" s="83">
        <v>0</v>
      </c>
      <c r="U140" s="83">
        <v>0</v>
      </c>
      <c r="V140" s="83">
        <v>0</v>
      </c>
      <c r="W140" s="83">
        <v>0</v>
      </c>
      <c r="X140" s="83">
        <v>0</v>
      </c>
      <c r="Y140" s="83">
        <v>0</v>
      </c>
      <c r="Z140" s="83">
        <v>0</v>
      </c>
      <c r="AA140" s="83">
        <v>0</v>
      </c>
      <c r="AB140" s="83">
        <v>0</v>
      </c>
      <c r="AC140" s="83">
        <v>0</v>
      </c>
      <c r="AD140" s="83">
        <v>0</v>
      </c>
      <c r="AE140" s="83">
        <v>0</v>
      </c>
      <c r="AF140" s="83">
        <v>0</v>
      </c>
      <c r="AG140" s="83">
        <v>0</v>
      </c>
      <c r="AH140" s="83">
        <v>0</v>
      </c>
      <c r="AI140" s="277">
        <v>0</v>
      </c>
      <c r="AJ140" s="277">
        <v>0</v>
      </c>
      <c r="AK140" s="277">
        <v>0</v>
      </c>
      <c r="AL140" s="277">
        <v>0</v>
      </c>
      <c r="AM140" s="277">
        <f t="shared" si="31"/>
        <v>0</v>
      </c>
      <c r="AN140" s="277">
        <v>0</v>
      </c>
      <c r="AO140" s="277">
        <f t="shared" si="31"/>
        <v>0</v>
      </c>
      <c r="AP140" s="277">
        <v>0</v>
      </c>
      <c r="AQ140" s="277">
        <v>0</v>
      </c>
      <c r="AR140" s="277">
        <v>0</v>
      </c>
    </row>
    <row r="141" spans="1:44">
      <c r="A141" s="132" t="s">
        <v>334</v>
      </c>
      <c r="B141" s="133">
        <v>1995.1401606708635</v>
      </c>
      <c r="C141" s="133">
        <v>2016.4601043719204</v>
      </c>
      <c r="D141" s="133">
        <v>1985.5005684784073</v>
      </c>
      <c r="E141" s="133">
        <v>1907.7553384297244</v>
      </c>
      <c r="F141" s="133">
        <v>1804.4864719465966</v>
      </c>
      <c r="G141" s="133">
        <v>1974.8988868550935</v>
      </c>
      <c r="H141" s="133">
        <v>1608.9739265936118</v>
      </c>
      <c r="I141" s="133">
        <v>1539.8773481019944</v>
      </c>
      <c r="J141" s="133">
        <v>1466.1056460976804</v>
      </c>
      <c r="K141" s="133">
        <v>1398.5368350970869</v>
      </c>
      <c r="L141" s="133">
        <v>1845.1197682312416</v>
      </c>
      <c r="M141" s="133">
        <v>1334.4686655928647</v>
      </c>
      <c r="N141" s="133">
        <v>1350.0672811833274</v>
      </c>
      <c r="O141" s="133">
        <v>1383.2372279897493</v>
      </c>
      <c r="P141" s="133">
        <v>1351.1205122624135</v>
      </c>
      <c r="Q141" s="133">
        <v>1644.2577957393689</v>
      </c>
      <c r="R141" s="133">
        <v>1382.9318227086569</v>
      </c>
      <c r="S141" s="133">
        <v>1416.8315639850837</v>
      </c>
      <c r="T141" s="133">
        <v>1425.8209024449104</v>
      </c>
      <c r="U141" s="133">
        <v>1447.6484007537927</v>
      </c>
      <c r="V141" s="133">
        <v>1250.2511740016059</v>
      </c>
      <c r="W141" s="133">
        <v>1375.0248098287468</v>
      </c>
      <c r="X141" s="133">
        <v>1304.200537187907</v>
      </c>
      <c r="Y141" s="133">
        <v>1217.3504943328176</v>
      </c>
      <c r="Z141" s="133">
        <v>1158.6604571756341</v>
      </c>
      <c r="AA141" s="133">
        <v>1038.8054171642616</v>
      </c>
      <c r="AB141" s="133">
        <v>989.93180078107173</v>
      </c>
      <c r="AC141" s="133">
        <v>933.31139492085765</v>
      </c>
      <c r="AD141" s="133">
        <v>878.66974280546958</v>
      </c>
      <c r="AE141" s="133">
        <v>851.05717932834023</v>
      </c>
      <c r="AF141" s="133">
        <v>786.11581498156829</v>
      </c>
      <c r="AG141" s="133">
        <v>793.03007524993984</v>
      </c>
      <c r="AH141" s="133">
        <v>838.42139710026186</v>
      </c>
      <c r="AI141" s="137">
        <v>818.80390614750013</v>
      </c>
      <c r="AJ141" s="137">
        <v>753.27597511062015</v>
      </c>
      <c r="AK141" s="137">
        <v>769.11807175111699</v>
      </c>
      <c r="AL141" s="137">
        <v>753.22779355147918</v>
      </c>
      <c r="AM141" s="137">
        <f>SUM(AM133:AM140)</f>
        <v>764.74944044977155</v>
      </c>
      <c r="AN141" s="137">
        <v>776.2710873480637</v>
      </c>
      <c r="AO141" s="137">
        <f>SUM(AO133:AO140)</f>
        <v>775.69650085400258</v>
      </c>
      <c r="AP141" s="137">
        <v>775.12191435994134</v>
      </c>
      <c r="AQ141" s="137">
        <v>768.73761998148404</v>
      </c>
      <c r="AR141" s="137">
        <v>762.35332560302652</v>
      </c>
    </row>
  </sheetData>
  <mergeCells count="19">
    <mergeCell ref="A2:BG2"/>
    <mergeCell ref="AP88:AP89"/>
    <mergeCell ref="A130:AB130"/>
    <mergeCell ref="A74:AB74"/>
    <mergeCell ref="AL88:AL89"/>
    <mergeCell ref="AM88:AM89"/>
    <mergeCell ref="AL5:AR5"/>
    <mergeCell ref="AL21:AR21"/>
    <mergeCell ref="AQ88:AQ89"/>
    <mergeCell ref="AR88:AR89"/>
    <mergeCell ref="AL93:AR93"/>
    <mergeCell ref="AL131:AR131"/>
    <mergeCell ref="AN88:AN89"/>
    <mergeCell ref="AO88:AO89"/>
    <mergeCell ref="AL23:AR23"/>
    <mergeCell ref="AL36:AR36"/>
    <mergeCell ref="AL49:AR49"/>
    <mergeCell ref="AL57:AR57"/>
    <mergeCell ref="AL75:AR7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G141"/>
  <sheetViews>
    <sheetView showGridLines="0" zoomScale="90" zoomScaleNormal="90" workbookViewId="0"/>
  </sheetViews>
  <sheetFormatPr baseColWidth="10" defaultColWidth="11.44140625" defaultRowHeight="14.4" outlineLevelCol="1"/>
  <cols>
    <col min="1" max="1" width="34.5546875" customWidth="1"/>
    <col min="3" max="6" width="0" hidden="1" customWidth="1" outlineLevel="1"/>
    <col min="7" max="7" width="11.5546875" collapsed="1"/>
    <col min="8" max="11" width="0" hidden="1" customWidth="1" outlineLevel="1"/>
    <col min="12" max="12" width="11.5546875" collapsed="1"/>
    <col min="13" max="16" width="0" hidden="1" customWidth="1" outlineLevel="1"/>
    <col min="17" max="17" width="11.5546875" collapsed="1"/>
    <col min="18" max="21" width="0" hidden="1" customWidth="1" outlineLevel="1"/>
    <col min="22" max="22" width="11.5546875" collapsed="1"/>
    <col min="23" max="26" width="0" hidden="1" customWidth="1" outlineLevel="1"/>
    <col min="27" max="27" width="11.5546875" collapsed="1"/>
    <col min="39" max="39" width="11.44140625" customWidth="1"/>
    <col min="41" max="41" width="11.44140625" customWidth="1"/>
  </cols>
  <sheetData>
    <row r="1" spans="1:59" ht="29.4">
      <c r="A1" s="55" t="s">
        <v>338</v>
      </c>
      <c r="B1" s="56" t="s">
        <v>339</v>
      </c>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t="s">
        <v>339</v>
      </c>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row>
    <row r="2" spans="1:59" ht="15">
      <c r="A2" s="498" t="s">
        <v>665</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499"/>
      <c r="AO2" s="499"/>
      <c r="AP2" s="499"/>
      <c r="AQ2" s="499"/>
      <c r="AR2" s="499"/>
      <c r="AS2" s="499"/>
      <c r="AT2" s="499"/>
      <c r="AU2" s="499"/>
      <c r="AV2" s="499"/>
      <c r="AW2" s="499"/>
      <c r="AX2" s="499"/>
      <c r="AY2" s="499"/>
      <c r="AZ2" s="499"/>
      <c r="BA2" s="499"/>
      <c r="BB2" s="499"/>
      <c r="BC2" s="499"/>
      <c r="BD2" s="499"/>
      <c r="BE2" s="499"/>
      <c r="BF2" s="499"/>
      <c r="BG2" s="499"/>
    </row>
    <row r="3" spans="1:59" ht="15">
      <c r="A3" s="59" t="s">
        <v>260</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row>
    <row r="4" spans="1:59" ht="22.2">
      <c r="A4" s="60"/>
      <c r="B4" s="61"/>
      <c r="C4" s="61"/>
      <c r="D4" s="61"/>
      <c r="E4" s="61"/>
      <c r="F4" s="61"/>
      <c r="G4" s="61"/>
      <c r="H4" s="61"/>
      <c r="I4" s="61"/>
      <c r="J4" s="61"/>
      <c r="K4" s="61"/>
      <c r="L4" s="61"/>
      <c r="M4" s="61"/>
      <c r="N4" s="61"/>
      <c r="O4" s="61"/>
      <c r="P4" s="61"/>
      <c r="Q4" s="61"/>
      <c r="R4" s="61"/>
      <c r="S4" s="61"/>
      <c r="T4" s="61"/>
      <c r="U4" s="61"/>
      <c r="V4" s="61"/>
      <c r="W4" s="61"/>
      <c r="X4" s="61"/>
      <c r="Y4" s="61"/>
      <c r="Z4" s="62"/>
      <c r="AA4" s="62"/>
      <c r="AB4" s="62"/>
      <c r="AC4" s="63"/>
      <c r="AD4" s="63"/>
      <c r="AE4" s="63"/>
      <c r="AF4" s="63"/>
      <c r="AG4" s="63"/>
      <c r="AH4" s="63"/>
    </row>
    <row r="5" spans="1:59" ht="18">
      <c r="A5" s="64" t="s">
        <v>261</v>
      </c>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510" t="s">
        <v>262</v>
      </c>
      <c r="AL5" s="510"/>
      <c r="AM5" s="510"/>
      <c r="AN5" s="510"/>
      <c r="AO5" s="510"/>
      <c r="AP5" s="510"/>
      <c r="AQ5" s="510"/>
      <c r="AR5" s="510"/>
    </row>
    <row r="6" spans="1:59" ht="39.6">
      <c r="A6" s="66" t="s">
        <v>340</v>
      </c>
      <c r="B6" s="67">
        <v>1990</v>
      </c>
      <c r="C6" s="67">
        <v>1991</v>
      </c>
      <c r="D6" s="67">
        <v>1992</v>
      </c>
      <c r="E6" s="67">
        <v>1993</v>
      </c>
      <c r="F6" s="67">
        <v>1994</v>
      </c>
      <c r="G6" s="67">
        <v>1995</v>
      </c>
      <c r="H6" s="67">
        <v>1996</v>
      </c>
      <c r="I6" s="67">
        <v>1997</v>
      </c>
      <c r="J6" s="67">
        <v>1998</v>
      </c>
      <c r="K6" s="67">
        <v>1999</v>
      </c>
      <c r="L6" s="67">
        <v>2000</v>
      </c>
      <c r="M6" s="67">
        <v>2001</v>
      </c>
      <c r="N6" s="67">
        <v>2002</v>
      </c>
      <c r="O6" s="67">
        <v>2003</v>
      </c>
      <c r="P6" s="67">
        <v>2004</v>
      </c>
      <c r="Q6" s="67">
        <v>2005</v>
      </c>
      <c r="R6" s="67">
        <v>2006</v>
      </c>
      <c r="S6" s="67">
        <v>2007</v>
      </c>
      <c r="T6" s="67">
        <v>2008</v>
      </c>
      <c r="U6" s="67">
        <v>2009</v>
      </c>
      <c r="V6" s="67">
        <v>2010</v>
      </c>
      <c r="W6" s="67">
        <v>2011</v>
      </c>
      <c r="X6" s="67">
        <v>2012</v>
      </c>
      <c r="Y6" s="67">
        <v>2013</v>
      </c>
      <c r="Z6" s="67">
        <v>2014</v>
      </c>
      <c r="AA6" s="67">
        <v>2015</v>
      </c>
      <c r="AB6" s="67">
        <v>2016</v>
      </c>
      <c r="AC6" s="67">
        <v>2017</v>
      </c>
      <c r="AD6" s="67">
        <v>2018</v>
      </c>
      <c r="AE6" s="67">
        <v>2019</v>
      </c>
      <c r="AF6" s="68">
        <v>2020</v>
      </c>
      <c r="AG6" s="68">
        <v>2021</v>
      </c>
      <c r="AH6" s="68">
        <v>2022</v>
      </c>
      <c r="AI6" s="67">
        <v>2023</v>
      </c>
      <c r="AJ6" s="142">
        <v>2024</v>
      </c>
      <c r="AK6" s="393">
        <v>2025</v>
      </c>
      <c r="AL6" s="394">
        <v>2026</v>
      </c>
      <c r="AM6" s="394">
        <v>2027</v>
      </c>
      <c r="AN6" s="393">
        <v>2028</v>
      </c>
      <c r="AO6" s="394">
        <v>2029</v>
      </c>
      <c r="AP6" s="393">
        <v>2030</v>
      </c>
      <c r="AQ6" s="393">
        <v>2040</v>
      </c>
      <c r="AR6" s="393">
        <v>2050</v>
      </c>
    </row>
    <row r="7" spans="1:59">
      <c r="A7" s="69" t="s">
        <v>264</v>
      </c>
      <c r="B7" s="70">
        <v>7490.8838183449097</v>
      </c>
      <c r="C7" s="70">
        <v>7101.023726322107</v>
      </c>
      <c r="D7" s="70">
        <v>7259.3108322933849</v>
      </c>
      <c r="E7" s="70">
        <v>7439.1428721521588</v>
      </c>
      <c r="F7" s="70">
        <v>7518.9616828087192</v>
      </c>
      <c r="G7" s="70">
        <v>7396.8688022994693</v>
      </c>
      <c r="H7" s="70">
        <v>5999.3518909660443</v>
      </c>
      <c r="I7" s="70">
        <v>5332.9370219495058</v>
      </c>
      <c r="J7" s="70">
        <v>5235.731576472569</v>
      </c>
      <c r="K7" s="70">
        <v>5034.2278501405008</v>
      </c>
      <c r="L7" s="70">
        <v>4001.3818174661501</v>
      </c>
      <c r="M7" s="70">
        <v>3748.6071884953317</v>
      </c>
      <c r="N7" s="70">
        <v>3087.4543657065328</v>
      </c>
      <c r="O7" s="70">
        <v>2996.5682624538413</v>
      </c>
      <c r="P7" s="70">
        <v>2456.4810290241899</v>
      </c>
      <c r="Q7" s="70">
        <v>2084.0135439589035</v>
      </c>
      <c r="R7" s="70">
        <v>1962.5345178982293</v>
      </c>
      <c r="S7" s="70">
        <v>1704.573350861979</v>
      </c>
      <c r="T7" s="70">
        <v>1693.6977961418288</v>
      </c>
      <c r="U7" s="70">
        <v>1693.4505666669891</v>
      </c>
      <c r="V7" s="70">
        <v>1767.9091756942555</v>
      </c>
      <c r="W7" s="70">
        <v>1682.3102303223804</v>
      </c>
      <c r="X7" s="70">
        <v>1643.5681118854359</v>
      </c>
      <c r="Y7" s="70">
        <v>1585.0393349567441</v>
      </c>
      <c r="Z7" s="70">
        <v>1412.3370379908408</v>
      </c>
      <c r="AA7" s="70">
        <v>1389.5576015028266</v>
      </c>
      <c r="AB7" s="70">
        <v>1425.9973945219872</v>
      </c>
      <c r="AC7" s="70">
        <v>1324.6946140122259</v>
      </c>
      <c r="AD7" s="70">
        <v>1257.631038327384</v>
      </c>
      <c r="AE7" s="70">
        <v>1169.8686087609117</v>
      </c>
      <c r="AF7" s="70">
        <v>989.28362286302786</v>
      </c>
      <c r="AG7" s="70">
        <v>972.45253660030676</v>
      </c>
      <c r="AH7" s="70">
        <v>928.55377935678393</v>
      </c>
      <c r="AI7" s="134">
        <v>853.00829305653076</v>
      </c>
      <c r="AJ7" s="134">
        <v>742.07014100679976</v>
      </c>
      <c r="AK7" s="134">
        <v>725.05013892601141</v>
      </c>
      <c r="AL7" s="134">
        <v>715.09374385017998</v>
      </c>
      <c r="AM7" s="134">
        <f>AL7+(AN7-AL7)/2</f>
        <v>718.43704739389977</v>
      </c>
      <c r="AN7" s="134">
        <v>721.78035093761957</v>
      </c>
      <c r="AO7" s="134">
        <f>AN7+(AP7-AN7)/2</f>
        <v>705.20727973859914</v>
      </c>
      <c r="AP7" s="134">
        <v>688.63420853957871</v>
      </c>
      <c r="AQ7" s="134">
        <v>297.82754274674426</v>
      </c>
      <c r="AR7" s="134">
        <v>200.23019825945818</v>
      </c>
    </row>
    <row r="8" spans="1:59">
      <c r="A8" s="69" t="s">
        <v>265</v>
      </c>
      <c r="B8" s="70">
        <v>450.59235373082043</v>
      </c>
      <c r="C8" s="70">
        <v>480.53984299589519</v>
      </c>
      <c r="D8" s="70">
        <v>451.92215867778265</v>
      </c>
      <c r="E8" s="70">
        <v>431.89180578438277</v>
      </c>
      <c r="F8" s="70">
        <v>464.71720340232224</v>
      </c>
      <c r="G8" s="70">
        <v>453.34018396183404</v>
      </c>
      <c r="H8" s="70">
        <v>458.85188130652108</v>
      </c>
      <c r="I8" s="70">
        <v>483.36846223746016</v>
      </c>
      <c r="J8" s="70">
        <v>470.34982059695915</v>
      </c>
      <c r="K8" s="70">
        <v>475.20114901095997</v>
      </c>
      <c r="L8" s="70">
        <v>467.0648669242824</v>
      </c>
      <c r="M8" s="70">
        <v>470.59889125555236</v>
      </c>
      <c r="N8" s="70">
        <v>471.17220350208169</v>
      </c>
      <c r="O8" s="70">
        <v>457.73760001350172</v>
      </c>
      <c r="P8" s="70">
        <v>475.42047931211215</v>
      </c>
      <c r="Q8" s="70">
        <v>413.27461905319103</v>
      </c>
      <c r="R8" s="70">
        <v>373.47749943241951</v>
      </c>
      <c r="S8" s="70">
        <v>441.53936812950684</v>
      </c>
      <c r="T8" s="70">
        <v>371.11754444169463</v>
      </c>
      <c r="U8" s="70">
        <v>304.31578879376781</v>
      </c>
      <c r="V8" s="70">
        <v>332.51929413665556</v>
      </c>
      <c r="W8" s="70">
        <v>327.52976381336691</v>
      </c>
      <c r="X8" s="70">
        <v>301.13653199345276</v>
      </c>
      <c r="Y8" s="70">
        <v>293.86447812994362</v>
      </c>
      <c r="Z8" s="70">
        <v>291.77600151458785</v>
      </c>
      <c r="AA8" s="70">
        <v>250.80638321883129</v>
      </c>
      <c r="AB8" s="70">
        <v>256.57097662454584</v>
      </c>
      <c r="AC8" s="70">
        <v>250.08727320331957</v>
      </c>
      <c r="AD8" s="70">
        <v>243.44277409520464</v>
      </c>
      <c r="AE8" s="70">
        <v>240.74916178081332</v>
      </c>
      <c r="AF8" s="70">
        <v>225.21365732186652</v>
      </c>
      <c r="AG8" s="70">
        <v>234.99064640468879</v>
      </c>
      <c r="AH8" s="70">
        <v>222.65710500241366</v>
      </c>
      <c r="AI8" s="134">
        <v>205.08849794854686</v>
      </c>
      <c r="AJ8" s="134">
        <v>217.92285086355139</v>
      </c>
      <c r="AK8" s="134">
        <v>207.01156186918598</v>
      </c>
      <c r="AL8" s="134">
        <v>208.44431901713273</v>
      </c>
      <c r="AM8" s="134">
        <f t="shared" ref="AM8:AO15" si="0">AL8+(AN8-AL8)/2</f>
        <v>225.72930903707555</v>
      </c>
      <c r="AN8" s="134">
        <v>243.01429905701835</v>
      </c>
      <c r="AO8" s="134">
        <f t="shared" si="0"/>
        <v>243.57949293461769</v>
      </c>
      <c r="AP8" s="134">
        <v>244.144686812217</v>
      </c>
      <c r="AQ8" s="134">
        <v>209.91506029269493</v>
      </c>
      <c r="AR8" s="134">
        <v>204.22479447062693</v>
      </c>
    </row>
    <row r="9" spans="1:59">
      <c r="A9" s="69" t="s">
        <v>266</v>
      </c>
      <c r="B9" s="70">
        <v>12642.73468220647</v>
      </c>
      <c r="C9" s="70">
        <v>13306.368431030107</v>
      </c>
      <c r="D9" s="70">
        <v>14039.842670002872</v>
      </c>
      <c r="E9" s="70">
        <v>14795.140536591125</v>
      </c>
      <c r="F9" s="70">
        <v>15091.799890968454</v>
      </c>
      <c r="G9" s="70">
        <v>15323.526999516382</v>
      </c>
      <c r="H9" s="70">
        <v>15467.744156186414</v>
      </c>
      <c r="I9" s="70">
        <v>15650.235609934225</v>
      </c>
      <c r="J9" s="70">
        <v>16193.106660577112</v>
      </c>
      <c r="K9" s="70">
        <v>16513.755894304748</v>
      </c>
      <c r="L9" s="70">
        <v>16827.460177869976</v>
      </c>
      <c r="M9" s="70">
        <v>17132.471807294554</v>
      </c>
      <c r="N9" s="70">
        <v>17423.480367230612</v>
      </c>
      <c r="O9" s="70">
        <v>17590.452552829072</v>
      </c>
      <c r="P9" s="70">
        <v>17564.413344724711</v>
      </c>
      <c r="Q9" s="70">
        <v>17372.751892354561</v>
      </c>
      <c r="R9" s="70">
        <v>17285.784177631198</v>
      </c>
      <c r="S9" s="70">
        <v>17324.171568680074</v>
      </c>
      <c r="T9" s="70">
        <v>17314.353985011439</v>
      </c>
      <c r="U9" s="70">
        <v>16710.643971507227</v>
      </c>
      <c r="V9" s="70">
        <v>16652.023694626936</v>
      </c>
      <c r="W9" s="70">
        <v>15629.674426389431</v>
      </c>
      <c r="X9" s="70">
        <v>15377.397583630607</v>
      </c>
      <c r="Y9" s="70">
        <v>13635.971275208181</v>
      </c>
      <c r="Z9" s="70">
        <v>12656.747949850051</v>
      </c>
      <c r="AA9" s="70">
        <v>11834.361615866792</v>
      </c>
      <c r="AB9" s="70">
        <v>11907.69305616647</v>
      </c>
      <c r="AC9" s="70">
        <v>12008.848877697888</v>
      </c>
      <c r="AD9" s="70">
        <v>11766.714378527136</v>
      </c>
      <c r="AE9" s="70">
        <v>12642.467452484205</v>
      </c>
      <c r="AF9" s="70">
        <v>12599.279791310142</v>
      </c>
      <c r="AG9" s="70">
        <v>12014.243583769712</v>
      </c>
      <c r="AH9" s="70">
        <v>12255.007791270089</v>
      </c>
      <c r="AI9" s="134">
        <v>12457.347082758861</v>
      </c>
      <c r="AJ9" s="134">
        <v>12214.033875426134</v>
      </c>
      <c r="AK9" s="134">
        <v>12214.033875426134</v>
      </c>
      <c r="AL9" s="134">
        <v>11743.480503386407</v>
      </c>
      <c r="AM9" s="134">
        <f t="shared" si="0"/>
        <v>10640.726246563398</v>
      </c>
      <c r="AN9" s="134">
        <v>9537.9719897403884</v>
      </c>
      <c r="AO9" s="134">
        <f t="shared" si="0"/>
        <v>9035.5283929408579</v>
      </c>
      <c r="AP9" s="134">
        <v>8533.0847961413274</v>
      </c>
      <c r="AQ9" s="134">
        <v>4636.3097921370636</v>
      </c>
      <c r="AR9" s="134">
        <v>3942.2983304542545</v>
      </c>
    </row>
    <row r="10" spans="1:59">
      <c r="A10" s="69" t="s">
        <v>267</v>
      </c>
      <c r="B10" s="70">
        <v>6427.2166695672677</v>
      </c>
      <c r="C10" s="70">
        <v>7409.468058931282</v>
      </c>
      <c r="D10" s="70">
        <v>7200.883366479542</v>
      </c>
      <c r="E10" s="71">
        <v>7026.178787908816</v>
      </c>
      <c r="F10" s="71">
        <v>6331.8019848393778</v>
      </c>
      <c r="G10" s="71">
        <v>6442.2369926049005</v>
      </c>
      <c r="H10" s="71">
        <v>6944.613177703638</v>
      </c>
      <c r="I10" s="71">
        <v>6366.3189190201792</v>
      </c>
      <c r="J10" s="71">
        <v>6463.6234570395472</v>
      </c>
      <c r="K10" s="71">
        <v>6244.8123880760286</v>
      </c>
      <c r="L10" s="71">
        <v>6016.5106925714999</v>
      </c>
      <c r="M10" s="71">
        <v>6148.9151717214645</v>
      </c>
      <c r="N10" s="71">
        <v>5799.589442520426</v>
      </c>
      <c r="O10" s="71">
        <v>6072.276881668955</v>
      </c>
      <c r="P10" s="71">
        <v>6072.7637956683211</v>
      </c>
      <c r="Q10" s="71">
        <v>5936.3633999941294</v>
      </c>
      <c r="R10" s="71">
        <v>5560.0436558635347</v>
      </c>
      <c r="S10" s="71">
        <v>5298.5337182877929</v>
      </c>
      <c r="T10" s="71">
        <v>5458.7773926685959</v>
      </c>
      <c r="U10" s="71">
        <v>5454.5321702182127</v>
      </c>
      <c r="V10" s="71">
        <v>5684.9337187128776</v>
      </c>
      <c r="W10" s="71">
        <v>4897.115874639012</v>
      </c>
      <c r="X10" s="71">
        <v>5274.1019719323813</v>
      </c>
      <c r="Y10" s="71">
        <v>5458.9024255920813</v>
      </c>
      <c r="Z10" s="71">
        <v>4626.1901448575445</v>
      </c>
      <c r="AA10" s="71">
        <v>4644.2332388549539</v>
      </c>
      <c r="AB10" s="71">
        <v>4817.9284272968107</v>
      </c>
      <c r="AC10" s="71">
        <v>4643.1379832498806</v>
      </c>
      <c r="AD10" s="71">
        <v>4506.486305711157</v>
      </c>
      <c r="AE10" s="71">
        <v>4458.3090007752999</v>
      </c>
      <c r="AF10" s="71">
        <v>4120.4668472357735</v>
      </c>
      <c r="AG10" s="71">
        <v>4488.8530811609544</v>
      </c>
      <c r="AH10" s="71">
        <v>4025.5200935585945</v>
      </c>
      <c r="AI10" s="134">
        <v>3953.991140170584</v>
      </c>
      <c r="AJ10" s="134">
        <v>3885.9848635422418</v>
      </c>
      <c r="AK10" s="134">
        <v>3893.084448150797</v>
      </c>
      <c r="AL10" s="134">
        <v>3775.3233546577408</v>
      </c>
      <c r="AM10" s="134">
        <f t="shared" si="0"/>
        <v>3562.0156688358475</v>
      </c>
      <c r="AN10" s="134">
        <v>3348.7079830139546</v>
      </c>
      <c r="AO10" s="134">
        <f t="shared" si="0"/>
        <v>3252.9195895926232</v>
      </c>
      <c r="AP10" s="134">
        <v>3157.1311961712918</v>
      </c>
      <c r="AQ10" s="134">
        <v>1242.7541688554268</v>
      </c>
      <c r="AR10" s="134">
        <v>1156.3869391251483</v>
      </c>
    </row>
    <row r="11" spans="1:59">
      <c r="A11" s="69" t="s">
        <v>268</v>
      </c>
      <c r="B11" s="70">
        <v>53755.23260429762</v>
      </c>
      <c r="C11" s="70">
        <v>52750.50943755902</v>
      </c>
      <c r="D11" s="70">
        <v>51947.538154820199</v>
      </c>
      <c r="E11" s="70">
        <v>51619.469306547267</v>
      </c>
      <c r="F11" s="70">
        <v>51900.139299643743</v>
      </c>
      <c r="G11" s="70">
        <v>52190.02802685494</v>
      </c>
      <c r="H11" s="70">
        <v>52199.873104647566</v>
      </c>
      <c r="I11" s="70">
        <v>51732.301414199414</v>
      </c>
      <c r="J11" s="70">
        <v>51534.090733013749</v>
      </c>
      <c r="K11" s="70">
        <v>51577.93907289597</v>
      </c>
      <c r="L11" s="70">
        <v>53419.964364171152</v>
      </c>
      <c r="M11" s="70">
        <v>53545.617431997169</v>
      </c>
      <c r="N11" s="70">
        <v>52466.349674158031</v>
      </c>
      <c r="O11" s="70">
        <v>50920.154707750822</v>
      </c>
      <c r="P11" s="70">
        <v>50339.815847322454</v>
      </c>
      <c r="Q11" s="70">
        <v>50196.963646145879</v>
      </c>
      <c r="R11" s="70">
        <v>50170.590273316906</v>
      </c>
      <c r="S11" s="70">
        <v>50513.030850251758</v>
      </c>
      <c r="T11" s="70">
        <v>51260.003388247424</v>
      </c>
      <c r="U11" s="70">
        <v>50672.64156380947</v>
      </c>
      <c r="V11" s="70">
        <v>50091.587399730313</v>
      </c>
      <c r="W11" s="70">
        <v>49293.192515479219</v>
      </c>
      <c r="X11" s="70">
        <v>48715.504283430979</v>
      </c>
      <c r="Y11" s="70">
        <v>48702.781065887029</v>
      </c>
      <c r="Z11" s="70">
        <v>49269.462125443693</v>
      </c>
      <c r="AA11" s="70">
        <v>49380.757589309942</v>
      </c>
      <c r="AB11" s="70">
        <v>49004.85022604197</v>
      </c>
      <c r="AC11" s="70">
        <v>48560.628457559898</v>
      </c>
      <c r="AD11" s="70">
        <v>47837.142454989691</v>
      </c>
      <c r="AE11" s="70">
        <v>47048.813861346622</v>
      </c>
      <c r="AF11" s="70">
        <v>46268.010446413224</v>
      </c>
      <c r="AG11" s="70">
        <v>45172.604639411526</v>
      </c>
      <c r="AH11" s="70">
        <v>44204.387753755189</v>
      </c>
      <c r="AI11" s="134">
        <v>43401.902242244032</v>
      </c>
      <c r="AJ11" s="134">
        <v>43020.592871547815</v>
      </c>
      <c r="AK11" s="134">
        <v>41958.176127552375</v>
      </c>
      <c r="AL11" s="134">
        <v>41781.138056095726</v>
      </c>
      <c r="AM11" s="134">
        <f t="shared" si="0"/>
        <v>41409.856384088016</v>
      </c>
      <c r="AN11" s="134">
        <v>41038.574712080306</v>
      </c>
      <c r="AO11" s="134">
        <f t="shared" si="0"/>
        <v>40527.639407879076</v>
      </c>
      <c r="AP11" s="134">
        <v>40016.704103677846</v>
      </c>
      <c r="AQ11" s="134">
        <v>30157.387796180687</v>
      </c>
      <c r="AR11" s="134">
        <v>27191.568532996913</v>
      </c>
    </row>
    <row r="12" spans="1:59">
      <c r="A12" s="69" t="s">
        <v>257</v>
      </c>
      <c r="B12" s="70">
        <v>1173.3567105137556</v>
      </c>
      <c r="C12" s="70">
        <v>1135.5846760927504</v>
      </c>
      <c r="D12" s="70">
        <v>1132.8720747377288</v>
      </c>
      <c r="E12" s="70">
        <v>1080.1103783861176</v>
      </c>
      <c r="F12" s="70">
        <v>991.96970422366724</v>
      </c>
      <c r="G12" s="70">
        <v>926.91187135602866</v>
      </c>
      <c r="H12" s="70">
        <v>842.84784129341563</v>
      </c>
      <c r="I12" s="70">
        <v>799.7059997850904</v>
      </c>
      <c r="J12" s="70">
        <v>761.70573837700942</v>
      </c>
      <c r="K12" s="70">
        <v>730.73119530570136</v>
      </c>
      <c r="L12" s="70">
        <v>681.65286865949611</v>
      </c>
      <c r="M12" s="70">
        <v>633.006844764275</v>
      </c>
      <c r="N12" s="70">
        <v>586.40838223819151</v>
      </c>
      <c r="O12" s="70">
        <v>538.89155009553281</v>
      </c>
      <c r="P12" s="70">
        <v>498.67821867423964</v>
      </c>
      <c r="Q12" s="70">
        <v>487.35604640953164</v>
      </c>
      <c r="R12" s="70">
        <v>411.80857820131621</v>
      </c>
      <c r="S12" s="70">
        <v>373.6569856540641</v>
      </c>
      <c r="T12" s="70">
        <v>331.19287644783191</v>
      </c>
      <c r="U12" s="70">
        <v>305.27424275496696</v>
      </c>
      <c r="V12" s="70">
        <v>291.2449450524141</v>
      </c>
      <c r="W12" s="70">
        <v>258.78152574735765</v>
      </c>
      <c r="X12" s="70">
        <v>237.51594555947975</v>
      </c>
      <c r="Y12" s="70">
        <v>219.91229433256498</v>
      </c>
      <c r="Z12" s="70">
        <v>204.08538862056713</v>
      </c>
      <c r="AA12" s="70">
        <v>217.06346587287101</v>
      </c>
      <c r="AB12" s="70">
        <v>209.74946615135738</v>
      </c>
      <c r="AC12" s="70">
        <v>197.87158035936793</v>
      </c>
      <c r="AD12" s="70">
        <v>189.82521711980928</v>
      </c>
      <c r="AE12" s="70">
        <v>183.91651649534245</v>
      </c>
      <c r="AF12" s="70">
        <v>154.17661149829644</v>
      </c>
      <c r="AG12" s="70">
        <v>169.08434409891495</v>
      </c>
      <c r="AH12" s="70">
        <v>170.33793187706556</v>
      </c>
      <c r="AI12" s="134">
        <v>167.18971661458659</v>
      </c>
      <c r="AJ12" s="134">
        <v>166.48391861560916</v>
      </c>
      <c r="AK12" s="134">
        <v>165.95409999408898</v>
      </c>
      <c r="AL12" s="134">
        <v>160.99075435310101</v>
      </c>
      <c r="AM12" s="134">
        <f t="shared" si="0"/>
        <v>161.60916369289276</v>
      </c>
      <c r="AN12" s="134">
        <v>162.22757303268455</v>
      </c>
      <c r="AO12" s="134">
        <f t="shared" si="0"/>
        <v>163.60334113547469</v>
      </c>
      <c r="AP12" s="134">
        <v>164.97910923826487</v>
      </c>
      <c r="AQ12" s="134">
        <v>47.441401617095458</v>
      </c>
      <c r="AR12" s="134">
        <v>26.152978095622956</v>
      </c>
    </row>
    <row r="13" spans="1:59">
      <c r="A13" s="72" t="s">
        <v>269</v>
      </c>
      <c r="B13" s="73">
        <v>20.185019043711343</v>
      </c>
      <c r="C13" s="73">
        <v>21.399805670332018</v>
      </c>
      <c r="D13" s="73">
        <v>21.072205630283644</v>
      </c>
      <c r="E13" s="73">
        <v>19.631252770545284</v>
      </c>
      <c r="F13" s="73">
        <v>17.415013829623341</v>
      </c>
      <c r="G13" s="73">
        <v>16.369657820556412</v>
      </c>
      <c r="H13" s="73">
        <v>18.638037511482235</v>
      </c>
      <c r="I13" s="73">
        <v>20.490977219095473</v>
      </c>
      <c r="J13" s="73">
        <v>22.795634560572932</v>
      </c>
      <c r="K13" s="73">
        <v>23.082294964994848</v>
      </c>
      <c r="L13" s="73">
        <v>21.41678415934809</v>
      </c>
      <c r="M13" s="73">
        <v>19.342486397846372</v>
      </c>
      <c r="N13" s="73">
        <v>18.780409853579975</v>
      </c>
      <c r="O13" s="73">
        <v>20.577308761544511</v>
      </c>
      <c r="P13" s="73">
        <v>24.489746489336923</v>
      </c>
      <c r="Q13" s="73">
        <v>21.593373716202898</v>
      </c>
      <c r="R13" s="73">
        <v>23.932770610525523</v>
      </c>
      <c r="S13" s="73">
        <v>24.783428569480055</v>
      </c>
      <c r="T13" s="73">
        <v>21.323268028766911</v>
      </c>
      <c r="U13" s="73">
        <v>21.324536415084388</v>
      </c>
      <c r="V13" s="73">
        <v>19.447159152372688</v>
      </c>
      <c r="W13" s="73">
        <v>22.088393435426529</v>
      </c>
      <c r="X13" s="73">
        <v>20.820299589068618</v>
      </c>
      <c r="Y13" s="73">
        <v>19.043082516538625</v>
      </c>
      <c r="Z13" s="73">
        <v>16.443461776046565</v>
      </c>
      <c r="AA13" s="73">
        <v>13.769985706694857</v>
      </c>
      <c r="AB13" s="73">
        <v>12.96408114674685</v>
      </c>
      <c r="AC13" s="73">
        <v>14.130049421744536</v>
      </c>
      <c r="AD13" s="73">
        <v>15.840596930722747</v>
      </c>
      <c r="AE13" s="73">
        <v>14.089562751526005</v>
      </c>
      <c r="AF13" s="73">
        <v>8.2640731613994038</v>
      </c>
      <c r="AG13" s="73">
        <v>13.981607635446258</v>
      </c>
      <c r="AH13" s="73">
        <v>75.328055065973317</v>
      </c>
      <c r="AI13" s="134">
        <v>113.39184268444342</v>
      </c>
      <c r="AJ13" s="134">
        <v>133.89415042629045</v>
      </c>
      <c r="AK13" s="134">
        <v>131.70730379285536</v>
      </c>
      <c r="AL13" s="134">
        <v>131.69236836748857</v>
      </c>
      <c r="AM13" s="134">
        <f t="shared" si="0"/>
        <v>119.74878661077628</v>
      </c>
      <c r="AN13" s="134">
        <v>107.80520485406397</v>
      </c>
      <c r="AO13" s="134">
        <f t="shared" si="0"/>
        <v>112.7469840830552</v>
      </c>
      <c r="AP13" s="134">
        <v>117.68876331204643</v>
      </c>
      <c r="AQ13" s="134">
        <v>186.13433607996706</v>
      </c>
      <c r="AR13" s="134">
        <v>201.34706231346129</v>
      </c>
    </row>
    <row r="14" spans="1:59">
      <c r="A14" s="74" t="s">
        <v>270</v>
      </c>
      <c r="B14" s="76">
        <v>81940.016838660857</v>
      </c>
      <c r="C14" s="76">
        <v>82183.494172931154</v>
      </c>
      <c r="D14" s="76">
        <v>82032.369257011509</v>
      </c>
      <c r="E14" s="76">
        <v>82391.933687369863</v>
      </c>
      <c r="F14" s="76">
        <v>82299.389765886284</v>
      </c>
      <c r="G14" s="76">
        <v>82732.912876593546</v>
      </c>
      <c r="H14" s="76">
        <v>81913.282052103605</v>
      </c>
      <c r="I14" s="76">
        <v>80364.867427125879</v>
      </c>
      <c r="J14" s="76">
        <v>80658.607986076953</v>
      </c>
      <c r="K14" s="76">
        <v>80576.667549733917</v>
      </c>
      <c r="L14" s="76">
        <v>81414.03478766256</v>
      </c>
      <c r="M14" s="76">
        <v>81679.21733552833</v>
      </c>
      <c r="N14" s="76">
        <v>79834.454435355874</v>
      </c>
      <c r="O14" s="76">
        <v>78576.081554811724</v>
      </c>
      <c r="P14" s="76">
        <v>77407.572714726019</v>
      </c>
      <c r="Q14" s="76">
        <v>76490.7231479162</v>
      </c>
      <c r="R14" s="76">
        <v>75764.238702343617</v>
      </c>
      <c r="S14" s="76">
        <v>75655.505841865175</v>
      </c>
      <c r="T14" s="76">
        <v>76429.142982958816</v>
      </c>
      <c r="U14" s="76">
        <v>75140.858303750632</v>
      </c>
      <c r="V14" s="76">
        <v>74820.218227953461</v>
      </c>
      <c r="W14" s="76">
        <v>72088.604336390767</v>
      </c>
      <c r="X14" s="76">
        <v>71549.224428432339</v>
      </c>
      <c r="Y14" s="76">
        <v>69896.470874106541</v>
      </c>
      <c r="Z14" s="76">
        <v>68460.598648277286</v>
      </c>
      <c r="AA14" s="76">
        <v>67716.779894626205</v>
      </c>
      <c r="AB14" s="76">
        <v>67622.789546803149</v>
      </c>
      <c r="AC14" s="76">
        <v>66985.268786082583</v>
      </c>
      <c r="AD14" s="76">
        <v>65801.24216877039</v>
      </c>
      <c r="AE14" s="76">
        <v>65744.124601643198</v>
      </c>
      <c r="AF14" s="76">
        <v>64356.430976642332</v>
      </c>
      <c r="AG14" s="76">
        <v>63052.228831446104</v>
      </c>
      <c r="AH14" s="75">
        <v>61806.46445482014</v>
      </c>
      <c r="AI14" s="76">
        <v>61038.526972793137</v>
      </c>
      <c r="AJ14" s="76">
        <v>60247.088521002152</v>
      </c>
      <c r="AK14" s="76">
        <v>59163.310251918585</v>
      </c>
      <c r="AL14" s="76">
        <v>58384.470731360285</v>
      </c>
      <c r="AM14" s="76">
        <f t="shared" si="0"/>
        <v>56718.37381961113</v>
      </c>
      <c r="AN14" s="76">
        <v>55052.276907861975</v>
      </c>
      <c r="AO14" s="76">
        <f t="shared" si="0"/>
        <v>53928.47750422125</v>
      </c>
      <c r="AP14" s="76">
        <v>52804.678100580524</v>
      </c>
      <c r="AQ14" s="76">
        <v>36591.635761829704</v>
      </c>
      <c r="AR14" s="76">
        <v>32720.861773402026</v>
      </c>
    </row>
    <row r="15" spans="1:59">
      <c r="A15" s="69" t="s">
        <v>271</v>
      </c>
      <c r="B15" s="70">
        <v>517.51515052641219</v>
      </c>
      <c r="C15" s="70">
        <v>497.5875733883309</v>
      </c>
      <c r="D15" s="70">
        <v>523.5846292774994</v>
      </c>
      <c r="E15" s="70">
        <v>530.59377816894869</v>
      </c>
      <c r="F15" s="70">
        <v>3262.0782150308833</v>
      </c>
      <c r="G15" s="70">
        <v>3466.9041276641456</v>
      </c>
      <c r="H15" s="70">
        <v>2746.674039238168</v>
      </c>
      <c r="I15" s="70">
        <v>2198.1900391500681</v>
      </c>
      <c r="J15" s="70">
        <v>1790.906464782875</v>
      </c>
      <c r="K15" s="70">
        <v>1484.9330911221709</v>
      </c>
      <c r="L15" s="70">
        <v>1198.3703757068129</v>
      </c>
      <c r="M15" s="70">
        <v>1134.3559725237478</v>
      </c>
      <c r="N15" s="70">
        <v>1047.9213963031884</v>
      </c>
      <c r="O15" s="70">
        <v>1027.1200041119669</v>
      </c>
      <c r="P15" s="70">
        <v>881.91217294289254</v>
      </c>
      <c r="Q15" s="70">
        <v>756.83526620718726</v>
      </c>
      <c r="R15" s="70">
        <v>803.55223422560925</v>
      </c>
      <c r="S15" s="70">
        <v>816.97299983432731</v>
      </c>
      <c r="T15" s="70">
        <v>793.49868836545147</v>
      </c>
      <c r="U15" s="70">
        <v>802.98365065936173</v>
      </c>
      <c r="V15" s="70">
        <v>659.17643960425869</v>
      </c>
      <c r="W15" s="70">
        <v>788.68627221409702</v>
      </c>
      <c r="X15" s="70">
        <v>780.96200116495811</v>
      </c>
      <c r="Y15" s="70">
        <v>720.16709915551394</v>
      </c>
      <c r="Z15" s="70">
        <v>740.79624643756745</v>
      </c>
      <c r="AA15" s="70">
        <v>628.70078820859749</v>
      </c>
      <c r="AB15" s="70">
        <v>643.71933101975765</v>
      </c>
      <c r="AC15" s="70">
        <v>653.03922345841079</v>
      </c>
      <c r="AD15" s="70">
        <v>632.63893954449759</v>
      </c>
      <c r="AE15" s="70">
        <v>655.69592156385056</v>
      </c>
      <c r="AF15" s="70">
        <v>638.05086336363195</v>
      </c>
      <c r="AG15" s="70">
        <v>643.43256494097704</v>
      </c>
      <c r="AH15" s="70">
        <v>750.32523786612751</v>
      </c>
      <c r="AI15" s="135">
        <v>636.90235948124109</v>
      </c>
      <c r="AJ15" s="134">
        <v>623.59075405563431</v>
      </c>
      <c r="AK15" s="135">
        <v>653.84938856781696</v>
      </c>
      <c r="AL15" s="134">
        <v>623.49724093313762</v>
      </c>
      <c r="AM15" s="134">
        <f t="shared" si="0"/>
        <v>644.50472337404017</v>
      </c>
      <c r="AN15" s="134">
        <v>665.51220581494272</v>
      </c>
      <c r="AO15" s="134">
        <f t="shared" si="0"/>
        <v>664.90950325220876</v>
      </c>
      <c r="AP15" s="134">
        <v>664.30680068947481</v>
      </c>
      <c r="AQ15" s="134">
        <v>654.26175797724272</v>
      </c>
      <c r="AR15" s="134">
        <v>650.91341040649866</v>
      </c>
    </row>
    <row r="16" spans="1:59">
      <c r="A16" s="72" t="s">
        <v>272</v>
      </c>
      <c r="B16" s="73">
        <v>3208.3221869950521</v>
      </c>
      <c r="C16" s="73">
        <v>3227.1039935374079</v>
      </c>
      <c r="D16" s="73">
        <v>3216.16720761018</v>
      </c>
      <c r="E16" s="73">
        <v>3264.6260326083475</v>
      </c>
      <c r="F16" s="73">
        <v>3305.1620829293579</v>
      </c>
      <c r="G16" s="73">
        <v>3310.2356741134658</v>
      </c>
      <c r="H16" s="73">
        <v>3315.2611484891841</v>
      </c>
      <c r="I16" s="73">
        <v>3350.5281165137185</v>
      </c>
      <c r="J16" s="73">
        <v>3355.030884259817</v>
      </c>
      <c r="K16" s="73">
        <v>3385.1333325340029</v>
      </c>
      <c r="L16" s="73">
        <v>3393.2732429297284</v>
      </c>
      <c r="M16" s="73">
        <v>3421.5153691313571</v>
      </c>
      <c r="N16" s="73">
        <v>3442.62331641847</v>
      </c>
      <c r="O16" s="73">
        <v>3447.530647318682</v>
      </c>
      <c r="P16" s="73">
        <v>3454.4092564844873</v>
      </c>
      <c r="Q16" s="73">
        <v>3480.9157900426553</v>
      </c>
      <c r="R16" s="73">
        <v>3594.4119484779612</v>
      </c>
      <c r="S16" s="73">
        <v>3656.6042861527749</v>
      </c>
      <c r="T16" s="73">
        <v>3678.5642188029074</v>
      </c>
      <c r="U16" s="73">
        <v>3714.2944373353021</v>
      </c>
      <c r="V16" s="73">
        <v>3729.020731437161</v>
      </c>
      <c r="W16" s="73">
        <v>3729.020731437161</v>
      </c>
      <c r="X16" s="73">
        <v>3757.2347474154894</v>
      </c>
      <c r="Y16" s="73">
        <v>3769.5074440670542</v>
      </c>
      <c r="Z16" s="73">
        <v>3791.1282999102368</v>
      </c>
      <c r="AA16" s="73">
        <v>3795.4272757883564</v>
      </c>
      <c r="AB16" s="73">
        <v>3805.0484901819555</v>
      </c>
      <c r="AC16" s="73">
        <v>3813.0613609210322</v>
      </c>
      <c r="AD16" s="73">
        <v>3821.7534599493374</v>
      </c>
      <c r="AE16" s="73">
        <v>3819.3482500117611</v>
      </c>
      <c r="AF16" s="73">
        <v>3813.1111884789307</v>
      </c>
      <c r="AG16" s="73">
        <v>3817.1577106807645</v>
      </c>
      <c r="AH16" s="73">
        <v>3839.1657562528799</v>
      </c>
      <c r="AI16" s="73">
        <v>3875.9793300996221</v>
      </c>
      <c r="AJ16" s="73">
        <v>3875.9793300996221</v>
      </c>
      <c r="AK16" s="73">
        <v>3875.9793300996221</v>
      </c>
      <c r="AL16" s="271"/>
      <c r="AM16" s="271"/>
      <c r="AN16" s="271"/>
      <c r="AO16" s="271"/>
      <c r="AP16" s="271"/>
      <c r="AQ16" s="271"/>
      <c r="AR16" s="271"/>
    </row>
    <row r="17" spans="1:44">
      <c r="A17" s="74" t="s">
        <v>273</v>
      </c>
      <c r="B17" s="76">
        <v>82457.531989187264</v>
      </c>
      <c r="C17" s="76">
        <v>82681.081746319483</v>
      </c>
      <c r="D17" s="76">
        <v>82555.953886289004</v>
      </c>
      <c r="E17" s="76">
        <v>82922.527465538806</v>
      </c>
      <c r="F17" s="76">
        <v>85561.467980917165</v>
      </c>
      <c r="G17" s="76">
        <v>86199.817004257697</v>
      </c>
      <c r="H17" s="76">
        <v>84659.956091341766</v>
      </c>
      <c r="I17" s="76">
        <v>82563.057466275946</v>
      </c>
      <c r="J17" s="76">
        <v>82449.514450859831</v>
      </c>
      <c r="K17" s="76">
        <v>82061.600640856093</v>
      </c>
      <c r="L17" s="76">
        <v>82612.405163369374</v>
      </c>
      <c r="M17" s="76">
        <v>82813.573308052073</v>
      </c>
      <c r="N17" s="76">
        <v>80882.375831659068</v>
      </c>
      <c r="O17" s="76">
        <v>79603.201558923698</v>
      </c>
      <c r="P17" s="76">
        <v>78289.484887668907</v>
      </c>
      <c r="Q17" s="76">
        <v>77247.558414123385</v>
      </c>
      <c r="R17" s="76">
        <v>76567.790936569232</v>
      </c>
      <c r="S17" s="76">
        <v>76472.4788416995</v>
      </c>
      <c r="T17" s="76">
        <v>77222.641671324265</v>
      </c>
      <c r="U17" s="76">
        <v>75943.841954409989</v>
      </c>
      <c r="V17" s="76">
        <v>75479.394667557717</v>
      </c>
      <c r="W17" s="76">
        <v>72877.290608604861</v>
      </c>
      <c r="X17" s="76">
        <v>72330.186429597292</v>
      </c>
      <c r="Y17" s="76">
        <v>70616.637973262055</v>
      </c>
      <c r="Z17" s="76">
        <v>69201.39489471486</v>
      </c>
      <c r="AA17" s="76">
        <v>68345.480682834808</v>
      </c>
      <c r="AB17" s="76">
        <v>68266.508877822911</v>
      </c>
      <c r="AC17" s="76">
        <v>67638.308009540997</v>
      </c>
      <c r="AD17" s="76">
        <v>66433.88110831489</v>
      </c>
      <c r="AE17" s="76">
        <v>66399.820523207047</v>
      </c>
      <c r="AF17" s="76">
        <v>64994.481840005967</v>
      </c>
      <c r="AG17" s="76">
        <v>63695.661396387084</v>
      </c>
      <c r="AH17" s="76">
        <v>62556.789692686267</v>
      </c>
      <c r="AI17" s="76">
        <v>61675.429332274376</v>
      </c>
      <c r="AJ17" s="76">
        <v>60870.679275057788</v>
      </c>
      <c r="AK17" s="76">
        <v>59817.159640486403</v>
      </c>
      <c r="AL17" s="76">
        <v>59817.159640486403</v>
      </c>
      <c r="AM17" s="76">
        <v>59817.159640486403</v>
      </c>
      <c r="AN17" s="76">
        <v>59817.159640486403</v>
      </c>
      <c r="AO17" s="76">
        <v>59817.159640486403</v>
      </c>
      <c r="AP17" s="76">
        <v>59817.159640486403</v>
      </c>
      <c r="AQ17" s="76">
        <v>37245.897519806953</v>
      </c>
      <c r="AR17" s="76">
        <v>33371.775183808524</v>
      </c>
    </row>
    <row r="18" spans="1:44">
      <c r="A18" s="72" t="s">
        <v>274</v>
      </c>
      <c r="B18" s="73">
        <v>3228.5072060387633</v>
      </c>
      <c r="C18" s="73">
        <v>3248.50379920774</v>
      </c>
      <c r="D18" s="73">
        <v>3237.2394132404638</v>
      </c>
      <c r="E18" s="73">
        <v>3284.2572853788929</v>
      </c>
      <c r="F18" s="73">
        <v>3322.577096758981</v>
      </c>
      <c r="G18" s="73">
        <v>3326.6053319340222</v>
      </c>
      <c r="H18" s="73">
        <v>3333.8991860006663</v>
      </c>
      <c r="I18" s="73">
        <v>3371.0190937328139</v>
      </c>
      <c r="J18" s="73">
        <v>3377.82651882039</v>
      </c>
      <c r="K18" s="73">
        <v>3408.2156274989979</v>
      </c>
      <c r="L18" s="73">
        <v>3414.6900270890765</v>
      </c>
      <c r="M18" s="73">
        <v>3440.8578555292033</v>
      </c>
      <c r="N18" s="73">
        <v>3461.4037262720499</v>
      </c>
      <c r="O18" s="73">
        <v>3468.1079560802264</v>
      </c>
      <c r="P18" s="73">
        <v>3478.8990029738243</v>
      </c>
      <c r="Q18" s="73">
        <v>3502.509163758858</v>
      </c>
      <c r="R18" s="73">
        <v>3618.3447190884867</v>
      </c>
      <c r="S18" s="73">
        <v>3681.3877147222547</v>
      </c>
      <c r="T18" s="73">
        <v>3699.8874868316743</v>
      </c>
      <c r="U18" s="73">
        <v>3735.6189737503864</v>
      </c>
      <c r="V18" s="73">
        <v>3748.4678905895335</v>
      </c>
      <c r="W18" s="73">
        <v>3751.1091248725875</v>
      </c>
      <c r="X18" s="73">
        <v>3778.0550470045582</v>
      </c>
      <c r="Y18" s="73">
        <v>3788.5505265835927</v>
      </c>
      <c r="Z18" s="73">
        <v>3807.5717616862835</v>
      </c>
      <c r="AA18" s="73">
        <v>3809.1972614950514</v>
      </c>
      <c r="AB18" s="73">
        <v>3818.0125713287025</v>
      </c>
      <c r="AC18" s="73">
        <v>3827.1914103427766</v>
      </c>
      <c r="AD18" s="73">
        <v>3837.5940568800602</v>
      </c>
      <c r="AE18" s="73">
        <v>3833.4378127632872</v>
      </c>
      <c r="AF18" s="73">
        <v>3821.3752616403299</v>
      </c>
      <c r="AG18" s="73">
        <v>3831.1393183162108</v>
      </c>
      <c r="AH18" s="73">
        <v>3914.4938113188532</v>
      </c>
      <c r="AI18" s="73">
        <v>3989.3711727840655</v>
      </c>
      <c r="AJ18" s="73">
        <v>4009.8734805259123</v>
      </c>
      <c r="AK18" s="73">
        <v>4007.6866338924774</v>
      </c>
      <c r="AL18" s="271"/>
      <c r="AM18" s="271"/>
      <c r="AN18" s="271"/>
      <c r="AO18" s="271"/>
      <c r="AP18" s="271"/>
      <c r="AQ18" s="271"/>
      <c r="AR18" s="271"/>
    </row>
    <row r="19" spans="1:44">
      <c r="A19" s="77"/>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7"/>
      <c r="AJ19" s="272"/>
      <c r="AK19" s="272"/>
      <c r="AL19" s="272"/>
      <c r="AM19" s="272"/>
      <c r="AN19" s="272"/>
      <c r="AO19" s="272"/>
      <c r="AP19" s="272"/>
    </row>
    <row r="20" spans="1:44">
      <c r="A20" s="77"/>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9"/>
      <c r="AE20" s="77"/>
      <c r="AF20" s="77"/>
      <c r="AG20" s="77"/>
      <c r="AH20" s="77"/>
    </row>
    <row r="21" spans="1:44" ht="18">
      <c r="A21" s="64" t="s">
        <v>275</v>
      </c>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510" t="s">
        <v>262</v>
      </c>
      <c r="AL21" s="510"/>
      <c r="AM21" s="510"/>
      <c r="AN21" s="510"/>
      <c r="AO21" s="510"/>
      <c r="AP21" s="510"/>
      <c r="AQ21" s="510"/>
      <c r="AR21" s="510"/>
    </row>
    <row r="22" spans="1:44">
      <c r="A22" s="77"/>
      <c r="B22" s="77"/>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row>
    <row r="23" spans="1:44">
      <c r="A23" s="80" t="s">
        <v>264</v>
      </c>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503" t="s">
        <v>262</v>
      </c>
      <c r="AL23" s="503"/>
      <c r="AM23" s="503"/>
      <c r="AN23" s="503"/>
      <c r="AO23" s="503"/>
      <c r="AP23" s="503"/>
      <c r="AQ23" s="503"/>
      <c r="AR23" s="503"/>
    </row>
    <row r="24" spans="1:44" ht="39.6">
      <c r="A24" s="66" t="s">
        <v>340</v>
      </c>
      <c r="B24" s="67">
        <v>1990</v>
      </c>
      <c r="C24" s="67">
        <v>1991</v>
      </c>
      <c r="D24" s="67">
        <v>1992</v>
      </c>
      <c r="E24" s="67">
        <v>1993</v>
      </c>
      <c r="F24" s="67">
        <v>1994</v>
      </c>
      <c r="G24" s="67">
        <v>1995</v>
      </c>
      <c r="H24" s="67">
        <v>1996</v>
      </c>
      <c r="I24" s="67">
        <v>1997</v>
      </c>
      <c r="J24" s="67">
        <v>1998</v>
      </c>
      <c r="K24" s="67">
        <v>1999</v>
      </c>
      <c r="L24" s="67">
        <v>2000</v>
      </c>
      <c r="M24" s="67">
        <v>2001</v>
      </c>
      <c r="N24" s="67">
        <v>2002</v>
      </c>
      <c r="O24" s="67">
        <v>2003</v>
      </c>
      <c r="P24" s="67">
        <v>2004</v>
      </c>
      <c r="Q24" s="67">
        <v>2005</v>
      </c>
      <c r="R24" s="67">
        <v>2006</v>
      </c>
      <c r="S24" s="67">
        <v>2007</v>
      </c>
      <c r="T24" s="67">
        <v>2008</v>
      </c>
      <c r="U24" s="67">
        <v>2009</v>
      </c>
      <c r="V24" s="67">
        <v>2010</v>
      </c>
      <c r="W24" s="67">
        <v>2011</v>
      </c>
      <c r="X24" s="67">
        <v>2012</v>
      </c>
      <c r="Y24" s="67">
        <v>2013</v>
      </c>
      <c r="Z24" s="67">
        <v>2014</v>
      </c>
      <c r="AA24" s="67">
        <v>2015</v>
      </c>
      <c r="AB24" s="67">
        <v>2016</v>
      </c>
      <c r="AC24" s="67">
        <v>2017</v>
      </c>
      <c r="AD24" s="67">
        <v>2018</v>
      </c>
      <c r="AE24" s="67">
        <v>2019</v>
      </c>
      <c r="AF24" s="67">
        <v>2020</v>
      </c>
      <c r="AG24" s="68">
        <v>2021</v>
      </c>
      <c r="AH24" s="68">
        <v>2022</v>
      </c>
      <c r="AI24" s="67">
        <v>2023</v>
      </c>
      <c r="AJ24" s="142">
        <v>2024</v>
      </c>
      <c r="AK24" s="393">
        <v>2025</v>
      </c>
      <c r="AL24" s="394">
        <v>2026</v>
      </c>
      <c r="AM24" s="394">
        <v>2027</v>
      </c>
      <c r="AN24" s="393">
        <v>2028</v>
      </c>
      <c r="AO24" s="394">
        <v>2029</v>
      </c>
      <c r="AP24" s="393">
        <v>2030</v>
      </c>
      <c r="AQ24" s="393">
        <v>2040</v>
      </c>
      <c r="AR24" s="393">
        <v>2050</v>
      </c>
    </row>
    <row r="25" spans="1:44">
      <c r="A25" s="82" t="s">
        <v>74</v>
      </c>
      <c r="B25" s="83">
        <v>10.590627750163486</v>
      </c>
      <c r="C25" s="83" t="s">
        <v>188</v>
      </c>
      <c r="D25" s="83">
        <v>11.667113045981234</v>
      </c>
      <c r="E25" s="83">
        <v>9.3581010932645601</v>
      </c>
      <c r="F25" s="83">
        <v>8.6257935952331319</v>
      </c>
      <c r="G25" s="83">
        <v>9.0619462241859203</v>
      </c>
      <c r="H25" s="83">
        <v>12.314701021300767</v>
      </c>
      <c r="I25" s="83">
        <v>12.060477755686284</v>
      </c>
      <c r="J25" s="83">
        <v>15.205064080220414</v>
      </c>
      <c r="K25" s="83">
        <v>14.170406781637855</v>
      </c>
      <c r="L25" s="83">
        <v>11.127339201705901</v>
      </c>
      <c r="M25" s="83">
        <v>12.672886291670979</v>
      </c>
      <c r="N25" s="83">
        <v>13.625231722649367</v>
      </c>
      <c r="O25" s="83">
        <v>14.91195396812898</v>
      </c>
      <c r="P25" s="83">
        <v>15.963383182622279</v>
      </c>
      <c r="Q25" s="83">
        <v>15.737653736249905</v>
      </c>
      <c r="R25" s="83">
        <v>18.160149606421808</v>
      </c>
      <c r="S25" s="83">
        <v>16.675267671459984</v>
      </c>
      <c r="T25" s="83">
        <v>16.926545777409526</v>
      </c>
      <c r="U25" s="83">
        <v>20.817345828363422</v>
      </c>
      <c r="V25" s="83">
        <v>21.987711302386838</v>
      </c>
      <c r="W25" s="83">
        <v>24.441319899798199</v>
      </c>
      <c r="X25" s="83">
        <v>20.714089357453972</v>
      </c>
      <c r="Y25" s="83">
        <v>19.279704542773583</v>
      </c>
      <c r="Z25" s="83">
        <v>14.894241991475916</v>
      </c>
      <c r="AA25" s="83">
        <v>16.982820972644141</v>
      </c>
      <c r="AB25" s="83">
        <v>26.208560039566272</v>
      </c>
      <c r="AC25" s="83">
        <v>30.566452678935551</v>
      </c>
      <c r="AD25" s="83">
        <v>22.480040319257167</v>
      </c>
      <c r="AE25" s="83">
        <v>27.381126773774835</v>
      </c>
      <c r="AF25" s="83">
        <v>25.480817627502098</v>
      </c>
      <c r="AG25" s="83">
        <v>25.610525058055881</v>
      </c>
      <c r="AH25" s="83">
        <v>34.013386089962758</v>
      </c>
      <c r="AI25" s="275">
        <v>26.08174056912755</v>
      </c>
      <c r="AJ25" s="244">
        <v>19.077993898281804</v>
      </c>
      <c r="AK25" s="275">
        <v>21.028656194019131</v>
      </c>
      <c r="AL25" s="275">
        <v>21.973170126130974</v>
      </c>
      <c r="AM25" s="275">
        <f>AL25+(AN25-AL25)/2</f>
        <v>26.731179714591399</v>
      </c>
      <c r="AN25" s="275">
        <v>31.489189303051827</v>
      </c>
      <c r="AO25" s="275">
        <f>AN25+(AP25-AN25)/2</f>
        <v>31.848571807277516</v>
      </c>
      <c r="AP25" s="275">
        <v>32.207954311503208</v>
      </c>
      <c r="AQ25" s="275">
        <v>25.320246483286446</v>
      </c>
      <c r="AR25" s="275">
        <v>22.779811063801773</v>
      </c>
    </row>
    <row r="26" spans="1:44">
      <c r="A26" s="82" t="s">
        <v>76</v>
      </c>
      <c r="B26" s="83">
        <v>4.3136966211685275</v>
      </c>
      <c r="C26" s="83">
        <v>4.7872087500846341</v>
      </c>
      <c r="D26" s="83">
        <v>4.675360487266957</v>
      </c>
      <c r="E26" s="83">
        <v>4.6166906337779876</v>
      </c>
      <c r="F26" s="83">
        <v>4.4261110723069566</v>
      </c>
      <c r="G26" s="83">
        <v>4.3944086046186941</v>
      </c>
      <c r="H26" s="83">
        <v>5.0688145779243285</v>
      </c>
      <c r="I26" s="83">
        <v>4.7027406562456955</v>
      </c>
      <c r="J26" s="83">
        <v>4.6145915776242958</v>
      </c>
      <c r="K26" s="83">
        <v>4.5768427016098716</v>
      </c>
      <c r="L26" s="83">
        <v>4.2560120301536495</v>
      </c>
      <c r="M26" s="83">
        <v>4.6911548772692955</v>
      </c>
      <c r="N26" s="83">
        <v>4.7984234906252539</v>
      </c>
      <c r="O26" s="83">
        <v>5.1003926375479729</v>
      </c>
      <c r="P26" s="83">
        <v>5.23013374565293</v>
      </c>
      <c r="Q26" s="83">
        <v>4.7166402713684796</v>
      </c>
      <c r="R26" s="83">
        <v>4.8310710705297888</v>
      </c>
      <c r="S26" s="83">
        <v>4.4833829476730322</v>
      </c>
      <c r="T26" s="83">
        <v>5.6024051671035684</v>
      </c>
      <c r="U26" s="83">
        <v>5.6215131919189885</v>
      </c>
      <c r="V26" s="83">
        <v>4.8639926479237365</v>
      </c>
      <c r="W26" s="83">
        <v>7.3044995170949383</v>
      </c>
      <c r="X26" s="83">
        <v>9.7738648195490896</v>
      </c>
      <c r="Y26" s="83">
        <v>11.073072744289192</v>
      </c>
      <c r="Z26" s="83">
        <v>10.815159226164585</v>
      </c>
      <c r="AA26" s="83">
        <v>9.3304879029771701</v>
      </c>
      <c r="AB26" s="83">
        <v>10.304102981912807</v>
      </c>
      <c r="AC26" s="83">
        <v>10.801913916839336</v>
      </c>
      <c r="AD26" s="83">
        <v>10.570285530562261</v>
      </c>
      <c r="AE26" s="83">
        <v>9.0345109218694315</v>
      </c>
      <c r="AF26" s="83">
        <v>8.7539349366181369</v>
      </c>
      <c r="AG26" s="83">
        <v>11.433447412944668</v>
      </c>
      <c r="AH26" s="83">
        <v>10.026380322385263</v>
      </c>
      <c r="AI26" s="275">
        <v>10.164714136508264</v>
      </c>
      <c r="AJ26" s="244">
        <v>9.9422875984824088</v>
      </c>
      <c r="AK26" s="275">
        <v>10.017200115049935</v>
      </c>
      <c r="AL26" s="275">
        <v>11.060018264230141</v>
      </c>
      <c r="AM26" s="275">
        <f t="shared" ref="AM26:AO33" si="1">AL26+(AN26-AL26)/2</f>
        <v>15.995227090073374</v>
      </c>
      <c r="AN26" s="275">
        <v>20.930435915916608</v>
      </c>
      <c r="AO26" s="275">
        <f t="shared" si="1"/>
        <v>22.446642069339411</v>
      </c>
      <c r="AP26" s="275">
        <v>23.962848222762215</v>
      </c>
      <c r="AQ26" s="275">
        <v>24.106227950697885</v>
      </c>
      <c r="AR26" s="275">
        <v>22.331897454474369</v>
      </c>
    </row>
    <row r="27" spans="1:44">
      <c r="A27" s="82" t="s">
        <v>78</v>
      </c>
      <c r="B27" s="83">
        <v>15.774490401480561</v>
      </c>
      <c r="C27" s="83">
        <v>16.246835743284052</v>
      </c>
      <c r="D27" s="83">
        <v>16.389725607160599</v>
      </c>
      <c r="E27" s="83">
        <v>16.9329298015641</v>
      </c>
      <c r="F27" s="83">
        <v>16.836021667147172</v>
      </c>
      <c r="G27" s="83">
        <v>16.112926173963672</v>
      </c>
      <c r="H27" s="83">
        <v>17.826021407101571</v>
      </c>
      <c r="I27" s="83">
        <v>18.780124013732959</v>
      </c>
      <c r="J27" s="83">
        <v>18.375162494141726</v>
      </c>
      <c r="K27" s="83">
        <v>17.540565190491719</v>
      </c>
      <c r="L27" s="83">
        <v>18.600446203355816</v>
      </c>
      <c r="M27" s="83">
        <v>18.895338558350876</v>
      </c>
      <c r="N27" s="83">
        <v>17.892140032134861</v>
      </c>
      <c r="O27" s="83">
        <v>18.077494476489282</v>
      </c>
      <c r="P27" s="83">
        <v>17.879638208082788</v>
      </c>
      <c r="Q27" s="83">
        <v>18.308738543173657</v>
      </c>
      <c r="R27" s="83">
        <v>19.393163523985088</v>
      </c>
      <c r="S27" s="83">
        <v>20.052209664098012</v>
      </c>
      <c r="T27" s="83">
        <v>19.772702910929777</v>
      </c>
      <c r="U27" s="83">
        <v>21.100951497736091</v>
      </c>
      <c r="V27" s="83">
        <v>15.43497292961109</v>
      </c>
      <c r="W27" s="83">
        <v>13.233929842907241</v>
      </c>
      <c r="X27" s="83">
        <v>12.507655860767846</v>
      </c>
      <c r="Y27" s="83">
        <v>6.1647500851337895</v>
      </c>
      <c r="Z27" s="83">
        <v>6.278665590452345</v>
      </c>
      <c r="AA27" s="83">
        <v>6.5623506247059291</v>
      </c>
      <c r="AB27" s="83">
        <v>6.7041621596369767</v>
      </c>
      <c r="AC27" s="83">
        <v>6.5467153252813075</v>
      </c>
      <c r="AD27" s="83">
        <v>7.1092773343972837</v>
      </c>
      <c r="AE27" s="83">
        <v>6.6832081349521122</v>
      </c>
      <c r="AF27" s="83">
        <v>5.3874946870795082</v>
      </c>
      <c r="AG27" s="83">
        <v>4.360774192276347</v>
      </c>
      <c r="AH27" s="83">
        <v>3.8663249108466013</v>
      </c>
      <c r="AI27" s="275">
        <v>4.3889433932256559</v>
      </c>
      <c r="AJ27" s="244">
        <v>4.506384282324281</v>
      </c>
      <c r="AK27" s="275">
        <v>4.6312960497054423</v>
      </c>
      <c r="AL27" s="275">
        <v>4.347030600280303</v>
      </c>
      <c r="AM27" s="275">
        <f t="shared" si="1"/>
        <v>3.6725187360876488</v>
      </c>
      <c r="AN27" s="275">
        <v>2.998006871894995</v>
      </c>
      <c r="AO27" s="275">
        <f t="shared" si="1"/>
        <v>2.7124201750080581</v>
      </c>
      <c r="AP27" s="275">
        <v>2.4268334781211212</v>
      </c>
      <c r="AQ27" s="275">
        <v>1.3345620969809702</v>
      </c>
      <c r="AR27" s="275">
        <v>0.55773444468519917</v>
      </c>
    </row>
    <row r="28" spans="1:44" ht="25.8" customHeight="1">
      <c r="A28" s="82" t="s">
        <v>80</v>
      </c>
      <c r="B28" s="83">
        <v>44.023824254855278</v>
      </c>
      <c r="C28" s="83">
        <v>42.666730135744132</v>
      </c>
      <c r="D28" s="83">
        <v>41.381062387102396</v>
      </c>
      <c r="E28" s="83">
        <v>36.290678953746806</v>
      </c>
      <c r="F28" s="83">
        <v>32.367889697448277</v>
      </c>
      <c r="G28" s="83">
        <v>34.439674511853269</v>
      </c>
      <c r="H28" s="83">
        <v>32.873103778163042</v>
      </c>
      <c r="I28" s="83">
        <v>31.463558991794542</v>
      </c>
      <c r="J28" s="83">
        <v>35.348821156823156</v>
      </c>
      <c r="K28" s="83">
        <v>31.409235399127752</v>
      </c>
      <c r="L28" s="83">
        <v>31.191136147737041</v>
      </c>
      <c r="M28" s="83">
        <v>30.670502706368612</v>
      </c>
      <c r="N28" s="83">
        <v>27.577599888808184</v>
      </c>
      <c r="O28" s="83">
        <v>28.110736629526198</v>
      </c>
      <c r="P28" s="83">
        <v>26.925640808239024</v>
      </c>
      <c r="Q28" s="83">
        <v>24.883456085204575</v>
      </c>
      <c r="R28" s="83">
        <v>25.559387682207767</v>
      </c>
      <c r="S28" s="83">
        <v>29.239048217798022</v>
      </c>
      <c r="T28" s="83">
        <v>18.929193566414906</v>
      </c>
      <c r="U28" s="83">
        <v>21.717556989125438</v>
      </c>
      <c r="V28" s="83">
        <v>19.74756</v>
      </c>
      <c r="W28" s="83">
        <v>6.361600000000001</v>
      </c>
      <c r="X28" s="83">
        <v>5.2077200000000001</v>
      </c>
      <c r="Y28" s="83">
        <v>7.4472692000000009</v>
      </c>
      <c r="Z28" s="83">
        <v>4.6071283999999997</v>
      </c>
      <c r="AA28" s="83">
        <v>5.8970744000000002</v>
      </c>
      <c r="AB28" s="83">
        <v>7.3308619999999998</v>
      </c>
      <c r="AC28" s="83">
        <v>7.8934436000000003</v>
      </c>
      <c r="AD28" s="83">
        <v>8.8914035000000009</v>
      </c>
      <c r="AE28" s="83">
        <v>5.4792616400168637</v>
      </c>
      <c r="AF28" s="83">
        <v>17.66156294</v>
      </c>
      <c r="AG28" s="83">
        <v>8.5611967559999993</v>
      </c>
      <c r="AH28" s="83">
        <v>10.421080879999998</v>
      </c>
      <c r="AI28" s="275">
        <v>10.9105628324</v>
      </c>
      <c r="AJ28" s="244">
        <v>16.446525524800002</v>
      </c>
      <c r="AK28" s="275">
        <v>16.459622760781428</v>
      </c>
      <c r="AL28" s="275">
        <v>14.636348989224656</v>
      </c>
      <c r="AM28" s="275">
        <f t="shared" si="1"/>
        <v>7.8433564057404563</v>
      </c>
      <c r="AN28" s="275">
        <v>1.0503638222562561</v>
      </c>
      <c r="AO28" s="275">
        <f t="shared" si="1"/>
        <v>1.027533390541095</v>
      </c>
      <c r="AP28" s="275">
        <v>1.0047029588259337</v>
      </c>
      <c r="AQ28" s="275">
        <v>0.92651050731072138</v>
      </c>
      <c r="AR28" s="275">
        <v>0.8545730351771903</v>
      </c>
    </row>
    <row r="29" spans="1:44" ht="22.8" customHeight="1">
      <c r="A29" s="82" t="s">
        <v>244</v>
      </c>
      <c r="B29" s="83">
        <v>5354.1040000000003</v>
      </c>
      <c r="C29" s="83">
        <v>4968.5364731654872</v>
      </c>
      <c r="D29" s="83">
        <v>5188.753986979058</v>
      </c>
      <c r="E29" s="83">
        <v>5420.5624232662312</v>
      </c>
      <c r="F29" s="83">
        <v>5541.8104037829953</v>
      </c>
      <c r="G29" s="83">
        <v>5491.4730903692243</v>
      </c>
      <c r="H29" s="83">
        <v>4173.8095690077444</v>
      </c>
      <c r="I29" s="83">
        <v>3552.024686628693</v>
      </c>
      <c r="J29" s="83">
        <v>3446.5172708405435</v>
      </c>
      <c r="K29" s="83">
        <v>3274.2751500356489</v>
      </c>
      <c r="L29" s="83">
        <v>2245.1396437059939</v>
      </c>
      <c r="M29" s="83">
        <v>2018.7791069056102</v>
      </c>
      <c r="N29" s="83">
        <v>1342.2459787879104</v>
      </c>
      <c r="O29" s="83">
        <v>1280.9441602510849</v>
      </c>
      <c r="P29" s="83">
        <v>746.42789513523519</v>
      </c>
      <c r="Q29" s="83">
        <v>414.59600000000006</v>
      </c>
      <c r="R29" s="83">
        <v>264.51600000000002</v>
      </c>
      <c r="S29" s="83">
        <v>39.396000000000008</v>
      </c>
      <c r="T29" s="83">
        <v>39.396000000000008</v>
      </c>
      <c r="U29" s="83">
        <v>39.396000000000008</v>
      </c>
      <c r="V29" s="83">
        <v>39.396000000000008</v>
      </c>
      <c r="W29" s="83">
        <v>30.016000000000002</v>
      </c>
      <c r="X29" s="83">
        <v>13.132</v>
      </c>
      <c r="Y29" s="83">
        <v>15.008000000000001</v>
      </c>
      <c r="Z29" s="83">
        <v>11.256</v>
      </c>
      <c r="AA29" s="83">
        <v>11.256</v>
      </c>
      <c r="AB29" s="83">
        <v>11.256</v>
      </c>
      <c r="AC29" s="83">
        <v>11.256</v>
      </c>
      <c r="AD29" s="83">
        <v>11.256</v>
      </c>
      <c r="AE29" s="83">
        <v>8.1293333333333351</v>
      </c>
      <c r="AF29" s="83">
        <v>5.0026666666666681</v>
      </c>
      <c r="AG29" s="83">
        <v>1.8760000000000001</v>
      </c>
      <c r="AH29" s="83">
        <v>1.8760000000000001</v>
      </c>
      <c r="AI29" s="275">
        <v>1.8760000000000001</v>
      </c>
      <c r="AJ29" s="244">
        <v>1.8760000000000001</v>
      </c>
      <c r="AK29" s="275">
        <v>1.8760000000000001</v>
      </c>
      <c r="AL29" s="275">
        <v>1.8760000000000001</v>
      </c>
      <c r="AM29" s="275">
        <f t="shared" si="1"/>
        <v>1.5945999999999985</v>
      </c>
      <c r="AN29" s="275">
        <v>1.313199999999997</v>
      </c>
      <c r="AO29" s="275">
        <f t="shared" si="1"/>
        <v>1.313199999999997</v>
      </c>
      <c r="AP29" s="275">
        <v>1.313199999999997</v>
      </c>
      <c r="AQ29" s="275">
        <v>1.313199999999997</v>
      </c>
      <c r="AR29" s="275">
        <v>1.313199999999997</v>
      </c>
    </row>
    <row r="30" spans="1:44" ht="28.8" customHeight="1">
      <c r="A30" s="82" t="s">
        <v>245</v>
      </c>
      <c r="B30" s="83">
        <v>297.17195782397556</v>
      </c>
      <c r="C30" s="83">
        <v>290.952791717585</v>
      </c>
      <c r="D30" s="83">
        <v>283.07959815126839</v>
      </c>
      <c r="E30" s="83">
        <v>272.89852822728267</v>
      </c>
      <c r="F30" s="83">
        <v>275.14920093322826</v>
      </c>
      <c r="G30" s="83">
        <v>247.65669971479824</v>
      </c>
      <c r="H30" s="83">
        <v>210.98047302250933</v>
      </c>
      <c r="I30" s="83">
        <v>180.1112529871846</v>
      </c>
      <c r="J30" s="83">
        <v>172.62694339282191</v>
      </c>
      <c r="K30" s="83">
        <v>155.56997772352608</v>
      </c>
      <c r="L30" s="83">
        <v>144.30717047233796</v>
      </c>
      <c r="M30" s="83">
        <v>140.70933524254559</v>
      </c>
      <c r="N30" s="83">
        <v>134.0347570778014</v>
      </c>
      <c r="O30" s="83">
        <v>125.58896286920552</v>
      </c>
      <c r="P30" s="83">
        <v>117.68851290948399</v>
      </c>
      <c r="Q30" s="83">
        <v>111.68651499247271</v>
      </c>
      <c r="R30" s="83">
        <v>109.8895585583937</v>
      </c>
      <c r="S30" s="83">
        <v>101.57024306362932</v>
      </c>
      <c r="T30" s="83">
        <v>100.58920280396818</v>
      </c>
      <c r="U30" s="83">
        <v>91.289183936262447</v>
      </c>
      <c r="V30" s="83">
        <v>91.60587301501495</v>
      </c>
      <c r="W30" s="83">
        <v>91.981738255297557</v>
      </c>
      <c r="X30" s="83">
        <v>81.981228650222889</v>
      </c>
      <c r="Y30" s="83">
        <v>80.811290806960258</v>
      </c>
      <c r="Z30" s="83">
        <v>77.752488394602565</v>
      </c>
      <c r="AA30" s="83">
        <v>84.912798195391318</v>
      </c>
      <c r="AB30" s="83">
        <v>83.031191473861711</v>
      </c>
      <c r="AC30" s="83">
        <v>77.441669017497617</v>
      </c>
      <c r="AD30" s="83">
        <v>78.880990598505775</v>
      </c>
      <c r="AE30" s="83">
        <v>72.842747439013763</v>
      </c>
      <c r="AF30" s="83">
        <v>64.252695756126712</v>
      </c>
      <c r="AG30" s="83">
        <v>65.101653986373151</v>
      </c>
      <c r="AH30" s="83">
        <v>59.137675818966997</v>
      </c>
      <c r="AI30" s="275">
        <v>58.628834058096736</v>
      </c>
      <c r="AJ30" s="244">
        <v>54.778007549809807</v>
      </c>
      <c r="AK30" s="275">
        <v>56.841156235345963</v>
      </c>
      <c r="AL30" s="275">
        <v>56.539462903003248</v>
      </c>
      <c r="AM30" s="275">
        <f t="shared" si="1"/>
        <v>56.994158785730484</v>
      </c>
      <c r="AN30" s="275">
        <v>57.44885466845772</v>
      </c>
      <c r="AO30" s="275">
        <f t="shared" si="1"/>
        <v>57.424535948192215</v>
      </c>
      <c r="AP30" s="275">
        <v>57.400217227926717</v>
      </c>
      <c r="AQ30" s="275">
        <v>0.18140803436619582</v>
      </c>
      <c r="AR30" s="275">
        <v>7.7399349217031302E-2</v>
      </c>
    </row>
    <row r="31" spans="1:44" ht="25.2" customHeight="1">
      <c r="A31" s="82" t="s">
        <v>246</v>
      </c>
      <c r="B31" s="83">
        <v>1717.1721445001454</v>
      </c>
      <c r="C31" s="83">
        <v>1722.6032395168265</v>
      </c>
      <c r="D31" s="83">
        <v>1674.4557427618508</v>
      </c>
      <c r="E31" s="83">
        <v>1643.9395135671202</v>
      </c>
      <c r="F31" s="83">
        <v>1609.731041074012</v>
      </c>
      <c r="G31" s="83">
        <v>1568.2491001929195</v>
      </c>
      <c r="H31" s="83">
        <v>1525.4496016623373</v>
      </c>
      <c r="I31" s="83">
        <v>1517.3601628260674</v>
      </c>
      <c r="J31" s="83">
        <v>1531.3386203368411</v>
      </c>
      <c r="K31" s="83">
        <v>1529.8275480562957</v>
      </c>
      <c r="L31" s="83">
        <v>1544.8708591450647</v>
      </c>
      <c r="M31" s="83">
        <v>1520.2873804492781</v>
      </c>
      <c r="N31" s="83">
        <v>1545.3660079379283</v>
      </c>
      <c r="O31" s="83">
        <v>1521.9242894131087</v>
      </c>
      <c r="P31" s="83">
        <v>1524.4590145860479</v>
      </c>
      <c r="Q31" s="83">
        <v>1492.1853499651463</v>
      </c>
      <c r="R31" s="83">
        <v>1518.2955659749407</v>
      </c>
      <c r="S31" s="83">
        <v>1491.2732539196888</v>
      </c>
      <c r="T31" s="83">
        <v>1490.6045070424896</v>
      </c>
      <c r="U31" s="83">
        <v>1491.6342906570969</v>
      </c>
      <c r="V31" s="83">
        <v>1573.0999531398602</v>
      </c>
      <c r="W31" s="83">
        <v>1507.3012668555004</v>
      </c>
      <c r="X31" s="83">
        <v>1498.4612499533364</v>
      </c>
      <c r="Y31" s="83">
        <v>1443.2394715545202</v>
      </c>
      <c r="Z31" s="83">
        <v>1284.763252351541</v>
      </c>
      <c r="AA31" s="83">
        <v>1252.2662557067908</v>
      </c>
      <c r="AB31" s="83">
        <v>1278.3457986626236</v>
      </c>
      <c r="AC31" s="83">
        <v>1177.9014195623085</v>
      </c>
      <c r="AD31" s="83">
        <v>1116.7170626679836</v>
      </c>
      <c r="AE31" s="83">
        <v>1038.6773530600703</v>
      </c>
      <c r="AF31" s="83">
        <v>861.0550165630433</v>
      </c>
      <c r="AG31" s="83">
        <v>853.93233295970549</v>
      </c>
      <c r="AH31" s="83">
        <v>807.63203109696462</v>
      </c>
      <c r="AI31" s="275">
        <v>739.37182662951477</v>
      </c>
      <c r="AJ31" s="244">
        <v>633.85727071544363</v>
      </c>
      <c r="AK31" s="275">
        <v>612.61053613345177</v>
      </c>
      <c r="AL31" s="275">
        <v>603.17921905012065</v>
      </c>
      <c r="AM31" s="275">
        <f t="shared" si="1"/>
        <v>604.5075261799783</v>
      </c>
      <c r="AN31" s="275">
        <v>605.83583330983595</v>
      </c>
      <c r="AO31" s="275">
        <f t="shared" si="1"/>
        <v>587.72050633288995</v>
      </c>
      <c r="AP31" s="275">
        <v>569.60517935594407</v>
      </c>
      <c r="AQ31" s="275">
        <v>327.68267830382518</v>
      </c>
      <c r="AR31" s="275">
        <v>151.63209427855321</v>
      </c>
    </row>
    <row r="32" spans="1:44">
      <c r="A32" s="82" t="s">
        <v>276</v>
      </c>
      <c r="B32" s="83">
        <v>47.697762164705878</v>
      </c>
      <c r="C32" s="83">
        <v>43.453365963636358</v>
      </c>
      <c r="D32" s="83">
        <v>38.866346399999991</v>
      </c>
      <c r="E32" s="83">
        <v>34.498796206451608</v>
      </c>
      <c r="F32" s="83">
        <v>29.969688000000001</v>
      </c>
      <c r="G32" s="83">
        <v>25.435100937931033</v>
      </c>
      <c r="H32" s="83">
        <v>20.982550399999994</v>
      </c>
      <c r="I32" s="83">
        <v>16.386092177777776</v>
      </c>
      <c r="J32" s="83">
        <v>11.65664596923077</v>
      </c>
      <c r="K32" s="83">
        <v>6.8048030399999995</v>
      </c>
      <c r="L32" s="83">
        <v>1.8335520000000005</v>
      </c>
      <c r="M32" s="83">
        <v>1.8415488</v>
      </c>
      <c r="N32" s="83">
        <v>1.8500160000000001</v>
      </c>
      <c r="O32" s="83">
        <v>1.8429312000000064</v>
      </c>
      <c r="P32" s="83">
        <v>1.8363392000000014</v>
      </c>
      <c r="Q32" s="83">
        <v>1.8303071999999967</v>
      </c>
      <c r="R32" s="83">
        <v>1.822326400000003</v>
      </c>
      <c r="S32" s="83">
        <v>1.8149727999999987</v>
      </c>
      <c r="T32" s="83">
        <v>1.8065888000000052</v>
      </c>
      <c r="U32" s="83">
        <v>1.8009151999999999</v>
      </c>
      <c r="V32" s="83">
        <v>1.6981440000000001</v>
      </c>
      <c r="W32" s="83">
        <v>1.5937376000000001</v>
      </c>
      <c r="X32" s="83">
        <v>1.7129951999999997</v>
      </c>
      <c r="Y32" s="83">
        <v>1.9378437636720329</v>
      </c>
      <c r="Z32" s="83">
        <v>1.8915455619197119</v>
      </c>
      <c r="AA32" s="83">
        <v>2.2714235589381553</v>
      </c>
      <c r="AB32" s="83">
        <v>2.7384933963122751</v>
      </c>
      <c r="AC32" s="83">
        <v>2.2080163590427619</v>
      </c>
      <c r="AD32" s="83">
        <v>1.6462350801098518</v>
      </c>
      <c r="AE32" s="83">
        <v>1.5618510110631667</v>
      </c>
      <c r="AF32" s="83">
        <v>1.6107440889237596</v>
      </c>
      <c r="AG32" s="83">
        <v>1.4983266351771902</v>
      </c>
      <c r="AH32" s="83">
        <v>1.5030306351771905</v>
      </c>
      <c r="AI32" s="244">
        <v>1.5078018351771905</v>
      </c>
      <c r="AJ32" s="244">
        <v>1.5078018351771905</v>
      </c>
      <c r="AK32" s="244">
        <v>1.5078018351771905</v>
      </c>
      <c r="AL32" s="275">
        <f t="shared" ref="AL32" si="2">AK32+(AN32-AK32)/3</f>
        <v>1.0052012234514605</v>
      </c>
      <c r="AM32" s="275">
        <f t="shared" si="1"/>
        <v>0.50260061172573023</v>
      </c>
      <c r="AN32" s="275">
        <v>0</v>
      </c>
      <c r="AO32" s="275">
        <f t="shared" si="1"/>
        <v>0</v>
      </c>
      <c r="AP32" s="275">
        <v>0</v>
      </c>
      <c r="AQ32" s="275">
        <v>0.63918399999999997</v>
      </c>
      <c r="AR32" s="275">
        <v>0.63918399999999997</v>
      </c>
    </row>
    <row r="33" spans="1:44">
      <c r="A33" s="82" t="s">
        <v>83</v>
      </c>
      <c r="B33" s="83">
        <v>3.5314828415999998E-2</v>
      </c>
      <c r="C33" s="83">
        <v>3.8605651056000008E-2</v>
      </c>
      <c r="D33" s="83">
        <v>4.1896473696000011E-2</v>
      </c>
      <c r="E33" s="83">
        <v>4.5210402720000001E-2</v>
      </c>
      <c r="F33" s="83">
        <v>4.5532986347520003E-2</v>
      </c>
      <c r="G33" s="83">
        <v>4.5855569975040006E-2</v>
      </c>
      <c r="H33" s="83">
        <v>4.7056088963519996E-2</v>
      </c>
      <c r="I33" s="83">
        <v>4.792591232352001E-2</v>
      </c>
      <c r="J33" s="83">
        <v>4.8456624323519999E-2</v>
      </c>
      <c r="K33" s="83">
        <v>5.332121216352001E-2</v>
      </c>
      <c r="L33" s="83">
        <v>5.5658559801599998E-2</v>
      </c>
      <c r="M33" s="83">
        <v>5.99346642384E-2</v>
      </c>
      <c r="N33" s="83">
        <v>6.4210768675199995E-2</v>
      </c>
      <c r="O33" s="83">
        <v>6.73410087504E-2</v>
      </c>
      <c r="P33" s="83">
        <v>7.0471248825600019E-2</v>
      </c>
      <c r="Q33" s="83">
        <v>6.8883165288000009E-2</v>
      </c>
      <c r="R33" s="83">
        <v>6.7295081750400013E-2</v>
      </c>
      <c r="S33" s="83">
        <v>6.8972577631776E-2</v>
      </c>
      <c r="T33" s="83">
        <v>7.0650073513152001E-2</v>
      </c>
      <c r="U33" s="83">
        <v>7.2809366485968058E-2</v>
      </c>
      <c r="V33" s="83">
        <v>7.4968659458784059E-2</v>
      </c>
      <c r="W33" s="83">
        <v>7.613835178219204E-2</v>
      </c>
      <c r="X33" s="83">
        <v>7.7308044105600021E-2</v>
      </c>
      <c r="Y33" s="83">
        <v>7.7932259395200001E-2</v>
      </c>
      <c r="Z33" s="83">
        <v>7.855647468480001E-2</v>
      </c>
      <c r="AA33" s="83">
        <v>7.8390141379200001E-2</v>
      </c>
      <c r="AB33" s="83">
        <v>7.8223808073600021E-2</v>
      </c>
      <c r="AC33" s="83">
        <v>7.8983552320848013E-2</v>
      </c>
      <c r="AD33" s="83">
        <v>7.9743296568096006E-2</v>
      </c>
      <c r="AE33" s="83">
        <v>7.9216446817872016E-2</v>
      </c>
      <c r="AF33" s="83">
        <v>7.868959706764804E-2</v>
      </c>
      <c r="AG33" s="83">
        <v>7.8279599774073616E-2</v>
      </c>
      <c r="AH33" s="83">
        <v>7.7869602480499206E-2</v>
      </c>
      <c r="AI33" s="275">
        <v>7.7869602480499206E-2</v>
      </c>
      <c r="AJ33" s="244">
        <v>7.7869602480499192E-2</v>
      </c>
      <c r="AK33" s="275">
        <v>7.7869602480499192E-2</v>
      </c>
      <c r="AL33" s="275">
        <v>7.7420186433905649E-2</v>
      </c>
      <c r="AM33" s="275">
        <f t="shared" si="1"/>
        <v>7.6351616320077781E-2</v>
      </c>
      <c r="AN33" s="275">
        <v>7.5283046206249898E-2</v>
      </c>
      <c r="AO33" s="275">
        <f t="shared" si="1"/>
        <v>7.4686015350862361E-2</v>
      </c>
      <c r="AP33" s="275">
        <v>7.4088984495474838E-2</v>
      </c>
      <c r="AQ33" s="275">
        <v>5.5120719277593433E-2</v>
      </c>
      <c r="AR33" s="275">
        <v>4.4304633549389613E-2</v>
      </c>
    </row>
    <row r="34" spans="1:44">
      <c r="A34" s="84" t="s">
        <v>277</v>
      </c>
      <c r="B34" s="85">
        <f>SUM(B25:B33)</f>
        <v>7490.8838183449097</v>
      </c>
      <c r="C34" s="85">
        <f t="shared" ref="C34:AP34" si="3">SUM(C25:C33)</f>
        <v>7089.2852506437039</v>
      </c>
      <c r="D34" s="85">
        <f t="shared" si="3"/>
        <v>7259.3108322933849</v>
      </c>
      <c r="E34" s="85">
        <f t="shared" si="3"/>
        <v>7439.1428721521588</v>
      </c>
      <c r="F34" s="85">
        <f t="shared" si="3"/>
        <v>7518.9616828087192</v>
      </c>
      <c r="G34" s="85">
        <f t="shared" si="3"/>
        <v>7396.8688022994693</v>
      </c>
      <c r="H34" s="85">
        <f t="shared" si="3"/>
        <v>5999.3518909660443</v>
      </c>
      <c r="I34" s="85">
        <f t="shared" si="3"/>
        <v>5332.9370219495058</v>
      </c>
      <c r="J34" s="85">
        <f t="shared" si="3"/>
        <v>5235.731576472569</v>
      </c>
      <c r="K34" s="85">
        <f t="shared" si="3"/>
        <v>5034.2278501405008</v>
      </c>
      <c r="L34" s="85">
        <f t="shared" si="3"/>
        <v>4001.3818174661501</v>
      </c>
      <c r="M34" s="85">
        <f t="shared" si="3"/>
        <v>3748.6071884953317</v>
      </c>
      <c r="N34" s="85">
        <f t="shared" si="3"/>
        <v>3087.4543657065328</v>
      </c>
      <c r="O34" s="85">
        <f t="shared" si="3"/>
        <v>2996.5682624538413</v>
      </c>
      <c r="P34" s="85">
        <f t="shared" si="3"/>
        <v>2456.4810290241899</v>
      </c>
      <c r="Q34" s="85">
        <f t="shared" si="3"/>
        <v>2084.0135439589035</v>
      </c>
      <c r="R34" s="85">
        <f t="shared" si="3"/>
        <v>1962.5345178982293</v>
      </c>
      <c r="S34" s="85">
        <f t="shared" si="3"/>
        <v>1704.573350861979</v>
      </c>
      <c r="T34" s="85">
        <f t="shared" si="3"/>
        <v>1693.6977961418288</v>
      </c>
      <c r="U34" s="85">
        <f t="shared" si="3"/>
        <v>1693.4505666669891</v>
      </c>
      <c r="V34" s="85">
        <f t="shared" si="3"/>
        <v>1767.9091756942555</v>
      </c>
      <c r="W34" s="85">
        <f t="shared" si="3"/>
        <v>1682.3102303223804</v>
      </c>
      <c r="X34" s="85">
        <f t="shared" si="3"/>
        <v>1643.5681118854359</v>
      </c>
      <c r="Y34" s="85">
        <f t="shared" si="3"/>
        <v>1585.0393349567441</v>
      </c>
      <c r="Z34" s="85">
        <f t="shared" si="3"/>
        <v>1412.3370379908408</v>
      </c>
      <c r="AA34" s="85">
        <f t="shared" si="3"/>
        <v>1389.5576015028266</v>
      </c>
      <c r="AB34" s="85">
        <f t="shared" si="3"/>
        <v>1425.9973945219872</v>
      </c>
      <c r="AC34" s="85">
        <f t="shared" si="3"/>
        <v>1324.6946140122259</v>
      </c>
      <c r="AD34" s="85">
        <f t="shared" si="3"/>
        <v>1257.631038327384</v>
      </c>
      <c r="AE34" s="85">
        <f t="shared" si="3"/>
        <v>1169.8686087609117</v>
      </c>
      <c r="AF34" s="85">
        <f t="shared" si="3"/>
        <v>989.28362286302786</v>
      </c>
      <c r="AG34" s="85">
        <f t="shared" si="3"/>
        <v>972.45253660030676</v>
      </c>
      <c r="AH34" s="85">
        <f t="shared" si="3"/>
        <v>928.55377935678393</v>
      </c>
      <c r="AI34" s="85">
        <f t="shared" si="3"/>
        <v>853.00829305653076</v>
      </c>
      <c r="AJ34" s="85">
        <f t="shared" si="3"/>
        <v>742.07014100679976</v>
      </c>
      <c r="AK34" s="85">
        <f t="shared" si="3"/>
        <v>725.05013892601141</v>
      </c>
      <c r="AL34" s="85">
        <f t="shared" si="3"/>
        <v>714.69387134287524</v>
      </c>
      <c r="AM34" s="85">
        <f t="shared" ref="AM34" si="4">SUM(AM25:AM33)</f>
        <v>717.91751914024746</v>
      </c>
      <c r="AN34" s="85">
        <f t="shared" si="3"/>
        <v>721.14116693761957</v>
      </c>
      <c r="AO34" s="85">
        <f t="shared" si="3"/>
        <v>704.56809573859914</v>
      </c>
      <c r="AP34" s="85">
        <f t="shared" si="3"/>
        <v>687.99502453957871</v>
      </c>
      <c r="AQ34" s="85">
        <v>381.55913809574503</v>
      </c>
      <c r="AR34" s="85">
        <v>200.23019825945818</v>
      </c>
    </row>
    <row r="35" spans="1:44" ht="15">
      <c r="A35" s="86"/>
      <c r="B35" s="87"/>
      <c r="C35" s="87"/>
      <c r="D35" s="87"/>
      <c r="E35" s="87"/>
      <c r="F35" s="87"/>
      <c r="G35" s="87"/>
      <c r="H35" s="87"/>
      <c r="I35" s="87"/>
      <c r="J35" s="87"/>
      <c r="K35" s="61"/>
      <c r="L35" s="61"/>
      <c r="M35" s="61"/>
      <c r="N35" s="61"/>
      <c r="O35" s="61"/>
      <c r="P35" s="61"/>
      <c r="Q35" s="61"/>
      <c r="R35" s="61"/>
      <c r="S35" s="61"/>
      <c r="T35" s="61"/>
      <c r="U35" s="61"/>
      <c r="V35" s="61"/>
      <c r="W35" s="61"/>
      <c r="X35" s="61"/>
      <c r="Y35" s="61"/>
      <c r="Z35" s="61"/>
      <c r="AA35" s="61"/>
      <c r="AB35" s="61"/>
      <c r="AC35" s="61"/>
      <c r="AD35" s="61"/>
      <c r="AE35" s="61"/>
      <c r="AF35" s="61"/>
      <c r="AG35" s="88"/>
      <c r="AH35" s="61"/>
      <c r="AJ35" s="143"/>
    </row>
    <row r="36" spans="1:44">
      <c r="A36" s="89" t="s">
        <v>265</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510" t="s">
        <v>262</v>
      </c>
      <c r="AL36" s="510"/>
      <c r="AM36" s="510"/>
      <c r="AN36" s="510"/>
      <c r="AO36" s="510"/>
      <c r="AP36" s="510"/>
      <c r="AQ36" s="510"/>
      <c r="AR36" s="510"/>
    </row>
    <row r="37" spans="1:44" ht="39.6">
      <c r="A37" s="66" t="s">
        <v>340</v>
      </c>
      <c r="B37" s="67">
        <v>1990</v>
      </c>
      <c r="C37" s="67">
        <v>1991</v>
      </c>
      <c r="D37" s="67">
        <v>1992</v>
      </c>
      <c r="E37" s="67">
        <v>1993</v>
      </c>
      <c r="F37" s="67">
        <v>1994</v>
      </c>
      <c r="G37" s="67">
        <v>1995</v>
      </c>
      <c r="H37" s="67">
        <v>1996</v>
      </c>
      <c r="I37" s="67">
        <v>1997</v>
      </c>
      <c r="J37" s="67">
        <v>1998</v>
      </c>
      <c r="K37" s="67">
        <v>1999</v>
      </c>
      <c r="L37" s="67">
        <v>2000</v>
      </c>
      <c r="M37" s="67">
        <v>2001</v>
      </c>
      <c r="N37" s="67">
        <v>2002</v>
      </c>
      <c r="O37" s="67">
        <v>2003</v>
      </c>
      <c r="P37" s="67">
        <v>2004</v>
      </c>
      <c r="Q37" s="67">
        <v>2005</v>
      </c>
      <c r="R37" s="67">
        <v>2006</v>
      </c>
      <c r="S37" s="67">
        <v>2007</v>
      </c>
      <c r="T37" s="67">
        <v>2008</v>
      </c>
      <c r="U37" s="67">
        <v>2009</v>
      </c>
      <c r="V37" s="67">
        <v>2010</v>
      </c>
      <c r="W37" s="67">
        <v>2011</v>
      </c>
      <c r="X37" s="67">
        <v>2012</v>
      </c>
      <c r="Y37" s="67">
        <v>2013</v>
      </c>
      <c r="Z37" s="67">
        <v>2014</v>
      </c>
      <c r="AA37" s="67">
        <v>2015</v>
      </c>
      <c r="AB37" s="67">
        <v>2016</v>
      </c>
      <c r="AC37" s="67">
        <v>2017</v>
      </c>
      <c r="AD37" s="67">
        <v>2018</v>
      </c>
      <c r="AE37" s="67">
        <v>2019</v>
      </c>
      <c r="AF37" s="67">
        <v>2020</v>
      </c>
      <c r="AG37" s="68">
        <v>2021</v>
      </c>
      <c r="AH37" s="68">
        <v>2022</v>
      </c>
      <c r="AI37" s="67">
        <v>2023</v>
      </c>
      <c r="AJ37" s="142">
        <v>2024</v>
      </c>
      <c r="AK37" s="393">
        <v>2025</v>
      </c>
      <c r="AL37" s="394">
        <v>2026</v>
      </c>
      <c r="AM37" s="394">
        <v>2027</v>
      </c>
      <c r="AN37" s="393">
        <v>2028</v>
      </c>
      <c r="AO37" s="394">
        <v>2029</v>
      </c>
      <c r="AP37" s="393">
        <v>2030</v>
      </c>
      <c r="AQ37" s="393">
        <v>2040</v>
      </c>
      <c r="AR37" s="393">
        <v>2050</v>
      </c>
    </row>
    <row r="38" spans="1:44">
      <c r="A38" s="91" t="s">
        <v>100</v>
      </c>
      <c r="B38" s="83">
        <v>146.58805449251383</v>
      </c>
      <c r="C38" s="83">
        <v>159.90724714170676</v>
      </c>
      <c r="D38" s="83">
        <v>157.11652080676808</v>
      </c>
      <c r="E38" s="83">
        <v>144.67307562566654</v>
      </c>
      <c r="F38" s="83">
        <v>161.74324143523882</v>
      </c>
      <c r="G38" s="83">
        <v>168.24541225235478</v>
      </c>
      <c r="H38" s="83">
        <v>174.71941614780545</v>
      </c>
      <c r="I38" s="83">
        <v>181.83384896257618</v>
      </c>
      <c r="J38" s="83">
        <v>165.37749656922531</v>
      </c>
      <c r="K38" s="83">
        <v>173.95239615056229</v>
      </c>
      <c r="L38" s="83">
        <v>178.21186249246037</v>
      </c>
      <c r="M38" s="83">
        <v>181.14314178416768</v>
      </c>
      <c r="N38" s="83">
        <v>174.24157236669157</v>
      </c>
      <c r="O38" s="83">
        <v>186.22962893254316</v>
      </c>
      <c r="P38" s="83">
        <v>159.52963267848062</v>
      </c>
      <c r="Q38" s="83">
        <v>136.58780957101749</v>
      </c>
      <c r="R38" s="83">
        <v>130.67084660292278</v>
      </c>
      <c r="S38" s="83">
        <v>121.90912730253397</v>
      </c>
      <c r="T38" s="83">
        <v>105.41029385613886</v>
      </c>
      <c r="U38" s="83">
        <v>92.773364687356889</v>
      </c>
      <c r="V38" s="83">
        <v>110.28168594611888</v>
      </c>
      <c r="W38" s="83">
        <v>78.239813432812795</v>
      </c>
      <c r="X38" s="83">
        <v>68.671094714163587</v>
      </c>
      <c r="Y38" s="83">
        <v>71.977221344595279</v>
      </c>
      <c r="Z38" s="83">
        <v>81.526341050354162</v>
      </c>
      <c r="AA38" s="83">
        <v>72.67583516769966</v>
      </c>
      <c r="AB38" s="83">
        <v>68.378642451372656</v>
      </c>
      <c r="AC38" s="83">
        <v>65.060937049262591</v>
      </c>
      <c r="AD38" s="83">
        <v>58.434720831067423</v>
      </c>
      <c r="AE38" s="83">
        <v>55.912124174800304</v>
      </c>
      <c r="AF38" s="83">
        <v>53.290724741101762</v>
      </c>
      <c r="AG38" s="83">
        <v>55.466968811881891</v>
      </c>
      <c r="AH38" s="83">
        <v>54.593831348660835</v>
      </c>
      <c r="AI38" s="277">
        <v>46.433889046219136</v>
      </c>
      <c r="AJ38" s="277">
        <v>43.350861792387924</v>
      </c>
      <c r="AK38" s="277">
        <v>35.928633744529336</v>
      </c>
      <c r="AL38" s="277">
        <v>35.875274878306627</v>
      </c>
      <c r="AM38" s="277">
        <f>AL38+(AN38-AL38)/2</f>
        <v>42.788937886869761</v>
      </c>
      <c r="AN38" s="277">
        <v>49.702600895432887</v>
      </c>
      <c r="AO38" s="277">
        <f>AN38+(AP38-AN38)/2</f>
        <v>49.782753092810893</v>
      </c>
      <c r="AP38" s="277">
        <v>49.862905290188891</v>
      </c>
      <c r="AQ38" s="277">
        <v>48.287312437835453</v>
      </c>
      <c r="AR38" s="277">
        <v>43.676105522469392</v>
      </c>
    </row>
    <row r="39" spans="1:44">
      <c r="A39" s="91" t="s">
        <v>16</v>
      </c>
      <c r="B39" s="83">
        <v>4.3266658902390294</v>
      </c>
      <c r="C39" s="83">
        <v>4.4044154809972964</v>
      </c>
      <c r="D39" s="83">
        <v>4.4439232545450089</v>
      </c>
      <c r="E39" s="83">
        <v>4.4125427910010666</v>
      </c>
      <c r="F39" s="83">
        <v>3.6015974892479656</v>
      </c>
      <c r="G39" s="83">
        <v>4.0009189283011173</v>
      </c>
      <c r="H39" s="83">
        <v>4.0635941179727375</v>
      </c>
      <c r="I39" s="83">
        <v>3.814313642972686</v>
      </c>
      <c r="J39" s="83">
        <v>6.2054356641917829</v>
      </c>
      <c r="K39" s="83">
        <v>5.5684938417248357</v>
      </c>
      <c r="L39" s="83">
        <v>4.6621682935410869</v>
      </c>
      <c r="M39" s="83">
        <v>5.3232944973612994</v>
      </c>
      <c r="N39" s="83">
        <v>6.267837232087901</v>
      </c>
      <c r="O39" s="83">
        <v>7.8172883995767233</v>
      </c>
      <c r="P39" s="83">
        <v>7.2818269460793239</v>
      </c>
      <c r="Q39" s="83">
        <v>6.5484598765730109</v>
      </c>
      <c r="R39" s="83">
        <v>6.3049599056487953</v>
      </c>
      <c r="S39" s="83">
        <v>5.7990456661337406</v>
      </c>
      <c r="T39" s="83">
        <v>5.2023215516598142</v>
      </c>
      <c r="U39" s="83">
        <v>4.6886291248127003</v>
      </c>
      <c r="V39" s="83">
        <v>4.4719838838799859</v>
      </c>
      <c r="W39" s="83">
        <v>4.9570048889624605</v>
      </c>
      <c r="X39" s="83">
        <v>4.5299937185560717</v>
      </c>
      <c r="Y39" s="83">
        <v>4.4592034166565888</v>
      </c>
      <c r="Z39" s="83">
        <v>4.1744780072744874</v>
      </c>
      <c r="AA39" s="83">
        <v>4.4094543612837693</v>
      </c>
      <c r="AB39" s="83">
        <v>4.4030225066062423</v>
      </c>
      <c r="AC39" s="83">
        <v>4.6492048503150727</v>
      </c>
      <c r="AD39" s="83">
        <v>4.652630177321555</v>
      </c>
      <c r="AE39" s="83">
        <v>4.6750605630074551</v>
      </c>
      <c r="AF39" s="83">
        <v>4.2677863620173371</v>
      </c>
      <c r="AG39" s="83">
        <v>4.2946082226934905</v>
      </c>
      <c r="AH39" s="83">
        <v>3.9528369611878835</v>
      </c>
      <c r="AI39" s="277">
        <v>3.3870278358883557</v>
      </c>
      <c r="AJ39" s="277">
        <v>3.3875976278146518</v>
      </c>
      <c r="AK39" s="277">
        <v>3.5239070356638988</v>
      </c>
      <c r="AL39" s="277">
        <v>3.143305326630141</v>
      </c>
      <c r="AM39" s="277">
        <f t="shared" ref="AM39:AO46" si="5">AL39+(AN39-AL39)/2</f>
        <v>2.022069869030374</v>
      </c>
      <c r="AN39" s="277">
        <v>0.9008344114306075</v>
      </c>
      <c r="AO39" s="277">
        <f t="shared" si="5"/>
        <v>0.79595880822361376</v>
      </c>
      <c r="AP39" s="277">
        <v>0.69108320501662002</v>
      </c>
      <c r="AQ39" s="277">
        <v>0.31459970813648985</v>
      </c>
      <c r="AR39" s="277">
        <v>0.16453892995490657</v>
      </c>
    </row>
    <row r="40" spans="1:44">
      <c r="A40" s="91" t="s">
        <v>101</v>
      </c>
      <c r="B40" s="83">
        <v>4.5915176154338875</v>
      </c>
      <c r="C40" s="83">
        <v>5.3661797794470809</v>
      </c>
      <c r="D40" s="83">
        <v>4.3190024995289598</v>
      </c>
      <c r="E40" s="83">
        <v>4.8916319235291779</v>
      </c>
      <c r="F40" s="83">
        <v>4.4213456616633033</v>
      </c>
      <c r="G40" s="83">
        <v>4.8839523090243464</v>
      </c>
      <c r="H40" s="83">
        <v>5.238310349324399</v>
      </c>
      <c r="I40" s="83">
        <v>4.6521011532459697</v>
      </c>
      <c r="J40" s="83">
        <v>3.989701911532709</v>
      </c>
      <c r="K40" s="83">
        <v>4.2289132950928838</v>
      </c>
      <c r="L40" s="83">
        <v>3.9076063068073719</v>
      </c>
      <c r="M40" s="83">
        <v>4.0074388912796257</v>
      </c>
      <c r="N40" s="83">
        <v>3.233027881806632</v>
      </c>
      <c r="O40" s="83">
        <v>3.5620382781536288</v>
      </c>
      <c r="P40" s="83">
        <v>5.5531606602586905</v>
      </c>
      <c r="Q40" s="83">
        <v>3.5628626502852541</v>
      </c>
      <c r="R40" s="83">
        <v>3.5131718094992559</v>
      </c>
      <c r="S40" s="83">
        <v>3.068839799094262</v>
      </c>
      <c r="T40" s="83">
        <v>3.2127715484583828</v>
      </c>
      <c r="U40" s="83">
        <v>2.768392401890464</v>
      </c>
      <c r="V40" s="83">
        <v>3.0739469894455227</v>
      </c>
      <c r="W40" s="83">
        <v>2.6147762033327977</v>
      </c>
      <c r="X40" s="83">
        <v>2.5530098205225906</v>
      </c>
      <c r="Y40" s="83">
        <v>3.120518520513373</v>
      </c>
      <c r="Z40" s="83">
        <v>2.7672168119266889</v>
      </c>
      <c r="AA40" s="83">
        <v>2.3698270766430714</v>
      </c>
      <c r="AB40" s="83">
        <v>2.4067393649319371</v>
      </c>
      <c r="AC40" s="83">
        <v>2.4050626948026146</v>
      </c>
      <c r="AD40" s="83">
        <v>2.3610764712756529</v>
      </c>
      <c r="AE40" s="83">
        <v>2.4567865779542482</v>
      </c>
      <c r="AF40" s="83">
        <v>2.6914713000753632</v>
      </c>
      <c r="AG40" s="83">
        <v>2.9434730951944967</v>
      </c>
      <c r="AH40" s="83">
        <v>2.9471263961882985</v>
      </c>
      <c r="AI40" s="277">
        <v>6.9692264957410375</v>
      </c>
      <c r="AJ40" s="277">
        <v>8.074152686325105</v>
      </c>
      <c r="AK40" s="277">
        <v>7.954149707081827</v>
      </c>
      <c r="AL40" s="277">
        <v>7.2763474434148128</v>
      </c>
      <c r="AM40" s="277">
        <f t="shared" si="5"/>
        <v>6.7940306995659778</v>
      </c>
      <c r="AN40" s="277">
        <v>6.3117139557171438</v>
      </c>
      <c r="AO40" s="277">
        <f t="shared" si="5"/>
        <v>5.7970811049305198</v>
      </c>
      <c r="AP40" s="277">
        <v>5.2824482541438957</v>
      </c>
      <c r="AQ40" s="277">
        <v>4.1431007587494992</v>
      </c>
      <c r="AR40" s="277">
        <v>3.0584201038836039</v>
      </c>
    </row>
    <row r="41" spans="1:44">
      <c r="A41" s="91" t="s">
        <v>232</v>
      </c>
      <c r="B41" s="83">
        <v>55.248942349033292</v>
      </c>
      <c r="C41" s="83">
        <v>60.442433861417406</v>
      </c>
      <c r="D41" s="83">
        <v>58.651120211998759</v>
      </c>
      <c r="E41" s="83">
        <v>60.800876024290403</v>
      </c>
      <c r="F41" s="83">
        <v>62.641206636872113</v>
      </c>
      <c r="G41" s="83">
        <v>62.54618187142556</v>
      </c>
      <c r="H41" s="83">
        <v>61.624563121379126</v>
      </c>
      <c r="I41" s="83">
        <v>62.706403968563237</v>
      </c>
      <c r="J41" s="83">
        <v>61.948171353329819</v>
      </c>
      <c r="K41" s="83">
        <v>63.423483101038158</v>
      </c>
      <c r="L41" s="83">
        <v>61.327465587829955</v>
      </c>
      <c r="M41" s="83">
        <v>66.604235082940136</v>
      </c>
      <c r="N41" s="83">
        <v>64.944391503448543</v>
      </c>
      <c r="O41" s="83">
        <v>65.163209967163482</v>
      </c>
      <c r="P41" s="83">
        <v>47.391202007502613</v>
      </c>
      <c r="Q41" s="83">
        <v>57.499385421469157</v>
      </c>
      <c r="R41" s="83">
        <v>59.112490046399024</v>
      </c>
      <c r="S41" s="83">
        <v>66.839868574566367</v>
      </c>
      <c r="T41" s="83">
        <v>46.068871027198021</v>
      </c>
      <c r="U41" s="83">
        <v>52.431624849034243</v>
      </c>
      <c r="V41" s="83">
        <v>45.359291276209134</v>
      </c>
      <c r="W41" s="83">
        <v>53.092769251051891</v>
      </c>
      <c r="X41" s="83">
        <v>49.513367499829805</v>
      </c>
      <c r="Y41" s="83">
        <v>47.775766567188718</v>
      </c>
      <c r="Z41" s="83">
        <v>44.558425563106738</v>
      </c>
      <c r="AA41" s="83">
        <v>40.322703384334638</v>
      </c>
      <c r="AB41" s="83">
        <v>41.856318242681851</v>
      </c>
      <c r="AC41" s="83">
        <v>45.147143921853548</v>
      </c>
      <c r="AD41" s="83">
        <v>46.843581666197672</v>
      </c>
      <c r="AE41" s="83">
        <v>47.731917142148369</v>
      </c>
      <c r="AF41" s="83">
        <v>42.57746785561848</v>
      </c>
      <c r="AG41" s="83">
        <v>38.271787357182362</v>
      </c>
      <c r="AH41" s="83">
        <v>38.582273725662631</v>
      </c>
      <c r="AI41" s="277">
        <v>34.2287892852939</v>
      </c>
      <c r="AJ41" s="277">
        <v>39.697097127832031</v>
      </c>
      <c r="AK41" s="277">
        <v>39.52099791828077</v>
      </c>
      <c r="AL41" s="277">
        <v>40.554618076092794</v>
      </c>
      <c r="AM41" s="277">
        <f t="shared" si="5"/>
        <v>42.944489956824974</v>
      </c>
      <c r="AN41" s="277">
        <v>45.334361837557154</v>
      </c>
      <c r="AO41" s="277">
        <f t="shared" si="5"/>
        <v>45.916843822383598</v>
      </c>
      <c r="AP41" s="277">
        <v>46.499325807210049</v>
      </c>
      <c r="AQ41" s="277">
        <v>46.159027263988406</v>
      </c>
      <c r="AR41" s="277">
        <v>45.044350698773606</v>
      </c>
    </row>
    <row r="42" spans="1:44">
      <c r="A42" s="91" t="s">
        <v>234</v>
      </c>
      <c r="B42" s="83">
        <v>167.06839836353441</v>
      </c>
      <c r="C42" s="83">
        <v>158.29617449041177</v>
      </c>
      <c r="D42" s="83">
        <v>149.9459005590536</v>
      </c>
      <c r="E42" s="83">
        <v>140.52370112343823</v>
      </c>
      <c r="F42" s="83">
        <v>154.03192479302254</v>
      </c>
      <c r="G42" s="83">
        <v>146.14324040243176</v>
      </c>
      <c r="H42" s="83">
        <v>135.34205951974229</v>
      </c>
      <c r="I42" s="83">
        <v>150.6544664374712</v>
      </c>
      <c r="J42" s="83">
        <v>154.16701460064508</v>
      </c>
      <c r="K42" s="83">
        <v>150.47509196151924</v>
      </c>
      <c r="L42" s="83">
        <v>152.53264071147481</v>
      </c>
      <c r="M42" s="83">
        <v>134.02056505215168</v>
      </c>
      <c r="N42" s="83">
        <v>147.3827567496748</v>
      </c>
      <c r="O42" s="83">
        <v>121.79580461982854</v>
      </c>
      <c r="P42" s="83">
        <v>167.09540572797997</v>
      </c>
      <c r="Q42" s="83">
        <v>125.15182602376737</v>
      </c>
      <c r="R42" s="83">
        <v>80.78052688135466</v>
      </c>
      <c r="S42" s="83">
        <v>135.80742948059824</v>
      </c>
      <c r="T42" s="83">
        <v>95.469801842329716</v>
      </c>
      <c r="U42" s="83">
        <v>43.034030370962057</v>
      </c>
      <c r="V42" s="83">
        <v>76.310549478082308</v>
      </c>
      <c r="W42" s="83">
        <v>82.503462296883811</v>
      </c>
      <c r="X42" s="83">
        <v>64.86748860754291</v>
      </c>
      <c r="Y42" s="83">
        <v>50.556321240097354</v>
      </c>
      <c r="Z42" s="83">
        <v>45.452377912798603</v>
      </c>
      <c r="AA42" s="83">
        <v>41.171092254671962</v>
      </c>
      <c r="AB42" s="83">
        <v>46.563496401477586</v>
      </c>
      <c r="AC42" s="83">
        <v>39.815995465521375</v>
      </c>
      <c r="AD42" s="83">
        <v>36.190387501704279</v>
      </c>
      <c r="AE42" s="83">
        <v>33.511745627957204</v>
      </c>
      <c r="AF42" s="83">
        <v>28.538051284981918</v>
      </c>
      <c r="AG42" s="83">
        <v>38.41965354052234</v>
      </c>
      <c r="AH42" s="83">
        <v>23.811834258916523</v>
      </c>
      <c r="AI42" s="277">
        <v>20.689934335933252</v>
      </c>
      <c r="AJ42" s="277">
        <v>19.313746680505442</v>
      </c>
      <c r="AK42" s="277">
        <v>17.430294691306081</v>
      </c>
      <c r="AL42" s="277">
        <v>17.898706468700475</v>
      </c>
      <c r="AM42" s="277">
        <f t="shared" si="5"/>
        <v>21.302760993304595</v>
      </c>
      <c r="AN42" s="277">
        <v>24.706815517908719</v>
      </c>
      <c r="AO42" s="277">
        <f t="shared" si="5"/>
        <v>23.910999480377825</v>
      </c>
      <c r="AP42" s="277">
        <v>23.115183442846934</v>
      </c>
      <c r="AQ42" s="277">
        <v>17.371040993747883</v>
      </c>
      <c r="AR42" s="277">
        <v>9.566793367137727</v>
      </c>
    </row>
    <row r="43" spans="1:44">
      <c r="A43" s="91" t="s">
        <v>29</v>
      </c>
      <c r="B43" s="83">
        <v>8.2067940445519785</v>
      </c>
      <c r="C43" s="83">
        <v>10.978271488001541</v>
      </c>
      <c r="D43" s="83">
        <v>9.5579361952798401</v>
      </c>
      <c r="E43" s="83">
        <v>6.978977971986299</v>
      </c>
      <c r="F43" s="83">
        <v>6.7076480812289923</v>
      </c>
      <c r="G43" s="83">
        <v>7.1363306549420926</v>
      </c>
      <c r="H43" s="83">
        <v>7.2804989589362696</v>
      </c>
      <c r="I43" s="83">
        <v>6.9859331045928803</v>
      </c>
      <c r="J43" s="83">
        <v>6.9571965787954531</v>
      </c>
      <c r="K43" s="83">
        <v>6.7678484206321023</v>
      </c>
      <c r="L43" s="83">
        <v>6.9879598623286086</v>
      </c>
      <c r="M43" s="83">
        <v>6.6073169844424227</v>
      </c>
      <c r="N43" s="83">
        <v>6.5567525713619412</v>
      </c>
      <c r="O43" s="83">
        <v>6.1352609700995169</v>
      </c>
      <c r="P43" s="83">
        <v>6.1085830406275576</v>
      </c>
      <c r="Q43" s="83">
        <v>6.8170262871463585</v>
      </c>
      <c r="R43" s="83">
        <v>7.2454561563404187</v>
      </c>
      <c r="S43" s="83">
        <v>6.5625273392985122</v>
      </c>
      <c r="T43" s="83">
        <v>7.1701069504820643</v>
      </c>
      <c r="U43" s="83">
        <v>5.2084365999524049</v>
      </c>
      <c r="V43" s="83">
        <v>7.001337272087671</v>
      </c>
      <c r="W43" s="83">
        <v>7.6719208258916405</v>
      </c>
      <c r="X43" s="83">
        <v>6.8411548149357575</v>
      </c>
      <c r="Y43" s="83">
        <v>6.6979467398015204</v>
      </c>
      <c r="Z43" s="83">
        <v>6.8138627230967188</v>
      </c>
      <c r="AA43" s="83">
        <v>6.9734547923155068</v>
      </c>
      <c r="AB43" s="83">
        <v>8.1765519300534617</v>
      </c>
      <c r="AC43" s="83">
        <v>8.0625090048305221</v>
      </c>
      <c r="AD43" s="83">
        <v>8.055858211554753</v>
      </c>
      <c r="AE43" s="83">
        <v>7.2696276600310989</v>
      </c>
      <c r="AF43" s="83">
        <v>4.2794980064470804</v>
      </c>
      <c r="AG43" s="83">
        <v>5.4437073673808207</v>
      </c>
      <c r="AH43" s="83">
        <v>5.3798342368570111</v>
      </c>
      <c r="AI43" s="277">
        <v>4.3954956867078909</v>
      </c>
      <c r="AJ43" s="277">
        <v>3.8738488279565537</v>
      </c>
      <c r="AK43" s="277">
        <v>3.8684584204988508</v>
      </c>
      <c r="AL43" s="277">
        <v>3.9410033875805883</v>
      </c>
      <c r="AM43" s="277">
        <f t="shared" si="5"/>
        <v>4.4786344681629</v>
      </c>
      <c r="AN43" s="277">
        <v>5.0162655487452117</v>
      </c>
      <c r="AO43" s="277">
        <f t="shared" si="5"/>
        <v>4.9712748706913263</v>
      </c>
      <c r="AP43" s="277">
        <v>4.9262841926374419</v>
      </c>
      <c r="AQ43" s="277">
        <v>4.8974686350620242</v>
      </c>
      <c r="AR43" s="277">
        <v>0.43549527191275661</v>
      </c>
    </row>
    <row r="44" spans="1:44" ht="24">
      <c r="A44" s="91" t="s">
        <v>31</v>
      </c>
      <c r="B44" s="83">
        <v>25.536311141823038</v>
      </c>
      <c r="C44" s="83">
        <v>31.81416745785781</v>
      </c>
      <c r="D44" s="83">
        <v>21.953040499336986</v>
      </c>
      <c r="E44" s="83">
        <v>18.184053296646532</v>
      </c>
      <c r="F44" s="83">
        <v>20.392168234042561</v>
      </c>
      <c r="G44" s="83">
        <v>18.690694168600679</v>
      </c>
      <c r="H44" s="83">
        <v>17.935670909500821</v>
      </c>
      <c r="I44" s="83">
        <v>16.489054360758221</v>
      </c>
      <c r="J44" s="83">
        <v>18.791287629385792</v>
      </c>
      <c r="K44" s="83">
        <v>19.997401090784241</v>
      </c>
      <c r="L44" s="83">
        <v>19.199271428523204</v>
      </c>
      <c r="M44" s="83">
        <v>22.921394767142743</v>
      </c>
      <c r="N44" s="83">
        <v>21.956391617074971</v>
      </c>
      <c r="O44" s="83">
        <v>21.563563124255708</v>
      </c>
      <c r="P44" s="83">
        <v>21.63511256388901</v>
      </c>
      <c r="Q44" s="83">
        <v>26.840697676844044</v>
      </c>
      <c r="R44" s="83">
        <v>34.239819146760546</v>
      </c>
      <c r="S44" s="83">
        <v>36.074585344296615</v>
      </c>
      <c r="T44" s="83">
        <v>42.12481539902312</v>
      </c>
      <c r="U44" s="83">
        <v>35.955610498366127</v>
      </c>
      <c r="V44" s="83">
        <v>31.665384270307616</v>
      </c>
      <c r="W44" s="83">
        <v>32.230037937209929</v>
      </c>
      <c r="X44" s="83">
        <v>32.384052259726204</v>
      </c>
      <c r="Y44" s="83">
        <v>32.095291122806188</v>
      </c>
      <c r="Z44" s="83">
        <v>32.957512264308065</v>
      </c>
      <c r="AA44" s="83">
        <v>27.46229543575754</v>
      </c>
      <c r="AB44" s="83">
        <v>28.329686226784155</v>
      </c>
      <c r="AC44" s="83">
        <v>26.89275031232398</v>
      </c>
      <c r="AD44" s="83">
        <v>27.467613845219041</v>
      </c>
      <c r="AE44" s="83">
        <v>28.478856407172792</v>
      </c>
      <c r="AF44" s="83">
        <v>26.992370623995722</v>
      </c>
      <c r="AG44" s="83">
        <v>28.394710865347569</v>
      </c>
      <c r="AH44" s="83">
        <v>30.507621538994652</v>
      </c>
      <c r="AI44" s="277">
        <v>30.291368793062865</v>
      </c>
      <c r="AJ44" s="277">
        <v>28.267384396985261</v>
      </c>
      <c r="AK44" s="277">
        <v>27.268151799380991</v>
      </c>
      <c r="AL44" s="277">
        <v>27.130828552999784</v>
      </c>
      <c r="AM44" s="277">
        <f t="shared" si="5"/>
        <v>25.943263535137888</v>
      </c>
      <c r="AN44" s="277">
        <v>24.755698517275995</v>
      </c>
      <c r="AO44" s="277">
        <f t="shared" si="5"/>
        <v>25.217884097962155</v>
      </c>
      <c r="AP44" s="277">
        <v>25.680069678648316</v>
      </c>
      <c r="AQ44" s="277">
        <v>21.083321878969912</v>
      </c>
      <c r="AR44" s="277">
        <v>16.990420603450321</v>
      </c>
    </row>
    <row r="45" spans="1:44">
      <c r="A45" s="91" t="s">
        <v>34</v>
      </c>
      <c r="B45" s="83">
        <v>30.119647169874721</v>
      </c>
      <c r="C45" s="83">
        <v>37.908338240767961</v>
      </c>
      <c r="D45" s="83">
        <v>37.478091283523163</v>
      </c>
      <c r="E45" s="83">
        <v>31.697302010433162</v>
      </c>
      <c r="F45" s="83">
        <v>32.525985562308485</v>
      </c>
      <c r="G45" s="83">
        <v>29.109897572033102</v>
      </c>
      <c r="H45" s="83">
        <v>33.634744804298983</v>
      </c>
      <c r="I45" s="83">
        <v>34.179230448159167</v>
      </c>
      <c r="J45" s="83">
        <v>34.106228436823045</v>
      </c>
      <c r="K45" s="83">
        <v>33.932505339186157</v>
      </c>
      <c r="L45" s="83">
        <v>29.646732235325818</v>
      </c>
      <c r="M45" s="83">
        <v>34.799546174684409</v>
      </c>
      <c r="N45" s="83">
        <v>33.313054486756478</v>
      </c>
      <c r="O45" s="83">
        <v>36.1214089281385</v>
      </c>
      <c r="P45" s="83">
        <v>46.439191150456764</v>
      </c>
      <c r="Q45" s="83">
        <v>37.658105634742597</v>
      </c>
      <c r="R45" s="83">
        <v>43.582990977523956</v>
      </c>
      <c r="S45" s="83">
        <v>47.871660303838965</v>
      </c>
      <c r="T45" s="83">
        <v>45.268670377560902</v>
      </c>
      <c r="U45" s="83">
        <v>43.933126701412746</v>
      </c>
      <c r="V45" s="83">
        <v>42.237196717386652</v>
      </c>
      <c r="W45" s="83">
        <v>51.638455641988969</v>
      </c>
      <c r="X45" s="83">
        <v>54.969633441834723</v>
      </c>
      <c r="Y45" s="83">
        <v>55.514811502585488</v>
      </c>
      <c r="Z45" s="83">
        <v>54.838265497478893</v>
      </c>
      <c r="AA45" s="83">
        <v>44.528376991123395</v>
      </c>
      <c r="AB45" s="83">
        <v>44.584377886108619</v>
      </c>
      <c r="AC45" s="83">
        <v>46.168828075105537</v>
      </c>
      <c r="AD45" s="83">
        <v>47.006370096044584</v>
      </c>
      <c r="AE45" s="83">
        <v>49.239182333934224</v>
      </c>
      <c r="AF45" s="83">
        <v>51.488709278869472</v>
      </c>
      <c r="AG45" s="83">
        <v>49.113140800513477</v>
      </c>
      <c r="AH45" s="83">
        <v>49.056627470572195</v>
      </c>
      <c r="AI45" s="277">
        <v>47.324502361484086</v>
      </c>
      <c r="AJ45" s="277">
        <v>58.047044789610766</v>
      </c>
      <c r="AK45" s="277">
        <v>57.773598099091274</v>
      </c>
      <c r="AL45" s="277">
        <v>58.733918491599951</v>
      </c>
      <c r="AM45" s="277">
        <f t="shared" si="5"/>
        <v>61.227946306526064</v>
      </c>
      <c r="AN45" s="277">
        <v>63.721974121452185</v>
      </c>
      <c r="AO45" s="277">
        <f t="shared" si="5"/>
        <v>63.966695710437875</v>
      </c>
      <c r="AP45" s="277">
        <v>64.211417299423573</v>
      </c>
      <c r="AQ45" s="277">
        <v>59.955695447145565</v>
      </c>
      <c r="AR45" s="277">
        <v>55.116869354551</v>
      </c>
    </row>
    <row r="46" spans="1:44">
      <c r="A46" s="91" t="s">
        <v>35</v>
      </c>
      <c r="B46" s="83">
        <v>8.9060226638161986</v>
      </c>
      <c r="C46" s="83">
        <v>11.422615055287499</v>
      </c>
      <c r="D46" s="83">
        <v>8.4566233677482323</v>
      </c>
      <c r="E46" s="83">
        <v>19.729645017391359</v>
      </c>
      <c r="F46" s="83">
        <v>18.652085508697418</v>
      </c>
      <c r="G46" s="83">
        <v>12.583555802720698</v>
      </c>
      <c r="H46" s="83">
        <v>19.013023377561016</v>
      </c>
      <c r="I46" s="83">
        <v>22.05311015912061</v>
      </c>
      <c r="J46" s="83">
        <v>18.807287853030186</v>
      </c>
      <c r="K46" s="83">
        <v>16.855015810420099</v>
      </c>
      <c r="L46" s="83">
        <v>10.589160005991092</v>
      </c>
      <c r="M46" s="83">
        <v>15.171958021382343</v>
      </c>
      <c r="N46" s="83">
        <v>13.276419093178857</v>
      </c>
      <c r="O46" s="83">
        <v>9.3493967937423648</v>
      </c>
      <c r="P46" s="83">
        <v>14.386364536837661</v>
      </c>
      <c r="Q46" s="83">
        <v>12.60844591134579</v>
      </c>
      <c r="R46" s="83">
        <v>8.0272379059700611</v>
      </c>
      <c r="S46" s="83">
        <v>17.606284319146141</v>
      </c>
      <c r="T46" s="83">
        <v>21.189891888843711</v>
      </c>
      <c r="U46" s="83">
        <v>23.522573559980199</v>
      </c>
      <c r="V46" s="83">
        <v>12.117918303137781</v>
      </c>
      <c r="W46" s="83">
        <v>14.581523335232632</v>
      </c>
      <c r="X46" s="83">
        <v>16.806737116341061</v>
      </c>
      <c r="Y46" s="83">
        <v>21.66739767569916</v>
      </c>
      <c r="Z46" s="83">
        <v>18.68752168424351</v>
      </c>
      <c r="AA46" s="83">
        <v>10.893343755001759</v>
      </c>
      <c r="AB46" s="83">
        <v>11.872141614529326</v>
      </c>
      <c r="AC46" s="83">
        <v>11.884841829304326</v>
      </c>
      <c r="AD46" s="83">
        <v>12.4305352948197</v>
      </c>
      <c r="AE46" s="83">
        <v>11.473861293807628</v>
      </c>
      <c r="AF46" s="83">
        <v>11.087577868759391</v>
      </c>
      <c r="AG46" s="83">
        <v>12.642596343972356</v>
      </c>
      <c r="AH46" s="83">
        <v>13.82511906537364</v>
      </c>
      <c r="AI46" s="277">
        <v>11.368264108216323</v>
      </c>
      <c r="AJ46" s="277">
        <v>13.911116934133648</v>
      </c>
      <c r="AK46" s="277">
        <v>13.743370453352952</v>
      </c>
      <c r="AL46" s="277">
        <v>13.890316391807554</v>
      </c>
      <c r="AM46" s="277">
        <f t="shared" si="5"/>
        <v>18.227175321653014</v>
      </c>
      <c r="AN46" s="277">
        <v>22.564034251498477</v>
      </c>
      <c r="AO46" s="277">
        <f t="shared" si="5"/>
        <v>23.22000194679989</v>
      </c>
      <c r="AP46" s="277">
        <v>23.875969642101303</v>
      </c>
      <c r="AQ46" s="277">
        <v>28.887752808740697</v>
      </c>
      <c r="AR46" s="277">
        <v>30.171800618493616</v>
      </c>
    </row>
    <row r="47" spans="1:44">
      <c r="A47" s="92" t="s">
        <v>278</v>
      </c>
      <c r="B47" s="93">
        <v>450.59235373082043</v>
      </c>
      <c r="C47" s="93">
        <v>480.53984299589519</v>
      </c>
      <c r="D47" s="93">
        <v>451.92215867778265</v>
      </c>
      <c r="E47" s="93">
        <v>431.89180578438277</v>
      </c>
      <c r="F47" s="93">
        <v>464.71720340232224</v>
      </c>
      <c r="G47" s="93">
        <v>453.34018396183404</v>
      </c>
      <c r="H47" s="93">
        <v>458.85188130652108</v>
      </c>
      <c r="I47" s="93">
        <v>483.36846223746016</v>
      </c>
      <c r="J47" s="93">
        <v>470.34982059695915</v>
      </c>
      <c r="K47" s="93">
        <v>475.20114901095997</v>
      </c>
      <c r="L47" s="93">
        <v>467.0648669242824</v>
      </c>
      <c r="M47" s="93">
        <v>470.59889125555236</v>
      </c>
      <c r="N47" s="93">
        <v>471.17220350208169</v>
      </c>
      <c r="O47" s="93">
        <v>457.73760001350172</v>
      </c>
      <c r="P47" s="93">
        <v>475.42047931211215</v>
      </c>
      <c r="Q47" s="93">
        <v>413.27461905319103</v>
      </c>
      <c r="R47" s="93">
        <v>373.47749943241951</v>
      </c>
      <c r="S47" s="93">
        <v>441.53936812950684</v>
      </c>
      <c r="T47" s="93">
        <v>371.11754444169463</v>
      </c>
      <c r="U47" s="93">
        <v>304.31578879376781</v>
      </c>
      <c r="V47" s="93">
        <v>332.51929413665556</v>
      </c>
      <c r="W47" s="93">
        <v>327.52976381336691</v>
      </c>
      <c r="X47" s="93">
        <v>301.13653199345276</v>
      </c>
      <c r="Y47" s="93">
        <v>293.86447812994362</v>
      </c>
      <c r="Z47" s="93">
        <v>291.77600151458785</v>
      </c>
      <c r="AA47" s="93">
        <v>250.80638321883129</v>
      </c>
      <c r="AB47" s="93">
        <v>256.57097662454584</v>
      </c>
      <c r="AC47" s="93">
        <v>250.08727320331957</v>
      </c>
      <c r="AD47" s="93">
        <v>243.44277409520464</v>
      </c>
      <c r="AE47" s="93">
        <v>240.74916178081332</v>
      </c>
      <c r="AF47" s="93">
        <v>225.21365732186652</v>
      </c>
      <c r="AG47" s="93">
        <v>234.99064640468879</v>
      </c>
      <c r="AH47" s="93">
        <v>222.65710500241366</v>
      </c>
      <c r="AI47" s="290">
        <v>205.08849794854686</v>
      </c>
      <c r="AJ47" s="291">
        <v>217.92285086355139</v>
      </c>
      <c r="AK47" s="291">
        <v>207.01156186918598</v>
      </c>
      <c r="AL47" s="291">
        <f>(AL38+AL39+AL40+AL41+AL42+AL43+AL44+AL45+AL46)</f>
        <v>208.44431901713273</v>
      </c>
      <c r="AM47" s="291">
        <f>AM38+AM39+AM40+AM41+AM42+AM43+AM44+AM45+AM46</f>
        <v>225.72930903707555</v>
      </c>
      <c r="AN47" s="291">
        <f>SUM(AN38:AN46)</f>
        <v>243.01429905701838</v>
      </c>
      <c r="AO47" s="291">
        <f>AO38+AO39+AO40+AO41+AO42+AO43+AO44+AO45+AO46</f>
        <v>243.57949293461772</v>
      </c>
      <c r="AP47" s="291">
        <f>SUM(AP38:AP46)</f>
        <v>244.144686812217</v>
      </c>
      <c r="AQ47" s="291">
        <v>231.09931993237592</v>
      </c>
      <c r="AR47" s="291">
        <v>204.22479447062693</v>
      </c>
    </row>
    <row r="48" spans="1:44" ht="15">
      <c r="A48" s="94"/>
      <c r="B48" s="87"/>
      <c r="C48" s="87"/>
      <c r="D48" s="87"/>
      <c r="E48" s="87"/>
      <c r="F48" s="87"/>
      <c r="G48" s="87"/>
      <c r="H48" s="87"/>
      <c r="I48" s="87"/>
      <c r="J48" s="87"/>
      <c r="K48" s="61"/>
      <c r="L48" s="61"/>
      <c r="M48" s="61"/>
      <c r="N48" s="61"/>
      <c r="O48" s="61"/>
      <c r="P48" s="61"/>
      <c r="Q48" s="61"/>
      <c r="R48" s="61"/>
      <c r="S48" s="61"/>
      <c r="T48" s="61"/>
      <c r="U48" s="61"/>
      <c r="V48" s="61"/>
      <c r="W48" s="61"/>
      <c r="X48" s="61"/>
      <c r="Y48" s="61"/>
      <c r="Z48" s="61"/>
      <c r="AA48" s="61"/>
      <c r="AB48" s="61"/>
      <c r="AC48" s="61"/>
      <c r="AD48" s="61"/>
      <c r="AE48" s="61"/>
      <c r="AF48" s="61"/>
      <c r="AG48" s="61"/>
      <c r="AH48" s="61"/>
    </row>
    <row r="49" spans="1:44">
      <c r="A49" s="95" t="s">
        <v>266</v>
      </c>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511" t="s">
        <v>262</v>
      </c>
      <c r="AL49" s="511"/>
      <c r="AM49" s="511"/>
      <c r="AN49" s="511"/>
      <c r="AO49" s="511"/>
      <c r="AP49" s="511"/>
      <c r="AQ49" s="511"/>
      <c r="AR49" s="511"/>
    </row>
    <row r="50" spans="1:44" ht="39.6">
      <c r="A50" s="66" t="s">
        <v>340</v>
      </c>
      <c r="B50" s="67">
        <v>1990</v>
      </c>
      <c r="C50" s="67">
        <v>1991</v>
      </c>
      <c r="D50" s="67">
        <v>1992</v>
      </c>
      <c r="E50" s="67">
        <v>1993</v>
      </c>
      <c r="F50" s="67">
        <v>1994</v>
      </c>
      <c r="G50" s="67">
        <v>1995</v>
      </c>
      <c r="H50" s="67">
        <v>1996</v>
      </c>
      <c r="I50" s="67">
        <v>1997</v>
      </c>
      <c r="J50" s="67">
        <v>1998</v>
      </c>
      <c r="K50" s="67">
        <v>1999</v>
      </c>
      <c r="L50" s="67">
        <v>2000</v>
      </c>
      <c r="M50" s="67">
        <v>2001</v>
      </c>
      <c r="N50" s="67">
        <v>2002</v>
      </c>
      <c r="O50" s="67">
        <v>2003</v>
      </c>
      <c r="P50" s="67">
        <v>2004</v>
      </c>
      <c r="Q50" s="67">
        <v>2005</v>
      </c>
      <c r="R50" s="67">
        <v>2006</v>
      </c>
      <c r="S50" s="67">
        <v>2007</v>
      </c>
      <c r="T50" s="67">
        <v>2008</v>
      </c>
      <c r="U50" s="67">
        <v>2009</v>
      </c>
      <c r="V50" s="67">
        <v>2010</v>
      </c>
      <c r="W50" s="67">
        <v>2011</v>
      </c>
      <c r="X50" s="67">
        <v>2012</v>
      </c>
      <c r="Y50" s="67">
        <v>2013</v>
      </c>
      <c r="Z50" s="67">
        <v>2014</v>
      </c>
      <c r="AA50" s="67">
        <v>2015</v>
      </c>
      <c r="AB50" s="67">
        <v>2016</v>
      </c>
      <c r="AC50" s="67">
        <v>2017</v>
      </c>
      <c r="AD50" s="67">
        <v>2018</v>
      </c>
      <c r="AE50" s="67">
        <v>2019</v>
      </c>
      <c r="AF50" s="67">
        <v>2020</v>
      </c>
      <c r="AG50" s="68">
        <v>2021</v>
      </c>
      <c r="AH50" s="68">
        <v>2022</v>
      </c>
      <c r="AI50" s="67">
        <v>2023</v>
      </c>
      <c r="AJ50" s="142">
        <v>2024</v>
      </c>
      <c r="AK50" s="393">
        <v>2025</v>
      </c>
      <c r="AL50" s="394">
        <v>2026</v>
      </c>
      <c r="AM50" s="394">
        <v>2027</v>
      </c>
      <c r="AN50" s="393">
        <v>2028</v>
      </c>
      <c r="AO50" s="394">
        <v>2029</v>
      </c>
      <c r="AP50" s="393">
        <v>2030</v>
      </c>
      <c r="AQ50" s="395">
        <v>2040</v>
      </c>
      <c r="AR50" s="396">
        <v>2050</v>
      </c>
    </row>
    <row r="51" spans="1:44">
      <c r="A51" s="91" t="s">
        <v>67</v>
      </c>
      <c r="B51" s="83">
        <v>12456.92471905282</v>
      </c>
      <c r="C51" s="83">
        <v>13111.975772654409</v>
      </c>
      <c r="D51" s="83">
        <v>13836.384415610795</v>
      </c>
      <c r="E51" s="83">
        <v>14582.16425837498</v>
      </c>
      <c r="F51" s="83">
        <v>14856.421059577555</v>
      </c>
      <c r="G51" s="83">
        <v>15065.690276430178</v>
      </c>
      <c r="H51" s="83">
        <v>15182.950930482421</v>
      </c>
      <c r="I51" s="83">
        <v>15350.935674145498</v>
      </c>
      <c r="J51" s="83">
        <v>15863.062580199847</v>
      </c>
      <c r="K51" s="83">
        <v>16108.175084280174</v>
      </c>
      <c r="L51" s="83">
        <v>16384.400612744932</v>
      </c>
      <c r="M51" s="83">
        <v>16672.273572260128</v>
      </c>
      <c r="N51" s="83">
        <v>16943.474506584054</v>
      </c>
      <c r="O51" s="83">
        <v>17081.304952752944</v>
      </c>
      <c r="P51" s="83">
        <v>17027.097636861658</v>
      </c>
      <c r="Q51" s="83">
        <v>16811.700855832634</v>
      </c>
      <c r="R51" s="83">
        <v>16702.641873159017</v>
      </c>
      <c r="S51" s="83">
        <v>16728.485105154861</v>
      </c>
      <c r="T51" s="83">
        <v>16706.202224073008</v>
      </c>
      <c r="U51" s="83">
        <v>16084.362275144687</v>
      </c>
      <c r="V51" s="83">
        <v>16004.565900506688</v>
      </c>
      <c r="W51" s="83">
        <v>14878.876746222202</v>
      </c>
      <c r="X51" s="83">
        <v>14521.602155887329</v>
      </c>
      <c r="Y51" s="83">
        <v>12756.356700532657</v>
      </c>
      <c r="Z51" s="83">
        <v>11737.500879354677</v>
      </c>
      <c r="AA51" s="83">
        <v>10889.430400483701</v>
      </c>
      <c r="AB51" s="83">
        <v>10959.746191828306</v>
      </c>
      <c r="AC51" s="83">
        <v>11025.834371337556</v>
      </c>
      <c r="AD51" s="83">
        <v>10743.82200940787</v>
      </c>
      <c r="AE51" s="83">
        <v>11666.820640936226</v>
      </c>
      <c r="AF51" s="83">
        <v>11668.762618605622</v>
      </c>
      <c r="AG51" s="83">
        <v>11142.558391066184</v>
      </c>
      <c r="AH51" s="83">
        <v>11462.089691693145</v>
      </c>
      <c r="AI51" s="277">
        <v>11667.655853918686</v>
      </c>
      <c r="AJ51" s="277">
        <v>11425.119894670086</v>
      </c>
      <c r="AK51" s="277">
        <v>11425.119894670086</v>
      </c>
      <c r="AL51" s="277">
        <v>10937.493325389029</v>
      </c>
      <c r="AM51" s="277">
        <f>AL51+(AN51-AL51)/2</f>
        <v>9785.5392702179706</v>
      </c>
      <c r="AN51" s="277">
        <v>8633.5852150469145</v>
      </c>
      <c r="AO51" s="277">
        <f>AN51+(AP51-AN51)/2</f>
        <v>8112.724481161953</v>
      </c>
      <c r="AP51" s="277">
        <v>7591.8637472769915</v>
      </c>
      <c r="AQ51" s="277">
        <v>4601.42944168742</v>
      </c>
      <c r="AR51" s="277">
        <v>2916.5602981418597</v>
      </c>
    </row>
    <row r="52" spans="1:44">
      <c r="A52" s="91" t="s">
        <v>68</v>
      </c>
      <c r="B52" s="83">
        <v>0.26860179829178216</v>
      </c>
      <c r="C52" s="83">
        <v>0.27232797203177772</v>
      </c>
      <c r="D52" s="83">
        <v>0.28822989062998966</v>
      </c>
      <c r="E52" s="83">
        <v>0.28153723950425785</v>
      </c>
      <c r="F52" s="83">
        <v>0.32548778529806782</v>
      </c>
      <c r="G52" s="83">
        <v>0.32592450529443795</v>
      </c>
      <c r="H52" s="83">
        <v>0.32741480184294874</v>
      </c>
      <c r="I52" s="83">
        <v>0.29356723658136197</v>
      </c>
      <c r="J52" s="83">
        <v>0.3163493485144549</v>
      </c>
      <c r="K52" s="83">
        <v>0.34230088978702466</v>
      </c>
      <c r="L52" s="83">
        <v>0.36983383127033809</v>
      </c>
      <c r="M52" s="83">
        <v>0.39294384029351365</v>
      </c>
      <c r="N52" s="83">
        <v>0.44205015945446174</v>
      </c>
      <c r="O52" s="83">
        <v>0.44881350462236247</v>
      </c>
      <c r="P52" s="83">
        <v>0.45987493554383979</v>
      </c>
      <c r="Q52" s="83">
        <v>0.4614381648495739</v>
      </c>
      <c r="R52" s="83">
        <v>0.47579280017625475</v>
      </c>
      <c r="S52" s="83">
        <v>0.48592948197762614</v>
      </c>
      <c r="T52" s="83">
        <v>0.4658674033224357</v>
      </c>
      <c r="U52" s="83">
        <v>0.45047121820992281</v>
      </c>
      <c r="V52" s="83">
        <v>0.52848498848687009</v>
      </c>
      <c r="W52" s="83">
        <v>0.55119879565527763</v>
      </c>
      <c r="X52" s="83">
        <v>0.61889307904623303</v>
      </c>
      <c r="Y52" s="83">
        <v>0.58667674649643931</v>
      </c>
      <c r="Z52" s="83">
        <v>0.59287461024720567</v>
      </c>
      <c r="AA52" s="83">
        <v>0.65212204316252165</v>
      </c>
      <c r="AB52" s="83">
        <v>0.58357424139655012</v>
      </c>
      <c r="AC52" s="83">
        <v>0.54263218893620901</v>
      </c>
      <c r="AD52" s="83">
        <v>0.53556314392032123</v>
      </c>
      <c r="AE52" s="83">
        <v>0.60188710288632263</v>
      </c>
      <c r="AF52" s="83">
        <v>0.63935279069713324</v>
      </c>
      <c r="AG52" s="83">
        <v>0.59588901731795429</v>
      </c>
      <c r="AH52" s="83">
        <v>0.55260929125837688</v>
      </c>
      <c r="AI52" s="277">
        <v>0.51066138372296921</v>
      </c>
      <c r="AJ52" s="277">
        <v>0.54551942171967482</v>
      </c>
      <c r="AK52" s="277">
        <v>0.54551942171967482</v>
      </c>
      <c r="AL52" s="277">
        <v>0.5532517455079915</v>
      </c>
      <c r="AM52" s="277">
        <f>AL52+(AN52-AL52)/2</f>
        <v>0.53331467206320893</v>
      </c>
      <c r="AN52" s="277">
        <v>0.51337759861842647</v>
      </c>
      <c r="AO52" s="277">
        <f>AN52+(AP52-AN52)/2</f>
        <v>0.51942811213397966</v>
      </c>
      <c r="AP52" s="277">
        <v>0.52547862564953274</v>
      </c>
      <c r="AQ52" s="277">
        <v>0.56605429285218523</v>
      </c>
      <c r="AR52" s="277">
        <v>0.60934600755480273</v>
      </c>
    </row>
    <row r="53" spans="1:44">
      <c r="A53" s="91" t="s">
        <v>69</v>
      </c>
      <c r="B53" s="83">
        <v>109.14031124145127</v>
      </c>
      <c r="C53" s="83">
        <v>112.17401385750279</v>
      </c>
      <c r="D53" s="83">
        <v>115.27706244631406</v>
      </c>
      <c r="E53" s="83">
        <v>118.45121209933487</v>
      </c>
      <c r="F53" s="83">
        <v>134.6987151802148</v>
      </c>
      <c r="G53" s="83">
        <v>151.19792364071282</v>
      </c>
      <c r="H53" s="83">
        <v>172.0467979117125</v>
      </c>
      <c r="I53" s="83">
        <v>181.02561955867736</v>
      </c>
      <c r="J53" s="83">
        <v>205.41412531928461</v>
      </c>
      <c r="K53" s="83">
        <v>279.02500341509722</v>
      </c>
      <c r="L53" s="83">
        <v>312.23506180537748</v>
      </c>
      <c r="M53" s="83">
        <v>328.52639045655343</v>
      </c>
      <c r="N53" s="83">
        <v>345.09709246937859</v>
      </c>
      <c r="O53" s="83">
        <v>372.47929085075094</v>
      </c>
      <c r="P53" s="83">
        <v>400.68986728836848</v>
      </c>
      <c r="Q53" s="83">
        <v>424.22198114191508</v>
      </c>
      <c r="R53" s="83">
        <v>445.8201494919229</v>
      </c>
      <c r="S53" s="83">
        <v>457.87593174395658</v>
      </c>
      <c r="T53" s="83">
        <v>469.18271280237252</v>
      </c>
      <c r="U53" s="83">
        <v>487.31160547971308</v>
      </c>
      <c r="V53" s="83">
        <v>501.49636636161637</v>
      </c>
      <c r="W53" s="83">
        <v>605.22795291366231</v>
      </c>
      <c r="X53" s="83">
        <v>709.17710075092657</v>
      </c>
      <c r="Y53" s="83">
        <v>742.15518485381597</v>
      </c>
      <c r="Z53" s="83">
        <v>775.30687051593225</v>
      </c>
      <c r="AA53" s="83">
        <v>789.24143098819854</v>
      </c>
      <c r="AB53" s="83">
        <v>803.06136137756084</v>
      </c>
      <c r="AC53" s="83">
        <v>832.782100362194</v>
      </c>
      <c r="AD53" s="83">
        <v>860.01696267850048</v>
      </c>
      <c r="AE53" s="83">
        <v>826.73809094784656</v>
      </c>
      <c r="AF53" s="83">
        <v>785.66441267773291</v>
      </c>
      <c r="AG53" s="83">
        <v>725.5021986336692</v>
      </c>
      <c r="AH53" s="83">
        <v>647.85763857980874</v>
      </c>
      <c r="AI53" s="277">
        <v>647.85725373891967</v>
      </c>
      <c r="AJ53" s="277">
        <v>647.86417992116685</v>
      </c>
      <c r="AK53" s="277">
        <v>647.86417992116685</v>
      </c>
      <c r="AL53" s="277">
        <v>664.54263570321814</v>
      </c>
      <c r="AM53" s="277">
        <f>AL53+(AN53-AL53)/2</f>
        <v>709.99134159850678</v>
      </c>
      <c r="AN53" s="277">
        <v>755.44004749379553</v>
      </c>
      <c r="AO53" s="277">
        <f>AN53+(AP53-AN53)/2</f>
        <v>773.36900901874901</v>
      </c>
      <c r="AP53" s="277">
        <v>791.29797054370238</v>
      </c>
      <c r="AQ53" s="277">
        <v>829.64370166988249</v>
      </c>
      <c r="AR53" s="277">
        <v>857.15862110719945</v>
      </c>
    </row>
    <row r="54" spans="1:44">
      <c r="A54" s="91" t="s">
        <v>70</v>
      </c>
      <c r="B54" s="83">
        <v>76.401050113905228</v>
      </c>
      <c r="C54" s="83">
        <v>81.946316546162961</v>
      </c>
      <c r="D54" s="83">
        <v>87.892962055133438</v>
      </c>
      <c r="E54" s="83">
        <v>94.243528877307611</v>
      </c>
      <c r="F54" s="83">
        <v>100.35462842538581</v>
      </c>
      <c r="G54" s="83">
        <v>106.31287494019594</v>
      </c>
      <c r="H54" s="83">
        <v>112.41901299043896</v>
      </c>
      <c r="I54" s="83">
        <v>117.9807489934677</v>
      </c>
      <c r="J54" s="83">
        <v>124.31360570946512</v>
      </c>
      <c r="K54" s="83">
        <v>126.21350571968902</v>
      </c>
      <c r="L54" s="83">
        <v>130.4546694883926</v>
      </c>
      <c r="M54" s="83">
        <v>131.27890073757996</v>
      </c>
      <c r="N54" s="83">
        <v>134.46671801772553</v>
      </c>
      <c r="O54" s="83">
        <v>136.21949572075306</v>
      </c>
      <c r="P54" s="83">
        <v>136.16596563914354</v>
      </c>
      <c r="Q54" s="83">
        <v>136.36761721516149</v>
      </c>
      <c r="R54" s="83">
        <v>136.84636218008225</v>
      </c>
      <c r="S54" s="83">
        <v>137.32460229927935</v>
      </c>
      <c r="T54" s="83">
        <v>138.5031807327349</v>
      </c>
      <c r="U54" s="83">
        <v>138.51961966461724</v>
      </c>
      <c r="V54" s="83">
        <v>145.43294277014354</v>
      </c>
      <c r="W54" s="83">
        <v>145.01852845790893</v>
      </c>
      <c r="X54" s="83">
        <v>145.99943391330464</v>
      </c>
      <c r="Y54" s="83">
        <v>136.87271307521141</v>
      </c>
      <c r="Z54" s="83">
        <v>143.34732536919341</v>
      </c>
      <c r="AA54" s="83">
        <v>155.03766235172949</v>
      </c>
      <c r="AB54" s="83">
        <v>144.30192871920653</v>
      </c>
      <c r="AC54" s="83">
        <v>149.6897738092035</v>
      </c>
      <c r="AD54" s="83">
        <v>162.33984329684577</v>
      </c>
      <c r="AE54" s="83">
        <v>148.30683349724475</v>
      </c>
      <c r="AF54" s="83">
        <v>144.21340723608901</v>
      </c>
      <c r="AG54" s="83">
        <v>145.58710505253939</v>
      </c>
      <c r="AH54" s="83">
        <v>144.50785170587744</v>
      </c>
      <c r="AI54" s="277">
        <v>141.32331371753244</v>
      </c>
      <c r="AJ54" s="277">
        <v>140.50428141316056</v>
      </c>
      <c r="AK54" s="277">
        <v>140.50428141316056</v>
      </c>
      <c r="AL54" s="277">
        <v>140.89129054865009</v>
      </c>
      <c r="AM54" s="277">
        <f>AL54+(AN54-AL54)/2</f>
        <v>144.66232007485542</v>
      </c>
      <c r="AN54" s="277">
        <v>148.43334960106077</v>
      </c>
      <c r="AO54" s="277">
        <f>AN54+(AP54-AN54)/2</f>
        <v>148.91547464802289</v>
      </c>
      <c r="AP54" s="277">
        <v>149.39759969498502</v>
      </c>
      <c r="AQ54" s="277">
        <v>162.8823067172969</v>
      </c>
      <c r="AR54" s="277">
        <v>167.97006519764028</v>
      </c>
    </row>
    <row r="55" spans="1:44">
      <c r="A55" s="97" t="s">
        <v>279</v>
      </c>
      <c r="B55" s="98">
        <v>12642.73468220647</v>
      </c>
      <c r="C55" s="98">
        <v>13306.368431030107</v>
      </c>
      <c r="D55" s="98">
        <v>14039.842670002872</v>
      </c>
      <c r="E55" s="98">
        <v>14795.140536591125</v>
      </c>
      <c r="F55" s="98">
        <v>15091.799890968454</v>
      </c>
      <c r="G55" s="98">
        <v>15323.526999516382</v>
      </c>
      <c r="H55" s="98">
        <v>15467.744156186414</v>
      </c>
      <c r="I55" s="98">
        <v>15650.235609934225</v>
      </c>
      <c r="J55" s="98">
        <v>16193.106660577112</v>
      </c>
      <c r="K55" s="98">
        <v>16513.755894304748</v>
      </c>
      <c r="L55" s="98">
        <v>16827.460177869976</v>
      </c>
      <c r="M55" s="98">
        <v>17132.471807294554</v>
      </c>
      <c r="N55" s="98">
        <v>17423.480367230612</v>
      </c>
      <c r="O55" s="98">
        <v>17590.452552829072</v>
      </c>
      <c r="P55" s="98">
        <v>17564.413344724711</v>
      </c>
      <c r="Q55" s="98">
        <v>17372.751892354561</v>
      </c>
      <c r="R55" s="98">
        <v>17285.784177631198</v>
      </c>
      <c r="S55" s="98">
        <v>17324.171568680074</v>
      </c>
      <c r="T55" s="98">
        <v>17314.353985011439</v>
      </c>
      <c r="U55" s="98">
        <v>16710.643971507227</v>
      </c>
      <c r="V55" s="98">
        <v>16652.023694626936</v>
      </c>
      <c r="W55" s="98">
        <v>15629.674426389431</v>
      </c>
      <c r="X55" s="98">
        <v>15377.397583630607</v>
      </c>
      <c r="Y55" s="98">
        <v>13635.971275208181</v>
      </c>
      <c r="Z55" s="98">
        <v>12656.747949850051</v>
      </c>
      <c r="AA55" s="98">
        <v>11834.361615866792</v>
      </c>
      <c r="AB55" s="98">
        <v>11907.987775695359</v>
      </c>
      <c r="AC55" s="98">
        <v>12009.140728547263</v>
      </c>
      <c r="AD55" s="98">
        <v>11767.055175423251</v>
      </c>
      <c r="AE55" s="98">
        <v>12643.218879950104</v>
      </c>
      <c r="AF55" s="98">
        <v>12600.320136357806</v>
      </c>
      <c r="AG55" s="98">
        <v>12015.588358307985</v>
      </c>
      <c r="AH55" s="98">
        <v>12256.267573687983</v>
      </c>
      <c r="AI55" s="292">
        <v>12461.428727472496</v>
      </c>
      <c r="AJ55" s="292">
        <v>12461.428727472496</v>
      </c>
      <c r="AK55" s="292">
        <v>9266.0172081157325</v>
      </c>
      <c r="AL55" s="292">
        <v>11743.480503386407</v>
      </c>
      <c r="AM55" s="292">
        <f>SUM(AM51:AM54)</f>
        <v>10640.726246563398</v>
      </c>
      <c r="AN55" s="292">
        <v>9537.9719897403884</v>
      </c>
      <c r="AO55" s="292">
        <f>SUM(AO51:AO54)</f>
        <v>9035.5283929408597</v>
      </c>
      <c r="AP55" s="292">
        <v>8533.0847961413274</v>
      </c>
      <c r="AQ55" s="292">
        <v>5594.5215043674516</v>
      </c>
      <c r="AR55" s="292">
        <v>3942.2983304542545</v>
      </c>
    </row>
    <row r="56" spans="1:44" ht="15">
      <c r="A56" s="86"/>
      <c r="B56" s="87"/>
      <c r="C56" s="87"/>
      <c r="D56" s="87"/>
      <c r="E56" s="87"/>
      <c r="F56" s="87"/>
      <c r="G56" s="87"/>
      <c r="H56" s="87"/>
      <c r="I56" s="87"/>
      <c r="J56" s="87"/>
      <c r="K56" s="61"/>
      <c r="L56" s="61"/>
      <c r="M56" s="61"/>
      <c r="N56" s="61"/>
      <c r="O56" s="61"/>
      <c r="P56" s="61"/>
      <c r="Q56" s="61"/>
      <c r="R56" s="61"/>
      <c r="S56" s="61"/>
      <c r="T56" s="61"/>
      <c r="U56" s="61"/>
      <c r="V56" s="61"/>
      <c r="W56" s="61"/>
      <c r="X56" s="61"/>
      <c r="Y56" s="61"/>
      <c r="Z56" s="61"/>
      <c r="AA56" s="61"/>
      <c r="AB56" s="61"/>
      <c r="AC56" s="61"/>
      <c r="AD56" s="61"/>
      <c r="AE56" s="61"/>
      <c r="AF56" s="61"/>
      <c r="AG56" s="61"/>
      <c r="AH56" s="61"/>
    </row>
    <row r="57" spans="1:44">
      <c r="A57" s="99" t="s">
        <v>267</v>
      </c>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512" t="s">
        <v>262</v>
      </c>
      <c r="AL57" s="512"/>
      <c r="AM57" s="512"/>
      <c r="AN57" s="512"/>
      <c r="AO57" s="512"/>
      <c r="AP57" s="512"/>
      <c r="AQ57" s="512"/>
      <c r="AR57" s="512"/>
    </row>
    <row r="58" spans="1:44" ht="39.6">
      <c r="A58" s="66" t="s">
        <v>340</v>
      </c>
      <c r="B58" s="67">
        <v>1990</v>
      </c>
      <c r="C58" s="67">
        <v>1991</v>
      </c>
      <c r="D58" s="67">
        <v>1992</v>
      </c>
      <c r="E58" s="67">
        <v>1993</v>
      </c>
      <c r="F58" s="67">
        <v>1994</v>
      </c>
      <c r="G58" s="67">
        <v>1995</v>
      </c>
      <c r="H58" s="67">
        <v>1996</v>
      </c>
      <c r="I58" s="67">
        <v>1997</v>
      </c>
      <c r="J58" s="67">
        <v>1998</v>
      </c>
      <c r="K58" s="67">
        <v>1999</v>
      </c>
      <c r="L58" s="67">
        <v>2000</v>
      </c>
      <c r="M58" s="67">
        <v>2001</v>
      </c>
      <c r="N58" s="67">
        <v>2002</v>
      </c>
      <c r="O58" s="67">
        <v>2003</v>
      </c>
      <c r="P58" s="67">
        <v>2004</v>
      </c>
      <c r="Q58" s="67">
        <v>2005</v>
      </c>
      <c r="R58" s="67">
        <v>2006</v>
      </c>
      <c r="S58" s="67">
        <v>2007</v>
      </c>
      <c r="T58" s="67">
        <v>2008</v>
      </c>
      <c r="U58" s="67">
        <v>2009</v>
      </c>
      <c r="V58" s="67">
        <v>2010</v>
      </c>
      <c r="W58" s="67">
        <v>2011</v>
      </c>
      <c r="X58" s="67">
        <v>2012</v>
      </c>
      <c r="Y58" s="67">
        <v>2013</v>
      </c>
      <c r="Z58" s="67">
        <v>2014</v>
      </c>
      <c r="AA58" s="67">
        <v>2015</v>
      </c>
      <c r="AB58" s="67">
        <v>2016</v>
      </c>
      <c r="AC58" s="67">
        <v>2017</v>
      </c>
      <c r="AD58" s="67">
        <v>2018</v>
      </c>
      <c r="AE58" s="67">
        <v>2019</v>
      </c>
      <c r="AF58" s="67">
        <v>2020</v>
      </c>
      <c r="AG58" s="68">
        <v>2021</v>
      </c>
      <c r="AH58" s="68">
        <v>2022</v>
      </c>
      <c r="AI58" s="67">
        <v>2023</v>
      </c>
      <c r="AJ58" s="142">
        <v>2024</v>
      </c>
      <c r="AK58" s="393">
        <v>2025</v>
      </c>
      <c r="AL58" s="394">
        <v>2026</v>
      </c>
      <c r="AM58" s="394">
        <v>2027</v>
      </c>
      <c r="AN58" s="393">
        <v>2028</v>
      </c>
      <c r="AO58" s="394">
        <v>2029</v>
      </c>
      <c r="AP58" s="393">
        <v>2030</v>
      </c>
      <c r="AQ58" s="395">
        <v>2040</v>
      </c>
      <c r="AR58" s="396">
        <v>2050</v>
      </c>
    </row>
    <row r="59" spans="1:44" ht="24">
      <c r="A59" s="82" t="s">
        <v>176</v>
      </c>
      <c r="B59" s="83">
        <v>5097.8715924522476</v>
      </c>
      <c r="C59" s="83">
        <v>6013.5209304169293</v>
      </c>
      <c r="D59" s="83">
        <v>5748.9229868004668</v>
      </c>
      <c r="E59" s="83">
        <v>5518.5956501580376</v>
      </c>
      <c r="F59" s="83">
        <v>4768.9420886277667</v>
      </c>
      <c r="G59" s="83">
        <v>4817.9694099926292</v>
      </c>
      <c r="H59" s="83">
        <v>5253.808312971908</v>
      </c>
      <c r="I59" s="83">
        <v>4621.404533963715</v>
      </c>
      <c r="J59" s="83">
        <v>4653.8128849491595</v>
      </c>
      <c r="K59" s="83">
        <v>4419.8912295537702</v>
      </c>
      <c r="L59" s="83">
        <v>4185.0680610376112</v>
      </c>
      <c r="M59" s="83">
        <v>4295.2579252274936</v>
      </c>
      <c r="N59" s="83">
        <v>3974.4413759241475</v>
      </c>
      <c r="O59" s="83">
        <v>4261.1972640208687</v>
      </c>
      <c r="P59" s="83">
        <v>4283.7298970806769</v>
      </c>
      <c r="Q59" s="83">
        <v>4138.0982050634102</v>
      </c>
      <c r="R59" s="83">
        <v>3757.0167312428462</v>
      </c>
      <c r="S59" s="83">
        <v>3487.5299734747805</v>
      </c>
      <c r="T59" s="83">
        <v>3632.1739304388807</v>
      </c>
      <c r="U59" s="83">
        <v>3604.9249585024363</v>
      </c>
      <c r="V59" s="83">
        <v>3828.9076451927785</v>
      </c>
      <c r="W59" s="83">
        <v>3066.7286666006453</v>
      </c>
      <c r="X59" s="83">
        <v>3436.602839258212</v>
      </c>
      <c r="Y59" s="83">
        <v>3617.4906393729811</v>
      </c>
      <c r="Z59" s="83">
        <v>2837.3525183687525</v>
      </c>
      <c r="AA59" s="83">
        <v>2888.6894948865493</v>
      </c>
      <c r="AB59" s="83">
        <v>3056.2486428357474</v>
      </c>
      <c r="AC59" s="83">
        <v>2870.1300173504892</v>
      </c>
      <c r="AD59" s="83">
        <v>2701.7292467550278</v>
      </c>
      <c r="AE59" s="83">
        <v>2636.5421463263056</v>
      </c>
      <c r="AF59" s="83">
        <v>2331.4684791302925</v>
      </c>
      <c r="AG59" s="83">
        <v>2673.722129541336</v>
      </c>
      <c r="AH59" s="83">
        <v>2238.5218384167288</v>
      </c>
      <c r="AI59" s="277">
        <v>2148.6191989467561</v>
      </c>
      <c r="AJ59" s="277">
        <v>2049.1449470907924</v>
      </c>
      <c r="AK59" s="277">
        <v>2056.066971594596</v>
      </c>
      <c r="AL59" s="277">
        <v>1937.0377323372491</v>
      </c>
      <c r="AM59" s="277">
        <f>AL59+(AN59-AL59)/2</f>
        <v>1737.0193866951365</v>
      </c>
      <c r="AN59" s="277">
        <v>1537.001041053024</v>
      </c>
      <c r="AO59" s="277">
        <f>AN59+(AP59-AN59)/2</f>
        <v>1453.0442097529783</v>
      </c>
      <c r="AP59" s="277">
        <v>1369.0873784529326</v>
      </c>
      <c r="AQ59" s="277">
        <v>594.99582419445642</v>
      </c>
      <c r="AR59" s="277">
        <v>510.62212587526369</v>
      </c>
    </row>
    <row r="60" spans="1:44">
      <c r="A60" s="82" t="s">
        <v>177</v>
      </c>
      <c r="B60" s="83">
        <v>0</v>
      </c>
      <c r="C60" s="83">
        <v>0</v>
      </c>
      <c r="D60" s="83">
        <v>0</v>
      </c>
      <c r="E60" s="83">
        <v>0</v>
      </c>
      <c r="F60" s="83">
        <v>0</v>
      </c>
      <c r="G60" s="83">
        <v>0</v>
      </c>
      <c r="H60" s="83">
        <v>0</v>
      </c>
      <c r="I60" s="83">
        <v>0</v>
      </c>
      <c r="J60" s="83">
        <v>0</v>
      </c>
      <c r="K60" s="83">
        <v>0</v>
      </c>
      <c r="L60" s="83">
        <v>0</v>
      </c>
      <c r="M60" s="83">
        <v>0</v>
      </c>
      <c r="N60" s="83">
        <v>0</v>
      </c>
      <c r="O60" s="83">
        <v>0</v>
      </c>
      <c r="P60" s="83">
        <v>0</v>
      </c>
      <c r="Q60" s="83">
        <v>0</v>
      </c>
      <c r="R60" s="83">
        <v>0</v>
      </c>
      <c r="S60" s="83">
        <v>0</v>
      </c>
      <c r="T60" s="83">
        <v>0</v>
      </c>
      <c r="U60" s="83">
        <v>0</v>
      </c>
      <c r="V60" s="83">
        <v>0</v>
      </c>
      <c r="W60" s="83">
        <v>0</v>
      </c>
      <c r="X60" s="83">
        <v>0</v>
      </c>
      <c r="Y60" s="83">
        <v>0</v>
      </c>
      <c r="Z60" s="83">
        <v>0</v>
      </c>
      <c r="AA60" s="83">
        <v>0</v>
      </c>
      <c r="AB60" s="83">
        <v>0</v>
      </c>
      <c r="AC60" s="83">
        <v>0</v>
      </c>
      <c r="AD60" s="83">
        <v>0</v>
      </c>
      <c r="AE60" s="83">
        <v>0</v>
      </c>
      <c r="AF60" s="83">
        <v>0</v>
      </c>
      <c r="AG60" s="83">
        <v>0</v>
      </c>
      <c r="AH60" s="83">
        <v>0</v>
      </c>
      <c r="AI60" s="277">
        <v>0</v>
      </c>
      <c r="AJ60" s="277">
        <v>0</v>
      </c>
      <c r="AK60" s="277">
        <v>0</v>
      </c>
      <c r="AL60" s="277">
        <v>0</v>
      </c>
      <c r="AM60" s="277">
        <f t="shared" ref="AM60:AO65" si="6">AL60+(AN60-AL60)/2</f>
        <v>0</v>
      </c>
      <c r="AN60" s="277">
        <v>0</v>
      </c>
      <c r="AO60" s="277">
        <f t="shared" si="6"/>
        <v>0</v>
      </c>
      <c r="AP60" s="277">
        <v>0</v>
      </c>
      <c r="AQ60" s="277">
        <v>0</v>
      </c>
      <c r="AR60" s="277">
        <v>0</v>
      </c>
    </row>
    <row r="61" spans="1:44">
      <c r="A61" s="82" t="s">
        <v>280</v>
      </c>
      <c r="B61" s="83">
        <v>0</v>
      </c>
      <c r="C61" s="83">
        <v>0</v>
      </c>
      <c r="D61" s="83">
        <v>0</v>
      </c>
      <c r="E61" s="83">
        <v>0</v>
      </c>
      <c r="F61" s="83">
        <v>0</v>
      </c>
      <c r="G61" s="83">
        <v>0</v>
      </c>
      <c r="H61" s="83">
        <v>0</v>
      </c>
      <c r="I61" s="83">
        <v>0</v>
      </c>
      <c r="J61" s="83">
        <v>0</v>
      </c>
      <c r="K61" s="83">
        <v>0</v>
      </c>
      <c r="L61" s="83">
        <v>0</v>
      </c>
      <c r="M61" s="83">
        <v>0</v>
      </c>
      <c r="N61" s="83">
        <v>0</v>
      </c>
      <c r="O61" s="83">
        <v>0</v>
      </c>
      <c r="P61" s="83">
        <v>0</v>
      </c>
      <c r="Q61" s="83">
        <v>0</v>
      </c>
      <c r="R61" s="83">
        <v>0</v>
      </c>
      <c r="S61" s="83">
        <v>0</v>
      </c>
      <c r="T61" s="83">
        <v>0</v>
      </c>
      <c r="U61" s="83">
        <v>0</v>
      </c>
      <c r="V61" s="83">
        <v>0</v>
      </c>
      <c r="W61" s="83">
        <v>0</v>
      </c>
      <c r="X61" s="83">
        <v>0</v>
      </c>
      <c r="Y61" s="83">
        <v>0</v>
      </c>
      <c r="Z61" s="83">
        <v>0</v>
      </c>
      <c r="AA61" s="83">
        <v>0</v>
      </c>
      <c r="AB61" s="83">
        <v>0</v>
      </c>
      <c r="AC61" s="83">
        <v>0</v>
      </c>
      <c r="AD61" s="83">
        <v>0</v>
      </c>
      <c r="AE61" s="83">
        <v>0</v>
      </c>
      <c r="AF61" s="83">
        <v>0</v>
      </c>
      <c r="AG61" s="83">
        <v>0</v>
      </c>
      <c r="AH61" s="83">
        <v>0</v>
      </c>
      <c r="AI61" s="277">
        <v>0</v>
      </c>
      <c r="AJ61" s="277">
        <v>0</v>
      </c>
      <c r="AK61" s="277">
        <v>0</v>
      </c>
      <c r="AL61" s="277">
        <v>0</v>
      </c>
      <c r="AM61" s="277">
        <f t="shared" si="6"/>
        <v>0</v>
      </c>
      <c r="AN61" s="277">
        <v>0</v>
      </c>
      <c r="AO61" s="277">
        <f t="shared" si="6"/>
        <v>0</v>
      </c>
      <c r="AP61" s="277">
        <v>0</v>
      </c>
      <c r="AQ61" s="277">
        <v>0</v>
      </c>
      <c r="AR61" s="277">
        <v>0</v>
      </c>
    </row>
    <row r="62" spans="1:44" ht="24">
      <c r="A62" s="82" t="s">
        <v>178</v>
      </c>
      <c r="B62" s="83">
        <v>0</v>
      </c>
      <c r="C62" s="83">
        <v>0</v>
      </c>
      <c r="D62" s="83">
        <v>0</v>
      </c>
      <c r="E62" s="83">
        <v>0</v>
      </c>
      <c r="F62" s="83">
        <v>0</v>
      </c>
      <c r="G62" s="83">
        <v>0</v>
      </c>
      <c r="H62" s="83">
        <v>0</v>
      </c>
      <c r="I62" s="83">
        <v>0</v>
      </c>
      <c r="J62" s="83">
        <v>0</v>
      </c>
      <c r="K62" s="83">
        <v>0</v>
      </c>
      <c r="L62" s="83">
        <v>0</v>
      </c>
      <c r="M62" s="83">
        <v>0</v>
      </c>
      <c r="N62" s="83">
        <v>0</v>
      </c>
      <c r="O62" s="83">
        <v>0</v>
      </c>
      <c r="P62" s="83">
        <v>0</v>
      </c>
      <c r="Q62" s="83">
        <v>0</v>
      </c>
      <c r="R62" s="83">
        <v>0</v>
      </c>
      <c r="S62" s="83">
        <v>0</v>
      </c>
      <c r="T62" s="83">
        <v>0</v>
      </c>
      <c r="U62" s="83">
        <v>0</v>
      </c>
      <c r="V62" s="83">
        <v>0</v>
      </c>
      <c r="W62" s="83">
        <v>0</v>
      </c>
      <c r="X62" s="83">
        <v>0</v>
      </c>
      <c r="Y62" s="83">
        <v>0</v>
      </c>
      <c r="Z62" s="83">
        <v>0</v>
      </c>
      <c r="AA62" s="83">
        <v>0</v>
      </c>
      <c r="AB62" s="83">
        <v>0</v>
      </c>
      <c r="AC62" s="83">
        <v>0</v>
      </c>
      <c r="AD62" s="83">
        <v>0</v>
      </c>
      <c r="AE62" s="83">
        <v>0</v>
      </c>
      <c r="AF62" s="83">
        <v>0</v>
      </c>
      <c r="AG62" s="83">
        <v>0</v>
      </c>
      <c r="AH62" s="83">
        <v>0</v>
      </c>
      <c r="AI62" s="277">
        <v>0</v>
      </c>
      <c r="AJ62" s="277">
        <v>0</v>
      </c>
      <c r="AK62" s="277">
        <v>0</v>
      </c>
      <c r="AL62" s="277">
        <v>0</v>
      </c>
      <c r="AM62" s="277">
        <f t="shared" si="6"/>
        <v>0</v>
      </c>
      <c r="AN62" s="277">
        <v>0</v>
      </c>
      <c r="AO62" s="277">
        <f t="shared" si="6"/>
        <v>0</v>
      </c>
      <c r="AP62" s="277">
        <v>0</v>
      </c>
      <c r="AQ62" s="277">
        <v>0</v>
      </c>
      <c r="AR62" s="277">
        <v>0</v>
      </c>
    </row>
    <row r="63" spans="1:44">
      <c r="A63" s="82" t="s">
        <v>281</v>
      </c>
      <c r="B63" s="83">
        <v>12.796649619008551</v>
      </c>
      <c r="C63" s="83">
        <v>12.85615953340128</v>
      </c>
      <c r="D63" s="83">
        <v>12.91578576525456</v>
      </c>
      <c r="E63" s="83">
        <v>12.967060488712939</v>
      </c>
      <c r="F63" s="83">
        <v>13.010313368581473</v>
      </c>
      <c r="G63" s="83">
        <v>13.052879436029436</v>
      </c>
      <c r="H63" s="83">
        <v>13.093173410142374</v>
      </c>
      <c r="I63" s="83">
        <v>13.134127887749196</v>
      </c>
      <c r="J63" s="83">
        <v>13.177067349127498</v>
      </c>
      <c r="K63" s="83">
        <v>13.240161266623629</v>
      </c>
      <c r="L63" s="83">
        <v>13.327789897346063</v>
      </c>
      <c r="M63" s="83">
        <v>13.420411873213444</v>
      </c>
      <c r="N63" s="83">
        <v>13.514648171089748</v>
      </c>
      <c r="O63" s="83">
        <v>13.607107979568212</v>
      </c>
      <c r="P63" s="83">
        <v>13.704295240018512</v>
      </c>
      <c r="Q63" s="83">
        <v>13.806018122361349</v>
      </c>
      <c r="R63" s="83">
        <v>13.899057641685642</v>
      </c>
      <c r="S63" s="83">
        <v>13.981996432744809</v>
      </c>
      <c r="T63" s="83">
        <v>14.05764017715944</v>
      </c>
      <c r="U63" s="83">
        <v>14.128759322894334</v>
      </c>
      <c r="V63" s="83">
        <v>14.198202134669716</v>
      </c>
      <c r="W63" s="83">
        <v>14.265879573906613</v>
      </c>
      <c r="X63" s="83">
        <v>14.336677403637125</v>
      </c>
      <c r="Y63" s="83">
        <v>14.410216122065153</v>
      </c>
      <c r="Z63" s="83">
        <v>14.478262232221585</v>
      </c>
      <c r="AA63" s="83">
        <v>14.529359805770616</v>
      </c>
      <c r="AB63" s="83">
        <v>14.567521161467971</v>
      </c>
      <c r="AC63" s="83">
        <v>14.609901998908732</v>
      </c>
      <c r="AD63" s="83">
        <v>14.661578653419607</v>
      </c>
      <c r="AE63" s="83">
        <v>14.709543317299268</v>
      </c>
      <c r="AF63" s="83">
        <v>14.755713217993712</v>
      </c>
      <c r="AG63" s="83">
        <v>14.820837472666277</v>
      </c>
      <c r="AH63" s="83">
        <v>14.878695414243962</v>
      </c>
      <c r="AI63" s="277">
        <v>14.917824474831988</v>
      </c>
      <c r="AJ63" s="277">
        <v>14.955544212236854</v>
      </c>
      <c r="AK63" s="277">
        <v>15.818679957031588</v>
      </c>
      <c r="AL63" s="277">
        <v>14.098044516495218</v>
      </c>
      <c r="AM63" s="277">
        <f t="shared" si="6"/>
        <v>10.113696562253734</v>
      </c>
      <c r="AN63" s="277">
        <v>6.1293486080122497</v>
      </c>
      <c r="AO63" s="277">
        <f t="shared" si="6"/>
        <v>5.0418724942502191</v>
      </c>
      <c r="AP63" s="277">
        <v>3.9543963804881894</v>
      </c>
      <c r="AQ63" s="277">
        <v>0.10317520109481147</v>
      </c>
      <c r="AR63" s="277">
        <v>4.467546573326076E-3</v>
      </c>
    </row>
    <row r="64" spans="1:44">
      <c r="A64" s="82" t="s">
        <v>282</v>
      </c>
      <c r="B64" s="83">
        <v>1226.1502693252392</v>
      </c>
      <c r="C64" s="83">
        <v>1286.5840236105228</v>
      </c>
      <c r="D64" s="83">
        <v>1347.7606618652146</v>
      </c>
      <c r="E64" s="83">
        <v>1408.7885863708079</v>
      </c>
      <c r="F64" s="83">
        <v>1469.5120689291962</v>
      </c>
      <c r="G64" s="83">
        <v>1530.561544387961</v>
      </c>
      <c r="H64" s="83">
        <v>1589.558633116123</v>
      </c>
      <c r="I64" s="83">
        <v>1648.90256733925</v>
      </c>
      <c r="J64" s="83">
        <v>1708.7806467784303</v>
      </c>
      <c r="K64" s="83">
        <v>1722.6146654271779</v>
      </c>
      <c r="L64" s="83">
        <v>1737.6221444806984</v>
      </c>
      <c r="M64" s="83">
        <v>1753.4820417745195</v>
      </c>
      <c r="N64" s="83">
        <v>1731.6878610887004</v>
      </c>
      <c r="O64" s="83">
        <v>1709.0285560260775</v>
      </c>
      <c r="P64" s="83">
        <v>1686.2396777403283</v>
      </c>
      <c r="Q64" s="83">
        <v>1698.8104952385645</v>
      </c>
      <c r="R64" s="83">
        <v>1709.819179226994</v>
      </c>
      <c r="S64" s="83">
        <v>1719.7400304208065</v>
      </c>
      <c r="T64" s="83">
        <v>1729.0900112342547</v>
      </c>
      <c r="U64" s="83">
        <v>1748.1445950714942</v>
      </c>
      <c r="V64" s="83">
        <v>1756.367304675724</v>
      </c>
      <c r="W64" s="83">
        <v>1752.4551564433182</v>
      </c>
      <c r="X64" s="83">
        <v>1751.5369456955382</v>
      </c>
      <c r="Y64" s="83">
        <v>1750.4977001032569</v>
      </c>
      <c r="Z64" s="83">
        <v>1703.6696464419733</v>
      </c>
      <c r="AA64" s="83">
        <v>1684.022649701164</v>
      </c>
      <c r="AB64" s="83">
        <v>1693.5035996114871</v>
      </c>
      <c r="AC64" s="83">
        <v>1703.3374380766709</v>
      </c>
      <c r="AD64" s="83">
        <v>1734.7277278726438</v>
      </c>
      <c r="AE64" s="83">
        <v>1753.0598627018817</v>
      </c>
      <c r="AF64" s="83">
        <v>1723.7104967878724</v>
      </c>
      <c r="AG64" s="83">
        <v>1745.0323979779062</v>
      </c>
      <c r="AH64" s="83">
        <v>1723.8763434590098</v>
      </c>
      <c r="AI64" s="277">
        <v>1745.4931492144797</v>
      </c>
      <c r="AJ64" s="277">
        <v>1776.4582410711728</v>
      </c>
      <c r="AK64" s="277">
        <v>1776.4582410711726</v>
      </c>
      <c r="AL64" s="277">
        <v>1781.4931812311399</v>
      </c>
      <c r="AM64" s="277">
        <f t="shared" si="6"/>
        <v>1774.2625445470492</v>
      </c>
      <c r="AN64" s="277">
        <v>1767.0319078629584</v>
      </c>
      <c r="AO64" s="277">
        <f t="shared" si="6"/>
        <v>1760.0448500827347</v>
      </c>
      <c r="AP64" s="277">
        <v>1753.0577923025107</v>
      </c>
      <c r="AQ64" s="277">
        <v>916.36706163896451</v>
      </c>
      <c r="AR64" s="277">
        <v>640.40552808893347</v>
      </c>
    </row>
    <row r="65" spans="1:45" ht="24">
      <c r="A65" s="82" t="s">
        <v>283</v>
      </c>
      <c r="B65" s="83">
        <v>0</v>
      </c>
      <c r="C65" s="83">
        <v>0</v>
      </c>
      <c r="D65" s="83">
        <v>0</v>
      </c>
      <c r="E65" s="83">
        <v>0</v>
      </c>
      <c r="F65" s="83">
        <v>0</v>
      </c>
      <c r="G65" s="83">
        <v>0</v>
      </c>
      <c r="H65" s="83">
        <v>0</v>
      </c>
      <c r="I65" s="83">
        <v>0</v>
      </c>
      <c r="J65" s="83">
        <v>0</v>
      </c>
      <c r="K65" s="83">
        <v>0</v>
      </c>
      <c r="L65" s="83">
        <v>0</v>
      </c>
      <c r="M65" s="83">
        <v>0</v>
      </c>
      <c r="N65" s="83">
        <v>0</v>
      </c>
      <c r="O65" s="83">
        <v>0</v>
      </c>
      <c r="P65" s="83">
        <v>0</v>
      </c>
      <c r="Q65" s="83">
        <v>0</v>
      </c>
      <c r="R65" s="83">
        <v>0</v>
      </c>
      <c r="S65" s="83">
        <v>0</v>
      </c>
      <c r="T65" s="83">
        <v>0</v>
      </c>
      <c r="U65" s="83">
        <v>0</v>
      </c>
      <c r="V65" s="83">
        <v>0</v>
      </c>
      <c r="W65" s="83">
        <v>0</v>
      </c>
      <c r="X65" s="83">
        <v>0</v>
      </c>
      <c r="Y65" s="83">
        <v>0</v>
      </c>
      <c r="Z65" s="83">
        <v>0</v>
      </c>
      <c r="AA65" s="83">
        <v>0</v>
      </c>
      <c r="AB65" s="83">
        <v>0</v>
      </c>
      <c r="AC65" s="83">
        <v>0</v>
      </c>
      <c r="AD65" s="83">
        <v>0</v>
      </c>
      <c r="AE65" s="83">
        <v>0</v>
      </c>
      <c r="AF65" s="83">
        <v>0</v>
      </c>
      <c r="AG65" s="83">
        <v>0</v>
      </c>
      <c r="AH65" s="83">
        <v>0</v>
      </c>
      <c r="AI65" s="277">
        <v>0</v>
      </c>
      <c r="AJ65" s="277">
        <v>0</v>
      </c>
      <c r="AK65" s="277">
        <v>0</v>
      </c>
      <c r="AL65" s="277">
        <v>0</v>
      </c>
      <c r="AM65" s="277">
        <f t="shared" si="6"/>
        <v>0</v>
      </c>
      <c r="AN65" s="277">
        <v>0</v>
      </c>
      <c r="AO65" s="277">
        <f t="shared" si="6"/>
        <v>0</v>
      </c>
      <c r="AP65" s="277">
        <v>0</v>
      </c>
      <c r="AQ65" s="277">
        <v>0</v>
      </c>
      <c r="AR65" s="277">
        <v>0</v>
      </c>
    </row>
    <row r="66" spans="1:45" ht="24">
      <c r="A66" s="101" t="s">
        <v>284</v>
      </c>
      <c r="B66" s="102">
        <v>6336.8185113964955</v>
      </c>
      <c r="C66" s="102">
        <v>7312.9611135608538</v>
      </c>
      <c r="D66" s="102">
        <v>7109.5994344309356</v>
      </c>
      <c r="E66" s="102">
        <v>6940.3512970175589</v>
      </c>
      <c r="F66" s="102">
        <v>6251.4644709255444</v>
      </c>
      <c r="G66" s="102">
        <v>6361.5838338166195</v>
      </c>
      <c r="H66" s="102">
        <v>6856.4601194981733</v>
      </c>
      <c r="I66" s="102">
        <v>6283.4412291907138</v>
      </c>
      <c r="J66" s="102">
        <v>6375.7705990767172</v>
      </c>
      <c r="K66" s="102">
        <v>6155.7460562475717</v>
      </c>
      <c r="L66" s="102">
        <v>5936.0179954156556</v>
      </c>
      <c r="M66" s="102">
        <v>6062.1603788752263</v>
      </c>
      <c r="N66" s="102">
        <v>5719.6438851839375</v>
      </c>
      <c r="O66" s="102">
        <v>5983.8329280265143</v>
      </c>
      <c r="P66" s="102">
        <v>5983.673870061024</v>
      </c>
      <c r="Q66" s="102">
        <v>5850.7147184243358</v>
      </c>
      <c r="R66" s="102">
        <v>5480.7349681115256</v>
      </c>
      <c r="S66" s="102">
        <v>5221.2520003283316</v>
      </c>
      <c r="T66" s="102">
        <v>5375.3215818502949</v>
      </c>
      <c r="U66" s="102">
        <v>5367.198312896825</v>
      </c>
      <c r="V66" s="102">
        <v>5599.4731520031728</v>
      </c>
      <c r="W66" s="102">
        <v>4833.4497026178706</v>
      </c>
      <c r="X66" s="102">
        <v>5202.4764623573874</v>
      </c>
      <c r="Y66" s="102">
        <v>5382.3985555983036</v>
      </c>
      <c r="Z66" s="102">
        <v>4555.5004270429472</v>
      </c>
      <c r="AA66" s="102">
        <v>4587.2415043934834</v>
      </c>
      <c r="AB66" s="102">
        <v>4764.3197636087025</v>
      </c>
      <c r="AC66" s="102">
        <v>4588.0773574260693</v>
      </c>
      <c r="AD66" s="102">
        <v>4451.1185532810905</v>
      </c>
      <c r="AE66" s="102">
        <v>4404.3115523454871</v>
      </c>
      <c r="AF66" s="102">
        <v>4069.9346891361583</v>
      </c>
      <c r="AG66" s="102">
        <v>4433.5753649919088</v>
      </c>
      <c r="AH66" s="102">
        <v>3977.2768772899826</v>
      </c>
      <c r="AI66" s="102">
        <v>3909.0301726360676</v>
      </c>
      <c r="AJ66" s="102">
        <v>3840.558732374202</v>
      </c>
      <c r="AK66" s="144">
        <v>3848.3438926228</v>
      </c>
      <c r="AL66" s="144">
        <v>3732.6289580848843</v>
      </c>
      <c r="AM66" s="144">
        <f>SUM(AM59:AM65)</f>
        <v>3521.3956278044398</v>
      </c>
      <c r="AN66" s="144">
        <v>3310.1622975239948</v>
      </c>
      <c r="AO66" s="144">
        <f>SUM(AO59:AO65)</f>
        <v>3218.1309323299629</v>
      </c>
      <c r="AP66" s="144">
        <v>3126.0995671359315</v>
      </c>
      <c r="AQ66" s="144">
        <v>1511.4660610345159</v>
      </c>
      <c r="AR66" s="144">
        <v>1151.0321215107706</v>
      </c>
    </row>
    <row r="67" spans="1:45" ht="24">
      <c r="A67" s="82" t="s">
        <v>181</v>
      </c>
      <c r="B67" s="83">
        <v>86.771586253646262</v>
      </c>
      <c r="C67" s="83">
        <v>93.281315932793689</v>
      </c>
      <c r="D67" s="83">
        <v>88.935142893038332</v>
      </c>
      <c r="E67" s="83">
        <v>84.030723044016142</v>
      </c>
      <c r="F67" s="83">
        <v>79.092615924199237</v>
      </c>
      <c r="G67" s="83">
        <v>79.652592819797803</v>
      </c>
      <c r="H67" s="83">
        <v>87.201876606319743</v>
      </c>
      <c r="I67" s="83">
        <v>81.782060829290558</v>
      </c>
      <c r="J67" s="83">
        <v>86.668842267242781</v>
      </c>
      <c r="K67" s="83">
        <v>87.875277876856003</v>
      </c>
      <c r="L67" s="83">
        <v>79.386352710115929</v>
      </c>
      <c r="M67" s="83">
        <v>84.743162791058154</v>
      </c>
      <c r="N67" s="83">
        <v>75.201749389462876</v>
      </c>
      <c r="O67" s="83">
        <v>83.564219250049547</v>
      </c>
      <c r="P67" s="83">
        <v>84.098200100178417</v>
      </c>
      <c r="Q67" s="83">
        <v>81.098064317158858</v>
      </c>
      <c r="R67" s="83">
        <v>74.704301675330171</v>
      </c>
      <c r="S67" s="83">
        <v>72.96922303882144</v>
      </c>
      <c r="T67" s="83">
        <v>79.234235246631329</v>
      </c>
      <c r="U67" s="83">
        <v>83.903590090185801</v>
      </c>
      <c r="V67" s="83">
        <v>81.967341147740001</v>
      </c>
      <c r="W67" s="83">
        <v>59.637643928222147</v>
      </c>
      <c r="X67" s="83">
        <v>68.02044947890198</v>
      </c>
      <c r="Y67" s="83">
        <v>73.119620951518954</v>
      </c>
      <c r="Z67" s="83">
        <v>67.488003633209416</v>
      </c>
      <c r="AA67" s="83">
        <v>53.850530805323942</v>
      </c>
      <c r="AB67" s="83">
        <v>51.553602633028582</v>
      </c>
      <c r="AC67" s="83">
        <v>53.194793888959559</v>
      </c>
      <c r="AD67" s="83">
        <v>52.737433735066496</v>
      </c>
      <c r="AE67" s="83">
        <v>51.312403455834627</v>
      </c>
      <c r="AF67" s="83">
        <v>48.261415819567972</v>
      </c>
      <c r="AG67" s="83">
        <v>52.332264829468812</v>
      </c>
      <c r="AH67" s="83">
        <v>45.170821958190501</v>
      </c>
      <c r="AI67" s="277">
        <v>41.681134527673308</v>
      </c>
      <c r="AJ67" s="277">
        <v>42.15643590738371</v>
      </c>
      <c r="AK67" s="277">
        <v>41.526655073331277</v>
      </c>
      <c r="AL67" s="277">
        <v>39.818466031251333</v>
      </c>
      <c r="AM67" s="277">
        <f>AL67+(AN67-AL67)/2</f>
        <v>39.002949820093818</v>
      </c>
      <c r="AN67" s="277">
        <v>38.18743360893631</v>
      </c>
      <c r="AO67" s="277">
        <f>AN67+(AP67-AN67)/2</f>
        <v>34.421935371026848</v>
      </c>
      <c r="AP67" s="277">
        <v>30.656437133117386</v>
      </c>
      <c r="AQ67" s="277">
        <v>14.894004415274408</v>
      </c>
      <c r="AR67" s="277">
        <v>4.9302556790588055</v>
      </c>
    </row>
    <row r="68" spans="1:45">
      <c r="A68" s="82" t="s">
        <v>182</v>
      </c>
      <c r="B68" s="83">
        <v>0</v>
      </c>
      <c r="C68" s="83">
        <v>0</v>
      </c>
      <c r="D68" s="83">
        <v>0</v>
      </c>
      <c r="E68" s="83">
        <v>0</v>
      </c>
      <c r="F68" s="83">
        <v>0</v>
      </c>
      <c r="G68" s="83">
        <v>0</v>
      </c>
      <c r="H68" s="83">
        <v>0</v>
      </c>
      <c r="I68" s="83">
        <v>0</v>
      </c>
      <c r="J68" s="83">
        <v>0</v>
      </c>
      <c r="K68" s="83">
        <v>0</v>
      </c>
      <c r="L68" s="83">
        <v>0</v>
      </c>
      <c r="M68" s="83">
        <v>0</v>
      </c>
      <c r="N68" s="83">
        <v>0</v>
      </c>
      <c r="O68" s="83">
        <v>0</v>
      </c>
      <c r="P68" s="83">
        <v>0</v>
      </c>
      <c r="Q68" s="83">
        <v>0</v>
      </c>
      <c r="R68" s="83">
        <v>0</v>
      </c>
      <c r="S68" s="83">
        <v>0</v>
      </c>
      <c r="T68" s="83">
        <v>0</v>
      </c>
      <c r="U68" s="83">
        <v>0</v>
      </c>
      <c r="V68" s="83">
        <v>0</v>
      </c>
      <c r="W68" s="83">
        <v>0</v>
      </c>
      <c r="X68" s="83">
        <v>0</v>
      </c>
      <c r="Y68" s="83">
        <v>0</v>
      </c>
      <c r="Z68" s="83">
        <v>0</v>
      </c>
      <c r="AA68" s="83">
        <v>0</v>
      </c>
      <c r="AB68" s="83">
        <v>0</v>
      </c>
      <c r="AC68" s="83">
        <v>0</v>
      </c>
      <c r="AD68" s="83">
        <v>0</v>
      </c>
      <c r="AE68" s="83">
        <v>0</v>
      </c>
      <c r="AF68" s="83">
        <v>0</v>
      </c>
      <c r="AG68" s="83">
        <v>0</v>
      </c>
      <c r="AH68" s="83">
        <v>0</v>
      </c>
      <c r="AI68" s="277">
        <v>0</v>
      </c>
      <c r="AJ68" s="277">
        <v>0</v>
      </c>
      <c r="AK68" s="277">
        <v>0</v>
      </c>
      <c r="AL68" s="277">
        <v>0</v>
      </c>
      <c r="AM68" s="277">
        <f>AL68+(AN68-AL68)/2</f>
        <v>0</v>
      </c>
      <c r="AN68" s="277">
        <v>0</v>
      </c>
      <c r="AO68" s="277">
        <f>AN68+(AP68-AN68)/2</f>
        <v>0</v>
      </c>
      <c r="AP68" s="277">
        <v>0</v>
      </c>
      <c r="AQ68" s="277">
        <v>0</v>
      </c>
      <c r="AR68" s="277">
        <v>0</v>
      </c>
    </row>
    <row r="69" spans="1:45">
      <c r="A69" s="82" t="s">
        <v>184</v>
      </c>
      <c r="B69" s="83">
        <v>0</v>
      </c>
      <c r="C69" s="83">
        <v>0</v>
      </c>
      <c r="D69" s="83">
        <v>0</v>
      </c>
      <c r="E69" s="83">
        <v>0</v>
      </c>
      <c r="F69" s="83">
        <v>0</v>
      </c>
      <c r="G69" s="83">
        <v>0</v>
      </c>
      <c r="H69" s="83">
        <v>0</v>
      </c>
      <c r="I69" s="83">
        <v>0</v>
      </c>
      <c r="J69" s="83">
        <v>0</v>
      </c>
      <c r="K69" s="83">
        <v>0</v>
      </c>
      <c r="L69" s="83">
        <v>0</v>
      </c>
      <c r="M69" s="83">
        <v>0</v>
      </c>
      <c r="N69" s="83">
        <v>0</v>
      </c>
      <c r="O69" s="83">
        <v>0</v>
      </c>
      <c r="P69" s="83">
        <v>0</v>
      </c>
      <c r="Q69" s="83">
        <v>0</v>
      </c>
      <c r="R69" s="83">
        <v>0</v>
      </c>
      <c r="S69" s="83">
        <v>0</v>
      </c>
      <c r="T69" s="83">
        <v>0</v>
      </c>
      <c r="U69" s="83">
        <v>0</v>
      </c>
      <c r="V69" s="83">
        <v>0</v>
      </c>
      <c r="W69" s="83">
        <v>0</v>
      </c>
      <c r="X69" s="83">
        <v>0</v>
      </c>
      <c r="Y69" s="83">
        <v>0</v>
      </c>
      <c r="Z69" s="83">
        <v>0</v>
      </c>
      <c r="AA69" s="83">
        <v>0</v>
      </c>
      <c r="AB69" s="83">
        <v>0</v>
      </c>
      <c r="AC69" s="83">
        <v>0</v>
      </c>
      <c r="AD69" s="83">
        <v>0</v>
      </c>
      <c r="AE69" s="83">
        <v>0</v>
      </c>
      <c r="AF69" s="83">
        <v>0</v>
      </c>
      <c r="AG69" s="83">
        <v>0</v>
      </c>
      <c r="AH69" s="83">
        <v>0</v>
      </c>
      <c r="AI69" s="277">
        <v>0</v>
      </c>
      <c r="AJ69" s="277">
        <v>0</v>
      </c>
      <c r="AK69" s="277">
        <v>0</v>
      </c>
      <c r="AL69" s="277">
        <v>0</v>
      </c>
      <c r="AM69" s="277">
        <f>AL69+(AN69-AL69)/2</f>
        <v>0</v>
      </c>
      <c r="AN69" s="277">
        <v>0</v>
      </c>
      <c r="AO69" s="277">
        <f>AN69+(AP69-AN69)/2</f>
        <v>0</v>
      </c>
      <c r="AP69" s="277">
        <v>0</v>
      </c>
      <c r="AQ69" s="277">
        <v>0</v>
      </c>
      <c r="AR69" s="277">
        <v>0</v>
      </c>
    </row>
    <row r="70" spans="1:45" ht="24">
      <c r="A70" s="82" t="s">
        <v>183</v>
      </c>
      <c r="B70" s="83">
        <v>0</v>
      </c>
      <c r="C70" s="83">
        <v>0</v>
      </c>
      <c r="D70" s="83">
        <v>0</v>
      </c>
      <c r="E70" s="83">
        <v>0</v>
      </c>
      <c r="F70" s="83">
        <v>0</v>
      </c>
      <c r="G70" s="83">
        <v>0</v>
      </c>
      <c r="H70" s="83">
        <v>0</v>
      </c>
      <c r="I70" s="83">
        <v>0</v>
      </c>
      <c r="J70" s="83">
        <v>0</v>
      </c>
      <c r="K70" s="83">
        <v>0</v>
      </c>
      <c r="L70" s="83">
        <v>0</v>
      </c>
      <c r="M70" s="83">
        <v>0</v>
      </c>
      <c r="N70" s="83">
        <v>0</v>
      </c>
      <c r="O70" s="83">
        <v>0</v>
      </c>
      <c r="P70" s="83">
        <v>0</v>
      </c>
      <c r="Q70" s="83">
        <v>0</v>
      </c>
      <c r="R70" s="83">
        <v>0</v>
      </c>
      <c r="S70" s="83">
        <v>0</v>
      </c>
      <c r="T70" s="83">
        <v>0</v>
      </c>
      <c r="U70" s="83">
        <v>0</v>
      </c>
      <c r="V70" s="83">
        <v>0</v>
      </c>
      <c r="W70" s="83">
        <v>0</v>
      </c>
      <c r="X70" s="83">
        <v>0</v>
      </c>
      <c r="Y70" s="83">
        <v>0</v>
      </c>
      <c r="Z70" s="83">
        <v>0</v>
      </c>
      <c r="AA70" s="83">
        <v>0</v>
      </c>
      <c r="AB70" s="83">
        <v>0</v>
      </c>
      <c r="AC70" s="83">
        <v>0</v>
      </c>
      <c r="AD70" s="83">
        <v>0</v>
      </c>
      <c r="AE70" s="83">
        <v>0</v>
      </c>
      <c r="AF70" s="83">
        <v>0</v>
      </c>
      <c r="AG70" s="83">
        <v>0</v>
      </c>
      <c r="AH70" s="83">
        <v>0</v>
      </c>
      <c r="AI70" s="277">
        <v>0</v>
      </c>
      <c r="AJ70" s="277">
        <v>0</v>
      </c>
      <c r="AK70" s="277">
        <v>0</v>
      </c>
      <c r="AL70" s="277">
        <v>0</v>
      </c>
      <c r="AM70" s="277">
        <f>AL70+(AN70-AL70)/2</f>
        <v>0</v>
      </c>
      <c r="AN70" s="277">
        <v>0</v>
      </c>
      <c r="AO70" s="277">
        <f>AN70+(AP70-AN70)/2</f>
        <v>0</v>
      </c>
      <c r="AP70" s="277">
        <v>0</v>
      </c>
      <c r="AQ70" s="277">
        <v>0</v>
      </c>
      <c r="AR70" s="277">
        <v>0</v>
      </c>
    </row>
    <row r="71" spans="1:45" ht="24">
      <c r="A71" s="82" t="s">
        <v>285</v>
      </c>
      <c r="B71" s="83">
        <v>3.6265719171262343</v>
      </c>
      <c r="C71" s="83">
        <v>3.2256294376344368</v>
      </c>
      <c r="D71" s="83">
        <v>2.348789155568384</v>
      </c>
      <c r="E71" s="83">
        <v>1.7967678472411426</v>
      </c>
      <c r="F71" s="83">
        <v>1.2448979896340235</v>
      </c>
      <c r="G71" s="83">
        <v>1.0005659684833736</v>
      </c>
      <c r="H71" s="83">
        <v>0.95118159914526035</v>
      </c>
      <c r="I71" s="83">
        <v>1.0956290001752484</v>
      </c>
      <c r="J71" s="83">
        <v>1.1840156955876058</v>
      </c>
      <c r="K71" s="83">
        <v>1.1910539516006826</v>
      </c>
      <c r="L71" s="83">
        <v>1.1063444457284011</v>
      </c>
      <c r="M71" s="83">
        <v>2.0116300551801913</v>
      </c>
      <c r="N71" s="83">
        <v>4.7438079470258749</v>
      </c>
      <c r="O71" s="83">
        <v>4.8797343923909979</v>
      </c>
      <c r="P71" s="83">
        <v>4.9917255071189111</v>
      </c>
      <c r="Q71" s="83">
        <v>4.5506172526347735</v>
      </c>
      <c r="R71" s="83">
        <v>4.6043860766787406</v>
      </c>
      <c r="S71" s="83">
        <v>4.3124949206400194</v>
      </c>
      <c r="T71" s="83">
        <v>4.2215755716693648</v>
      </c>
      <c r="U71" s="83">
        <v>3.4302672312023814</v>
      </c>
      <c r="V71" s="83">
        <v>3.4932255619648456</v>
      </c>
      <c r="W71" s="83">
        <v>4.0285280929189069</v>
      </c>
      <c r="X71" s="83">
        <v>3.6050600960922208</v>
      </c>
      <c r="Y71" s="83">
        <v>3.3842490422586953</v>
      </c>
      <c r="Z71" s="83">
        <v>3.2017141813879366</v>
      </c>
      <c r="AA71" s="83">
        <v>3.1412036561468075</v>
      </c>
      <c r="AB71" s="83">
        <v>2.0550610550796731</v>
      </c>
      <c r="AC71" s="83">
        <v>1.8658319348517622</v>
      </c>
      <c r="AD71" s="83">
        <v>2.6303186950001565</v>
      </c>
      <c r="AE71" s="83">
        <v>2.6850449739781594</v>
      </c>
      <c r="AF71" s="83">
        <v>2.2707422800468482</v>
      </c>
      <c r="AG71" s="83">
        <v>2.9454513395763424</v>
      </c>
      <c r="AH71" s="83">
        <v>3.0723943104214393</v>
      </c>
      <c r="AI71" s="277">
        <v>3.2798330068430541</v>
      </c>
      <c r="AJ71" s="277">
        <v>3.2696952606560377</v>
      </c>
      <c r="AK71" s="277">
        <v>3.213900454665592</v>
      </c>
      <c r="AL71" s="277">
        <v>2.8759305416051051</v>
      </c>
      <c r="AM71" s="277">
        <f>AL71+(AN71-AL71)/2</f>
        <v>1.6170912113144573</v>
      </c>
      <c r="AN71" s="277">
        <v>0.35825188102380978</v>
      </c>
      <c r="AO71" s="277">
        <f>AN71+(AP71-AN71)/2</f>
        <v>0.36672189163342378</v>
      </c>
      <c r="AP71" s="277">
        <v>0.37519190224303778</v>
      </c>
      <c r="AQ71" s="277">
        <v>0.40679243375761426</v>
      </c>
      <c r="AR71" s="277">
        <v>0.42456193531899977</v>
      </c>
    </row>
    <row r="72" spans="1:45" ht="24">
      <c r="A72" s="101" t="s">
        <v>346</v>
      </c>
      <c r="B72" s="83">
        <v>90.39815817077249</v>
      </c>
      <c r="C72" s="83">
        <v>96.506945370428127</v>
      </c>
      <c r="D72" s="83">
        <v>91.283932048606715</v>
      </c>
      <c r="E72" s="83">
        <v>85.827490891257284</v>
      </c>
      <c r="F72" s="83">
        <v>80.337513913833263</v>
      </c>
      <c r="G72" s="83">
        <v>80.653158788281175</v>
      </c>
      <c r="H72" s="83">
        <v>88.153058205465001</v>
      </c>
      <c r="I72" s="83">
        <v>82.877689829465808</v>
      </c>
      <c r="J72" s="83">
        <v>87.852857962830385</v>
      </c>
      <c r="K72" s="83">
        <v>89.066331828456683</v>
      </c>
      <c r="L72" s="83">
        <v>80.492697155844326</v>
      </c>
      <c r="M72" s="83">
        <v>86.754792846238345</v>
      </c>
      <c r="N72" s="83">
        <v>79.945557336488747</v>
      </c>
      <c r="O72" s="83">
        <v>88.443953642440547</v>
      </c>
      <c r="P72" s="83">
        <v>89.089925607297332</v>
      </c>
      <c r="Q72" s="83">
        <v>85.648681569793638</v>
      </c>
      <c r="R72" s="83">
        <v>79.308687752008908</v>
      </c>
      <c r="S72" s="83">
        <v>77.28171795946146</v>
      </c>
      <c r="T72" s="83">
        <v>83.455810818300691</v>
      </c>
      <c r="U72" s="83">
        <v>87.33385732138818</v>
      </c>
      <c r="V72" s="83">
        <v>85.46056670970485</v>
      </c>
      <c r="W72" s="83">
        <v>63.666172021141051</v>
      </c>
      <c r="X72" s="83">
        <v>71.625509574994197</v>
      </c>
      <c r="Y72" s="83">
        <v>76.503869993777656</v>
      </c>
      <c r="Z72" s="83">
        <v>70.689717814597358</v>
      </c>
      <c r="AA72" s="83">
        <v>56.991734461470749</v>
      </c>
      <c r="AB72" s="83">
        <v>53.608663688108258</v>
      </c>
      <c r="AC72" s="83">
        <v>55.060625823811321</v>
      </c>
      <c r="AD72" s="83">
        <v>55.367752430066652</v>
      </c>
      <c r="AE72" s="83">
        <v>53.997448429812785</v>
      </c>
      <c r="AF72" s="83">
        <v>50.532158099614819</v>
      </c>
      <c r="AG72" s="83">
        <v>55.277716169045156</v>
      </c>
      <c r="AH72" s="83">
        <v>48.243216268611938</v>
      </c>
      <c r="AI72" s="277">
        <v>44.960967534516364</v>
      </c>
      <c r="AJ72" s="277">
        <v>45.426131168039745</v>
      </c>
      <c r="AK72" s="277">
        <v>44.740555527996868</v>
      </c>
      <c r="AL72" s="277">
        <v>42.694396572856441</v>
      </c>
      <c r="AM72" s="277"/>
      <c r="AN72" s="277">
        <v>38.545685489960114</v>
      </c>
      <c r="AO72" s="277"/>
      <c r="AP72" s="277">
        <v>31.031629035360421</v>
      </c>
      <c r="AQ72" s="277">
        <v>15.300796849032022</v>
      </c>
      <c r="AR72" s="277">
        <v>5.3548176143778052</v>
      </c>
    </row>
    <row r="73" spans="1:45">
      <c r="A73" s="103" t="s">
        <v>286</v>
      </c>
      <c r="B73" s="104">
        <v>6427.2166695672677</v>
      </c>
      <c r="C73" s="104">
        <v>7409.468058931282</v>
      </c>
      <c r="D73" s="104">
        <v>7200.883366479542</v>
      </c>
      <c r="E73" s="104">
        <v>7026.178787908816</v>
      </c>
      <c r="F73" s="104">
        <v>6331.8019848393778</v>
      </c>
      <c r="G73" s="104">
        <v>6442.2369926049005</v>
      </c>
      <c r="H73" s="104">
        <v>6944.613177703638</v>
      </c>
      <c r="I73" s="104">
        <v>6366.3189190201792</v>
      </c>
      <c r="J73" s="104">
        <v>6463.6234570395472</v>
      </c>
      <c r="K73" s="104">
        <v>6244.8123880760286</v>
      </c>
      <c r="L73" s="104">
        <v>6016.5106925714999</v>
      </c>
      <c r="M73" s="104">
        <v>6148.9151717214645</v>
      </c>
      <c r="N73" s="104">
        <v>5799.589442520426</v>
      </c>
      <c r="O73" s="104">
        <v>6072.276881668955</v>
      </c>
      <c r="P73" s="104">
        <v>6072.7637956683211</v>
      </c>
      <c r="Q73" s="104">
        <v>5936.3633999941294</v>
      </c>
      <c r="R73" s="104">
        <v>5560.0436558635347</v>
      </c>
      <c r="S73" s="104">
        <v>5298.5337182877929</v>
      </c>
      <c r="T73" s="104">
        <v>5458.7773926685959</v>
      </c>
      <c r="U73" s="104">
        <v>5454.5321702182127</v>
      </c>
      <c r="V73" s="104">
        <v>5684.9337187128776</v>
      </c>
      <c r="W73" s="104">
        <v>4897.115874639012</v>
      </c>
      <c r="X73" s="104">
        <v>5274.1019719323813</v>
      </c>
      <c r="Y73" s="104">
        <v>5458.9024255920813</v>
      </c>
      <c r="Z73" s="104">
        <v>4626.1901448575445</v>
      </c>
      <c r="AA73" s="104">
        <v>4644.2332388549539</v>
      </c>
      <c r="AB73" s="104">
        <v>4817.9284272968107</v>
      </c>
      <c r="AC73" s="104">
        <v>4643.1379832498806</v>
      </c>
      <c r="AD73" s="104">
        <v>4506.486305711157</v>
      </c>
      <c r="AE73" s="104">
        <v>4458.3090007752999</v>
      </c>
      <c r="AF73" s="104">
        <v>4120.4668472357735</v>
      </c>
      <c r="AG73" s="104">
        <v>4488.8530811609544</v>
      </c>
      <c r="AH73" s="104">
        <v>4025.5200935585945</v>
      </c>
      <c r="AI73" s="104">
        <v>3953.991140170584</v>
      </c>
      <c r="AJ73" s="104">
        <v>3885.9848635422418</v>
      </c>
      <c r="AK73" s="144">
        <v>3893.084448150797</v>
      </c>
      <c r="AL73" s="144">
        <v>3775.3233546577408</v>
      </c>
      <c r="AM73" s="144">
        <f>AM66+AM67+SUM(AM68:AM71)</f>
        <v>3562.0156688358479</v>
      </c>
      <c r="AN73" s="144">
        <v>3348.7079830139546</v>
      </c>
      <c r="AO73" s="144">
        <f>AO66+AO67+SUM(AO68:AO71)</f>
        <v>3252.9195895926232</v>
      </c>
      <c r="AP73" s="144">
        <v>3157.1311961712918</v>
      </c>
      <c r="AQ73" s="144">
        <v>1526.7668578835478</v>
      </c>
      <c r="AR73" s="144">
        <v>1156.3869391251483</v>
      </c>
    </row>
    <row r="74" spans="1:45" ht="15">
      <c r="A74" s="500"/>
      <c r="B74" s="500"/>
      <c r="C74" s="500"/>
      <c r="D74" s="500"/>
      <c r="E74" s="500"/>
      <c r="F74" s="500"/>
      <c r="G74" s="500"/>
      <c r="H74" s="500"/>
      <c r="I74" s="500"/>
      <c r="J74" s="500"/>
      <c r="K74" s="500"/>
      <c r="L74" s="500"/>
      <c r="M74" s="500"/>
      <c r="N74" s="500"/>
      <c r="O74" s="500"/>
      <c r="P74" s="500"/>
      <c r="Q74" s="500"/>
      <c r="R74" s="500"/>
      <c r="S74" s="500"/>
      <c r="T74" s="500"/>
      <c r="U74" s="500"/>
      <c r="V74" s="500"/>
      <c r="W74" s="500"/>
      <c r="X74" s="500"/>
      <c r="Y74" s="500"/>
      <c r="Z74" s="500"/>
      <c r="AA74" s="500"/>
      <c r="AB74" s="500"/>
      <c r="AC74" s="61"/>
      <c r="AD74" s="61"/>
      <c r="AE74" s="61"/>
      <c r="AF74" s="61"/>
      <c r="AG74" s="61"/>
      <c r="AH74" s="61"/>
    </row>
    <row r="75" spans="1:45">
      <c r="A75" s="105" t="s">
        <v>268</v>
      </c>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506" t="s">
        <v>262</v>
      </c>
      <c r="AL75" s="506"/>
      <c r="AM75" s="506"/>
      <c r="AN75" s="506"/>
      <c r="AO75" s="506"/>
      <c r="AP75" s="506"/>
      <c r="AQ75" s="506"/>
      <c r="AR75" s="506"/>
    </row>
    <row r="76" spans="1:45" ht="39.6">
      <c r="A76" s="66" t="s">
        <v>340</v>
      </c>
      <c r="B76" s="67">
        <v>1990</v>
      </c>
      <c r="C76" s="67">
        <v>1991</v>
      </c>
      <c r="D76" s="67">
        <v>1992</v>
      </c>
      <c r="E76" s="67">
        <v>1993</v>
      </c>
      <c r="F76" s="67">
        <v>1994</v>
      </c>
      <c r="G76" s="67">
        <v>1995</v>
      </c>
      <c r="H76" s="67">
        <v>1996</v>
      </c>
      <c r="I76" s="67">
        <v>1997</v>
      </c>
      <c r="J76" s="67">
        <v>1998</v>
      </c>
      <c r="K76" s="67">
        <v>1999</v>
      </c>
      <c r="L76" s="67">
        <v>2000</v>
      </c>
      <c r="M76" s="67">
        <v>2001</v>
      </c>
      <c r="N76" s="67">
        <v>2002</v>
      </c>
      <c r="O76" s="67">
        <v>2003</v>
      </c>
      <c r="P76" s="67">
        <v>2004</v>
      </c>
      <c r="Q76" s="67">
        <v>2005</v>
      </c>
      <c r="R76" s="67">
        <v>2006</v>
      </c>
      <c r="S76" s="67">
        <v>2007</v>
      </c>
      <c r="T76" s="67">
        <v>2008</v>
      </c>
      <c r="U76" s="67">
        <v>2009</v>
      </c>
      <c r="V76" s="67">
        <v>2010</v>
      </c>
      <c r="W76" s="67">
        <v>2011</v>
      </c>
      <c r="X76" s="67">
        <v>2012</v>
      </c>
      <c r="Y76" s="67">
        <v>2013</v>
      </c>
      <c r="Z76" s="67">
        <v>2014</v>
      </c>
      <c r="AA76" s="67">
        <v>2015</v>
      </c>
      <c r="AB76" s="67">
        <v>2016</v>
      </c>
      <c r="AC76" s="67">
        <v>2017</v>
      </c>
      <c r="AD76" s="67">
        <v>2018</v>
      </c>
      <c r="AE76" s="67">
        <v>2019</v>
      </c>
      <c r="AF76" s="67">
        <v>2020</v>
      </c>
      <c r="AG76" s="68">
        <v>2021</v>
      </c>
      <c r="AH76" s="68">
        <v>2022</v>
      </c>
      <c r="AI76" s="67">
        <v>2023</v>
      </c>
      <c r="AJ76" s="142">
        <v>2024</v>
      </c>
      <c r="AK76" s="393">
        <v>2025</v>
      </c>
      <c r="AL76" s="394">
        <v>2026</v>
      </c>
      <c r="AM76" s="394">
        <v>2027</v>
      </c>
      <c r="AN76" s="393">
        <v>2028</v>
      </c>
      <c r="AO76" s="394">
        <v>2029</v>
      </c>
      <c r="AP76" s="393">
        <v>2030</v>
      </c>
      <c r="AQ76" s="395">
        <v>2040</v>
      </c>
      <c r="AR76" s="396">
        <v>2050</v>
      </c>
    </row>
    <row r="77" spans="1:45">
      <c r="A77" s="91" t="s">
        <v>217</v>
      </c>
      <c r="B77" s="83">
        <v>46316.847406507848</v>
      </c>
      <c r="C77" s="83">
        <v>45401.247205159081</v>
      </c>
      <c r="D77" s="83">
        <v>44599.224905532057</v>
      </c>
      <c r="E77" s="83">
        <v>44167.175198420962</v>
      </c>
      <c r="F77" s="83">
        <v>44317.353879045018</v>
      </c>
      <c r="G77" s="83">
        <v>44554.878044975478</v>
      </c>
      <c r="H77" s="83">
        <v>44462.205963514425</v>
      </c>
      <c r="I77" s="83">
        <v>43954.562532112337</v>
      </c>
      <c r="J77" s="83">
        <v>43696.897096011191</v>
      </c>
      <c r="K77" s="83">
        <v>43760.567176139783</v>
      </c>
      <c r="L77" s="83">
        <v>45574.504910406999</v>
      </c>
      <c r="M77" s="83">
        <v>45675.946476586825</v>
      </c>
      <c r="N77" s="83">
        <v>44567.246821159555</v>
      </c>
      <c r="O77" s="83">
        <v>43071.729811081641</v>
      </c>
      <c r="P77" s="83">
        <v>42530.202337309929</v>
      </c>
      <c r="Q77" s="83">
        <v>42436.786060800892</v>
      </c>
      <c r="R77" s="83">
        <v>42526.509113867869</v>
      </c>
      <c r="S77" s="83">
        <v>42960.129834189283</v>
      </c>
      <c r="T77" s="83">
        <v>43829.657615971948</v>
      </c>
      <c r="U77" s="83">
        <v>43289.576586947864</v>
      </c>
      <c r="V77" s="83">
        <v>42780.126360063769</v>
      </c>
      <c r="W77" s="83">
        <v>42168.224050992721</v>
      </c>
      <c r="X77" s="83">
        <v>41763.605729286472</v>
      </c>
      <c r="Y77" s="83">
        <v>41912.989127688939</v>
      </c>
      <c r="Z77" s="83">
        <v>42522.884909412052</v>
      </c>
      <c r="AA77" s="83">
        <v>42666.974082400135</v>
      </c>
      <c r="AB77" s="83">
        <v>42308.649004432511</v>
      </c>
      <c r="AC77" s="83">
        <v>41926.391076509011</v>
      </c>
      <c r="AD77" s="83">
        <v>41165.725192160935</v>
      </c>
      <c r="AE77" s="83">
        <v>40465.415406353743</v>
      </c>
      <c r="AF77" s="83">
        <v>39715.908975176128</v>
      </c>
      <c r="AG77" s="83">
        <v>38671.330115050128</v>
      </c>
      <c r="AH77" s="83">
        <v>37953.004248129597</v>
      </c>
      <c r="AI77" s="277">
        <v>37373.966284337053</v>
      </c>
      <c r="AJ77" s="277">
        <v>37032.374760244653</v>
      </c>
      <c r="AK77" s="277">
        <v>35986.141830087312</v>
      </c>
      <c r="AL77" s="277">
        <v>35824.76718111863</v>
      </c>
      <c r="AM77" s="277">
        <f>AL77+(AN77-AL77)/2</f>
        <v>35425.556515749806</v>
      </c>
      <c r="AN77" s="277">
        <v>35026.345850380982</v>
      </c>
      <c r="AO77" s="277">
        <f>AN77+(AP77-AN77)/2</f>
        <v>34551.800182164596</v>
      </c>
      <c r="AP77" s="277">
        <v>34077.25451394821</v>
      </c>
      <c r="AQ77" s="277">
        <v>28365.710352769827</v>
      </c>
      <c r="AR77" s="277">
        <v>23144.558042712772</v>
      </c>
    </row>
    <row r="78" spans="1:45">
      <c r="A78" s="91" t="s">
        <v>218</v>
      </c>
      <c r="B78" s="83">
        <v>2236.7212981871344</v>
      </c>
      <c r="C78" s="83">
        <v>2250.2857726445113</v>
      </c>
      <c r="D78" s="83">
        <v>2354.3137151390206</v>
      </c>
      <c r="E78" s="83">
        <v>2497.3989760595568</v>
      </c>
      <c r="F78" s="83">
        <v>2621.2601418113554</v>
      </c>
      <c r="G78" s="83">
        <v>2669.6797636241786</v>
      </c>
      <c r="H78" s="83">
        <v>2790.0096384385079</v>
      </c>
      <c r="I78" s="83">
        <v>2879.2321196687617</v>
      </c>
      <c r="J78" s="83">
        <v>2975.1486885386716</v>
      </c>
      <c r="K78" s="83">
        <v>3016.8254665437935</v>
      </c>
      <c r="L78" s="83">
        <v>3058.281941056779</v>
      </c>
      <c r="M78" s="83">
        <v>3175.8336379375423</v>
      </c>
      <c r="N78" s="83">
        <v>3242.6403515673082</v>
      </c>
      <c r="O78" s="83">
        <v>3230.1837738723179</v>
      </c>
      <c r="P78" s="83">
        <v>3223.796208571709</v>
      </c>
      <c r="Q78" s="83">
        <v>3217.9742652192854</v>
      </c>
      <c r="R78" s="83">
        <v>3203.8166699445851</v>
      </c>
      <c r="S78" s="83">
        <v>3226.5945965340029</v>
      </c>
      <c r="T78" s="83">
        <v>3226.1213801812014</v>
      </c>
      <c r="U78" s="83">
        <v>3175.8179408618848</v>
      </c>
      <c r="V78" s="83">
        <v>3093.0669405003023</v>
      </c>
      <c r="W78" s="83">
        <v>3037.4790597107612</v>
      </c>
      <c r="X78" s="83">
        <v>2970.3488975415939</v>
      </c>
      <c r="Y78" s="83">
        <v>2913.8975313566525</v>
      </c>
      <c r="Z78" s="83">
        <v>2909.7239352946676</v>
      </c>
      <c r="AA78" s="83">
        <v>2927.4728336484363</v>
      </c>
      <c r="AB78" s="83">
        <v>2951.8084044704196</v>
      </c>
      <c r="AC78" s="83">
        <v>2914.0899111689077</v>
      </c>
      <c r="AD78" s="83">
        <v>2918.3682320607663</v>
      </c>
      <c r="AE78" s="83">
        <v>2859.9756838687799</v>
      </c>
      <c r="AF78" s="83">
        <v>2818.1512519763151</v>
      </c>
      <c r="AG78" s="83">
        <v>2796.6425994514111</v>
      </c>
      <c r="AH78" s="83">
        <v>2642.1120703942111</v>
      </c>
      <c r="AI78" s="277">
        <v>2470.7055371678921</v>
      </c>
      <c r="AJ78" s="277">
        <v>2434.7508143110617</v>
      </c>
      <c r="AK78" s="277">
        <v>2415.4796675274943</v>
      </c>
      <c r="AL78" s="277">
        <v>2398.2420359765401</v>
      </c>
      <c r="AM78" s="277">
        <f>AL78+(AN78-AL78)/2</f>
        <v>2387.4495695734572</v>
      </c>
      <c r="AN78" s="277">
        <v>2376.6571031703743</v>
      </c>
      <c r="AO78" s="277">
        <f>AN78+(AP78-AN78)/2</f>
        <v>2334.1472563148709</v>
      </c>
      <c r="AP78" s="277">
        <v>2291.6374094593675</v>
      </c>
      <c r="AQ78" s="277">
        <v>1435.6513300722459</v>
      </c>
      <c r="AR78" s="277">
        <v>731.27578710596094</v>
      </c>
      <c r="AS78" s="392"/>
    </row>
    <row r="79" spans="1:45">
      <c r="A79" s="91" t="s">
        <v>219</v>
      </c>
      <c r="B79" s="83">
        <v>165.31307989092724</v>
      </c>
      <c r="C79" s="83">
        <v>170.53595407353703</v>
      </c>
      <c r="D79" s="83">
        <v>175.02905969561846</v>
      </c>
      <c r="E79" s="83">
        <v>180.22423079475899</v>
      </c>
      <c r="F79" s="83">
        <v>184.65741961750314</v>
      </c>
      <c r="G79" s="83">
        <v>188.59981321973476</v>
      </c>
      <c r="H79" s="83">
        <v>191.86384536501518</v>
      </c>
      <c r="I79" s="83">
        <v>196.64463212947794</v>
      </c>
      <c r="J79" s="83">
        <v>204.11105946950042</v>
      </c>
      <c r="K79" s="83">
        <v>198.20297963663168</v>
      </c>
      <c r="L79" s="83">
        <v>192.68808561793415</v>
      </c>
      <c r="M79" s="83">
        <v>196.36125125246846</v>
      </c>
      <c r="N79" s="83">
        <v>195.07227698609955</v>
      </c>
      <c r="O79" s="83">
        <v>187.7880936424279</v>
      </c>
      <c r="P79" s="83">
        <v>180.16849739583057</v>
      </c>
      <c r="Q79" s="83">
        <v>175.12649274719021</v>
      </c>
      <c r="R79" s="83">
        <v>173.60597340408933</v>
      </c>
      <c r="S79" s="83">
        <v>174.35712228129702</v>
      </c>
      <c r="T79" s="83">
        <v>174.57257507223085</v>
      </c>
      <c r="U79" s="83">
        <v>174.6535204400283</v>
      </c>
      <c r="V79" s="83">
        <v>177.09113913282354</v>
      </c>
      <c r="W79" s="83">
        <v>176.85149106952301</v>
      </c>
      <c r="X79" s="83">
        <v>180.27619794243594</v>
      </c>
      <c r="Y79" s="83">
        <v>181.81153777247184</v>
      </c>
      <c r="Z79" s="83">
        <v>186.12263190854603</v>
      </c>
      <c r="AA79" s="83">
        <v>190.02792101449668</v>
      </c>
      <c r="AB79" s="83">
        <v>189.1496697297529</v>
      </c>
      <c r="AC79" s="83">
        <v>191.14708424119576</v>
      </c>
      <c r="AD79" s="83">
        <v>189.32469408591126</v>
      </c>
      <c r="AE79" s="83">
        <v>187.3499257477402</v>
      </c>
      <c r="AF79" s="83">
        <v>188.14680579944272</v>
      </c>
      <c r="AG79" s="83">
        <v>184.94687051475819</v>
      </c>
      <c r="AH79" s="83">
        <v>171.67718990258129</v>
      </c>
      <c r="AI79" s="277">
        <v>168.73886049632898</v>
      </c>
      <c r="AJ79" s="277">
        <v>176.1031014258391</v>
      </c>
      <c r="AK79" s="277">
        <v>179.14130928395363</v>
      </c>
      <c r="AL79" s="277">
        <v>182.98349854527029</v>
      </c>
      <c r="AM79" s="277">
        <f>AL79+(AN79-AL79)/2</f>
        <v>192.20493529038558</v>
      </c>
      <c r="AN79" s="277">
        <v>201.42637203550086</v>
      </c>
      <c r="AO79" s="277">
        <f>AN79+(AP79-AN79)/2</f>
        <v>206.2822045227789</v>
      </c>
      <c r="AP79" s="277">
        <v>211.13803701005691</v>
      </c>
      <c r="AQ79" s="277">
        <v>238.72494273365967</v>
      </c>
      <c r="AR79" s="277">
        <v>266.31184845726244</v>
      </c>
    </row>
    <row r="80" spans="1:45">
      <c r="A80" s="91" t="s">
        <v>220</v>
      </c>
      <c r="B80" s="83">
        <v>4859.9100565487715</v>
      </c>
      <c r="C80" s="83">
        <v>4745.1605562758305</v>
      </c>
      <c r="D80" s="83">
        <v>4621.9364287032377</v>
      </c>
      <c r="E80" s="83">
        <v>4571.1264437679511</v>
      </c>
      <c r="F80" s="83">
        <v>4565.0746468461348</v>
      </c>
      <c r="G80" s="83">
        <v>4571.1803747414569</v>
      </c>
      <c r="H80" s="83">
        <v>4557.0260968846214</v>
      </c>
      <c r="I80" s="83">
        <v>4507.3768457222268</v>
      </c>
      <c r="J80" s="83">
        <v>4466.3769793175479</v>
      </c>
      <c r="K80" s="83">
        <v>4416.2363154188524</v>
      </c>
      <c r="L80" s="83">
        <v>4398.6208623673119</v>
      </c>
      <c r="M80" s="83">
        <v>4318.7933978741048</v>
      </c>
      <c r="N80" s="83">
        <v>4287.6606204982563</v>
      </c>
      <c r="O80" s="83">
        <v>4271.426544160061</v>
      </c>
      <c r="P80" s="83">
        <v>4233.4232977850324</v>
      </c>
      <c r="Q80" s="83">
        <v>4211.1224199733879</v>
      </c>
      <c r="R80" s="83">
        <v>4123.3392453987062</v>
      </c>
      <c r="S80" s="83">
        <v>4016.2299381954399</v>
      </c>
      <c r="T80" s="83">
        <v>3895.5081451964129</v>
      </c>
      <c r="U80" s="83">
        <v>3885.1114979572267</v>
      </c>
      <c r="V80" s="83">
        <v>3896.1902256269091</v>
      </c>
      <c r="W80" s="83">
        <v>3770.2301168574991</v>
      </c>
      <c r="X80" s="83">
        <v>3666.4660770266746</v>
      </c>
      <c r="Y80" s="83">
        <v>3571.8607880510017</v>
      </c>
      <c r="Z80" s="83">
        <v>3544.0884396535148</v>
      </c>
      <c r="AA80" s="83">
        <v>3492.4167944225774</v>
      </c>
      <c r="AB80" s="83">
        <v>3457.6965818041149</v>
      </c>
      <c r="AC80" s="83">
        <v>3429.0067923339825</v>
      </c>
      <c r="AD80" s="83">
        <v>3483.1148225978036</v>
      </c>
      <c r="AE80" s="83">
        <v>3449.7719937763886</v>
      </c>
      <c r="AF80" s="83">
        <v>3465.5683243073868</v>
      </c>
      <c r="AG80" s="83">
        <v>3445.8381826146906</v>
      </c>
      <c r="AH80" s="83">
        <v>3366.4150075443094</v>
      </c>
      <c r="AI80" s="277">
        <v>3315.6998085127611</v>
      </c>
      <c r="AJ80" s="277">
        <v>3300.0682695465225</v>
      </c>
      <c r="AK80" s="277">
        <v>3299.9901461304448</v>
      </c>
      <c r="AL80" s="277">
        <v>3297.6129833062432</v>
      </c>
      <c r="AM80" s="277">
        <f>AL80+(AN80-AL80)/2</f>
        <v>3331.2609258064304</v>
      </c>
      <c r="AN80" s="277">
        <v>3364.9088683066175</v>
      </c>
      <c r="AO80" s="277">
        <f>AN80+(AP80-AN80)/2</f>
        <v>3365.4830035097943</v>
      </c>
      <c r="AP80" s="277">
        <v>3366.0571387129712</v>
      </c>
      <c r="AQ80" s="277">
        <v>3178.5878157859074</v>
      </c>
      <c r="AR80" s="277">
        <v>2993.4147232016112</v>
      </c>
    </row>
    <row r="81" spans="1:45">
      <c r="A81" s="107" t="s">
        <v>287</v>
      </c>
      <c r="B81" s="108">
        <v>53578.791841134676</v>
      </c>
      <c r="C81" s="108">
        <v>52567.229488152967</v>
      </c>
      <c r="D81" s="108">
        <v>51750.504109069931</v>
      </c>
      <c r="E81" s="108">
        <v>51415.924849043229</v>
      </c>
      <c r="F81" s="108">
        <v>51688.346087320017</v>
      </c>
      <c r="G81" s="108">
        <v>51984.337996560847</v>
      </c>
      <c r="H81" s="108">
        <v>52001.105544202568</v>
      </c>
      <c r="I81" s="108">
        <v>51537.816129632803</v>
      </c>
      <c r="J81" s="108">
        <v>51342.533823336904</v>
      </c>
      <c r="K81" s="108">
        <v>51391.831937739058</v>
      </c>
      <c r="L81" s="108">
        <v>53224.095799449031</v>
      </c>
      <c r="M81" s="108">
        <v>53366.934763650941</v>
      </c>
      <c r="N81" s="108">
        <v>52292.620070211226</v>
      </c>
      <c r="O81" s="108">
        <v>50761.128222756444</v>
      </c>
      <c r="P81" s="108">
        <v>50167.590341062503</v>
      </c>
      <c r="Q81" s="108">
        <v>50041.009238740764</v>
      </c>
      <c r="R81" s="108">
        <v>50027.271002615249</v>
      </c>
      <c r="S81" s="108">
        <v>50377.311491200016</v>
      </c>
      <c r="T81" s="108">
        <v>51125.859716421801</v>
      </c>
      <c r="U81" s="108">
        <v>50525.159546206996</v>
      </c>
      <c r="V81" s="108">
        <v>49946.474665323803</v>
      </c>
      <c r="W81" s="108">
        <v>49152.784718630508</v>
      </c>
      <c r="X81" s="108">
        <v>48580.696901797186</v>
      </c>
      <c r="Y81" s="108">
        <v>48580.558984869072</v>
      </c>
      <c r="Z81" s="108">
        <v>49162.819916268782</v>
      </c>
      <c r="AA81" s="108">
        <v>49276.89163148564</v>
      </c>
      <c r="AB81" s="108">
        <v>48907.303660436803</v>
      </c>
      <c r="AC81" s="108">
        <v>48460.634864253094</v>
      </c>
      <c r="AD81" s="108">
        <v>47756.532940905417</v>
      </c>
      <c r="AE81" s="108">
        <v>46962.513009746654</v>
      </c>
      <c r="AF81" s="108">
        <v>46187.77535725927</v>
      </c>
      <c r="AG81" s="108">
        <v>45098.757767630988</v>
      </c>
      <c r="AH81" s="108">
        <v>44133.208515970706</v>
      </c>
      <c r="AI81" s="281">
        <v>43329.110490514038</v>
      </c>
      <c r="AJ81" s="281">
        <v>42943.296945528076</v>
      </c>
      <c r="AK81" s="281">
        <v>41880.752953029201</v>
      </c>
      <c r="AL81" s="281">
        <v>41703.605698946682</v>
      </c>
      <c r="AM81" s="281">
        <f>SUM(AM77:AM80)</f>
        <v>41336.471946420083</v>
      </c>
      <c r="AN81" s="281">
        <v>40969.338193893476</v>
      </c>
      <c r="AO81" s="281">
        <f>SUM(AO77:AO80)</f>
        <v>40457.712646512038</v>
      </c>
      <c r="AP81" s="281">
        <v>39946.087099130607</v>
      </c>
      <c r="AQ81" s="281">
        <v>33218.674441361647</v>
      </c>
      <c r="AR81" s="281">
        <v>27135.560401477604</v>
      </c>
    </row>
    <row r="82" spans="1:45">
      <c r="A82" s="91" t="s">
        <v>222</v>
      </c>
      <c r="B82" s="83">
        <v>0</v>
      </c>
      <c r="C82" s="83">
        <v>0</v>
      </c>
      <c r="D82" s="83">
        <v>0</v>
      </c>
      <c r="E82" s="83">
        <v>0</v>
      </c>
      <c r="F82" s="83">
        <v>0</v>
      </c>
      <c r="G82" s="83">
        <v>0</v>
      </c>
      <c r="H82" s="83">
        <v>0</v>
      </c>
      <c r="I82" s="83">
        <v>0</v>
      </c>
      <c r="J82" s="83">
        <v>0</v>
      </c>
      <c r="K82" s="83">
        <v>0</v>
      </c>
      <c r="L82" s="83">
        <v>0</v>
      </c>
      <c r="M82" s="83">
        <v>0</v>
      </c>
      <c r="N82" s="83">
        <v>0</v>
      </c>
      <c r="O82" s="83">
        <v>0</v>
      </c>
      <c r="P82" s="83">
        <v>0</v>
      </c>
      <c r="Q82" s="83">
        <v>0</v>
      </c>
      <c r="R82" s="83">
        <v>0</v>
      </c>
      <c r="S82" s="83">
        <v>0</v>
      </c>
      <c r="T82" s="83">
        <v>0</v>
      </c>
      <c r="U82" s="83">
        <v>0</v>
      </c>
      <c r="V82" s="83">
        <v>0</v>
      </c>
      <c r="W82" s="83">
        <v>0</v>
      </c>
      <c r="X82" s="83">
        <v>0</v>
      </c>
      <c r="Y82" s="83">
        <v>0</v>
      </c>
      <c r="Z82" s="83">
        <v>0</v>
      </c>
      <c r="AA82" s="83">
        <v>0</v>
      </c>
      <c r="AB82" s="83">
        <v>0</v>
      </c>
      <c r="AC82" s="83">
        <v>0</v>
      </c>
      <c r="AD82" s="83">
        <v>0</v>
      </c>
      <c r="AE82" s="83">
        <v>0</v>
      </c>
      <c r="AF82" s="83">
        <v>0</v>
      </c>
      <c r="AG82" s="83">
        <v>0</v>
      </c>
      <c r="AH82" s="83">
        <v>0</v>
      </c>
      <c r="AI82" s="277">
        <v>0</v>
      </c>
      <c r="AJ82" s="277">
        <v>0</v>
      </c>
      <c r="AK82" s="277">
        <v>0</v>
      </c>
      <c r="AL82" s="83">
        <v>0</v>
      </c>
      <c r="AM82" s="83">
        <f>AL82+(AN82-AL82)/2</f>
        <v>0</v>
      </c>
      <c r="AN82" s="83">
        <v>0</v>
      </c>
      <c r="AO82" s="83">
        <f>AN82+(AP82-AN82)/2</f>
        <v>0</v>
      </c>
      <c r="AP82" s="83">
        <v>0</v>
      </c>
      <c r="AQ82" s="83">
        <v>0</v>
      </c>
      <c r="AR82" s="83">
        <v>0</v>
      </c>
    </row>
    <row r="83" spans="1:45">
      <c r="A83" s="91" t="s">
        <v>288</v>
      </c>
      <c r="B83" s="83">
        <v>0</v>
      </c>
      <c r="C83" s="83">
        <v>0</v>
      </c>
      <c r="D83" s="83">
        <v>0</v>
      </c>
      <c r="E83" s="83">
        <v>0</v>
      </c>
      <c r="F83" s="83">
        <v>0</v>
      </c>
      <c r="G83" s="83">
        <v>0</v>
      </c>
      <c r="H83" s="83">
        <v>0</v>
      </c>
      <c r="I83" s="83">
        <v>0</v>
      </c>
      <c r="J83" s="83">
        <v>0</v>
      </c>
      <c r="K83" s="83">
        <v>0</v>
      </c>
      <c r="L83" s="83">
        <v>0</v>
      </c>
      <c r="M83" s="83">
        <v>0</v>
      </c>
      <c r="N83" s="83">
        <v>0</v>
      </c>
      <c r="O83" s="83">
        <v>0</v>
      </c>
      <c r="P83" s="83">
        <v>0</v>
      </c>
      <c r="Q83" s="83">
        <v>0</v>
      </c>
      <c r="R83" s="83">
        <v>0</v>
      </c>
      <c r="S83" s="83">
        <v>0</v>
      </c>
      <c r="T83" s="83">
        <v>0</v>
      </c>
      <c r="U83" s="83">
        <v>0</v>
      </c>
      <c r="V83" s="83">
        <v>0</v>
      </c>
      <c r="W83" s="83">
        <v>0</v>
      </c>
      <c r="X83" s="83">
        <v>0</v>
      </c>
      <c r="Y83" s="83">
        <v>0</v>
      </c>
      <c r="Z83" s="83">
        <v>0</v>
      </c>
      <c r="AA83" s="83">
        <v>0</v>
      </c>
      <c r="AB83" s="83">
        <v>0</v>
      </c>
      <c r="AC83" s="83">
        <v>0</v>
      </c>
      <c r="AD83" s="83">
        <v>0</v>
      </c>
      <c r="AE83" s="83">
        <v>0</v>
      </c>
      <c r="AF83" s="83">
        <v>0</v>
      </c>
      <c r="AG83" s="83">
        <v>0</v>
      </c>
      <c r="AH83" s="83">
        <v>0</v>
      </c>
      <c r="AI83" s="277">
        <v>0</v>
      </c>
      <c r="AJ83" s="277">
        <v>0</v>
      </c>
      <c r="AK83" s="277">
        <v>0</v>
      </c>
      <c r="AL83" s="83">
        <v>0</v>
      </c>
      <c r="AM83" s="83">
        <f>AL83+(AN83-AL83)/2</f>
        <v>0</v>
      </c>
      <c r="AN83" s="83">
        <v>0</v>
      </c>
      <c r="AO83" s="83">
        <f>AN83+(AP83-AN83)/2</f>
        <v>0</v>
      </c>
      <c r="AP83" s="83">
        <v>0</v>
      </c>
      <c r="AQ83" s="83">
        <v>0</v>
      </c>
      <c r="AR83" s="83">
        <v>0</v>
      </c>
    </row>
    <row r="84" spans="1:45">
      <c r="A84" s="91" t="s">
        <v>289</v>
      </c>
      <c r="B84" s="83">
        <v>0</v>
      </c>
      <c r="C84" s="83">
        <v>0</v>
      </c>
      <c r="D84" s="83">
        <v>0</v>
      </c>
      <c r="E84" s="83">
        <v>0</v>
      </c>
      <c r="F84" s="83">
        <v>0</v>
      </c>
      <c r="G84" s="83">
        <v>0</v>
      </c>
      <c r="H84" s="83">
        <v>0</v>
      </c>
      <c r="I84" s="83">
        <v>0</v>
      </c>
      <c r="J84" s="83">
        <v>0</v>
      </c>
      <c r="K84" s="83">
        <v>0</v>
      </c>
      <c r="L84" s="83">
        <v>0</v>
      </c>
      <c r="M84" s="83">
        <v>0</v>
      </c>
      <c r="N84" s="83">
        <v>0</v>
      </c>
      <c r="O84" s="83">
        <v>0</v>
      </c>
      <c r="P84" s="83">
        <v>0</v>
      </c>
      <c r="Q84" s="83">
        <v>0</v>
      </c>
      <c r="R84" s="83">
        <v>0</v>
      </c>
      <c r="S84" s="83">
        <v>0</v>
      </c>
      <c r="T84" s="83">
        <v>0</v>
      </c>
      <c r="U84" s="83">
        <v>0</v>
      </c>
      <c r="V84" s="83">
        <v>0</v>
      </c>
      <c r="W84" s="83">
        <v>0</v>
      </c>
      <c r="X84" s="83">
        <v>0</v>
      </c>
      <c r="Y84" s="83">
        <v>0</v>
      </c>
      <c r="Z84" s="83">
        <v>0</v>
      </c>
      <c r="AA84" s="83">
        <v>0</v>
      </c>
      <c r="AB84" s="83">
        <v>0</v>
      </c>
      <c r="AC84" s="83">
        <v>0</v>
      </c>
      <c r="AD84" s="83">
        <v>0</v>
      </c>
      <c r="AE84" s="83">
        <v>0</v>
      </c>
      <c r="AF84" s="83">
        <v>0</v>
      </c>
      <c r="AG84" s="83">
        <v>0</v>
      </c>
      <c r="AH84" s="83">
        <v>0</v>
      </c>
      <c r="AI84" s="277">
        <v>0</v>
      </c>
      <c r="AJ84" s="277">
        <v>0</v>
      </c>
      <c r="AK84" s="277">
        <v>0</v>
      </c>
      <c r="AL84" s="83">
        <v>0</v>
      </c>
      <c r="AM84" s="83">
        <f>AL84+(AN84-AL84)/2</f>
        <v>0</v>
      </c>
      <c r="AN84" s="83">
        <v>0</v>
      </c>
      <c r="AO84" s="83">
        <f>AN84+(AP84-AN84)/2</f>
        <v>0</v>
      </c>
      <c r="AP84" s="83">
        <v>0</v>
      </c>
      <c r="AQ84" s="83">
        <v>0</v>
      </c>
      <c r="AR84" s="83">
        <v>0</v>
      </c>
    </row>
    <row r="85" spans="1:45">
      <c r="A85" s="91" t="s">
        <v>290</v>
      </c>
      <c r="B85" s="83">
        <v>78.868404884139139</v>
      </c>
      <c r="C85" s="83">
        <v>78.881985940984308</v>
      </c>
      <c r="D85" s="83">
        <v>79.262490955346891</v>
      </c>
      <c r="E85" s="83">
        <v>76.114911189219441</v>
      </c>
      <c r="F85" s="83">
        <v>77.632386140868022</v>
      </c>
      <c r="G85" s="83">
        <v>78.317329255998857</v>
      </c>
      <c r="H85" s="83">
        <v>80.915250914745684</v>
      </c>
      <c r="I85" s="83">
        <v>80.632585672697886</v>
      </c>
      <c r="J85" s="83">
        <v>84.359828558106983</v>
      </c>
      <c r="K85" s="83">
        <v>82.909597887084715</v>
      </c>
      <c r="L85" s="83">
        <v>85.629201220919654</v>
      </c>
      <c r="M85" s="83">
        <v>71.494173554912237</v>
      </c>
      <c r="N85" s="83">
        <v>72.116888795008691</v>
      </c>
      <c r="O85" s="83">
        <v>59.287794803112831</v>
      </c>
      <c r="P85" s="83">
        <v>61.324260216881143</v>
      </c>
      <c r="Q85" s="83">
        <v>55.522970348742305</v>
      </c>
      <c r="R85" s="83">
        <v>52.086324268081945</v>
      </c>
      <c r="S85" s="83">
        <v>49.039027001707602</v>
      </c>
      <c r="T85" s="83">
        <v>51.199594577305952</v>
      </c>
      <c r="U85" s="83">
        <v>50.681292449172368</v>
      </c>
      <c r="V85" s="83">
        <v>48.876037732585289</v>
      </c>
      <c r="W85" s="83">
        <v>44.503154102637893</v>
      </c>
      <c r="X85" s="83">
        <v>42.842966501909331</v>
      </c>
      <c r="Y85" s="83">
        <v>36.987336133642813</v>
      </c>
      <c r="Z85" s="83">
        <v>35.577592386591064</v>
      </c>
      <c r="AA85" s="83">
        <v>35.803445408524937</v>
      </c>
      <c r="AB85" s="83">
        <v>28.753543958077206</v>
      </c>
      <c r="AC85" s="83">
        <v>29.751600736158853</v>
      </c>
      <c r="AD85" s="83">
        <v>22.47986356319003</v>
      </c>
      <c r="AE85" s="83">
        <v>21.650028931405405</v>
      </c>
      <c r="AF85" s="83">
        <v>16.537606463135042</v>
      </c>
      <c r="AG85" s="83">
        <v>16.876610860357129</v>
      </c>
      <c r="AH85" s="83">
        <v>16.283970059811992</v>
      </c>
      <c r="AI85" s="277">
        <v>16.749120680382557</v>
      </c>
      <c r="AJ85" s="277">
        <v>16.862686957054994</v>
      </c>
      <c r="AK85" s="277">
        <v>16.862686957054994</v>
      </c>
      <c r="AL85" s="83">
        <v>16.720766216466483</v>
      </c>
      <c r="AM85" s="83">
        <f>AL85+(AN85-AL85)/2</f>
        <v>15.85125298589484</v>
      </c>
      <c r="AN85" s="83">
        <v>14.981739755323197</v>
      </c>
      <c r="AO85" s="83">
        <f>AN85+(AP85-AN85)/2</f>
        <v>14.863407957644453</v>
      </c>
      <c r="AP85" s="83">
        <v>14.745076159965709</v>
      </c>
      <c r="AQ85" s="83">
        <v>14.375529663420524</v>
      </c>
      <c r="AR85" s="83">
        <v>14.005983166875343</v>
      </c>
    </row>
    <row r="86" spans="1:45">
      <c r="A86" s="91" t="s">
        <v>291</v>
      </c>
      <c r="B86" s="83">
        <v>76.47374414287998</v>
      </c>
      <c r="C86" s="83">
        <v>83.040363494666678</v>
      </c>
      <c r="D86" s="83">
        <v>95.690559006933341</v>
      </c>
      <c r="E86" s="83">
        <v>105.84834882159998</v>
      </c>
      <c r="F86" s="83">
        <v>112.86993919199998</v>
      </c>
      <c r="G86" s="83">
        <v>107.06090586559999</v>
      </c>
      <c r="H86" s="83">
        <v>96.653208505599991</v>
      </c>
      <c r="I86" s="83">
        <v>92.880224904000002</v>
      </c>
      <c r="J86" s="83">
        <v>86.720148521599995</v>
      </c>
      <c r="K86" s="83">
        <v>82.701434780799985</v>
      </c>
      <c r="L86" s="83">
        <v>89.645795678879992</v>
      </c>
      <c r="M86" s="83">
        <v>87.423830094395768</v>
      </c>
      <c r="N86" s="83">
        <v>83.203306679705079</v>
      </c>
      <c r="O86" s="83">
        <v>82.19698544130101</v>
      </c>
      <c r="P86" s="83">
        <v>92.533315558712189</v>
      </c>
      <c r="Q86" s="83">
        <v>82.501944764499683</v>
      </c>
      <c r="R86" s="83">
        <v>73.674299438521146</v>
      </c>
      <c r="S86" s="83">
        <v>70.197909561212484</v>
      </c>
      <c r="T86" s="83">
        <v>66.564453184985311</v>
      </c>
      <c r="U86" s="83">
        <v>80.811679814272111</v>
      </c>
      <c r="V86" s="83">
        <v>80.240408084321899</v>
      </c>
      <c r="W86" s="83">
        <v>81.333113091313109</v>
      </c>
      <c r="X86" s="83">
        <v>77.742553479016692</v>
      </c>
      <c r="Y86" s="83">
        <v>71.086270927487092</v>
      </c>
      <c r="Z86" s="83">
        <v>57.560603415262833</v>
      </c>
      <c r="AA86" s="83">
        <v>55.194015641905615</v>
      </c>
      <c r="AB86" s="83">
        <v>56.803427509007165</v>
      </c>
      <c r="AC86" s="83">
        <v>58.203946233671253</v>
      </c>
      <c r="AD86" s="83">
        <v>45.798293124147996</v>
      </c>
      <c r="AE86" s="83">
        <v>52.340109377844897</v>
      </c>
      <c r="AF86" s="83">
        <v>51.136779730184124</v>
      </c>
      <c r="AG86" s="83">
        <v>43.825137119475883</v>
      </c>
      <c r="AH86" s="83">
        <v>41.976715455296294</v>
      </c>
      <c r="AI86" s="277">
        <v>43.28473411887154</v>
      </c>
      <c r="AJ86" s="277">
        <v>48.142555828070989</v>
      </c>
      <c r="AK86" s="277">
        <v>48.142555828070982</v>
      </c>
      <c r="AL86" s="83">
        <v>49.149633666514553</v>
      </c>
      <c r="AM86" s="83">
        <f>AL86+(AN86-AL86)/2</f>
        <v>48.388946001847202</v>
      </c>
      <c r="AN86" s="83">
        <v>47.628258337179851</v>
      </c>
      <c r="AO86" s="83">
        <f>AN86+(AP86-AN86)/2</f>
        <v>48.547297459567872</v>
      </c>
      <c r="AP86" s="83">
        <v>49.466336581955893</v>
      </c>
      <c r="AQ86" s="83">
        <v>43.851877880156373</v>
      </c>
      <c r="AR86" s="83">
        <v>38.237419178356859</v>
      </c>
    </row>
    <row r="87" spans="1:45">
      <c r="A87" s="107" t="s">
        <v>292</v>
      </c>
      <c r="B87" s="108">
        <v>155.3421490270191</v>
      </c>
      <c r="C87" s="108">
        <v>161.92234943565097</v>
      </c>
      <c r="D87" s="108">
        <v>174.95304996228023</v>
      </c>
      <c r="E87" s="108">
        <v>181.96326001081943</v>
      </c>
      <c r="F87" s="108">
        <v>190.502325332868</v>
      </c>
      <c r="G87" s="108">
        <v>185.37823512159883</v>
      </c>
      <c r="H87" s="108">
        <v>177.56845942034568</v>
      </c>
      <c r="I87" s="108">
        <v>173.51281057669789</v>
      </c>
      <c r="J87" s="108">
        <v>171.07997707970696</v>
      </c>
      <c r="K87" s="108">
        <v>165.6110326678847</v>
      </c>
      <c r="L87" s="108">
        <v>175.27499689979965</v>
      </c>
      <c r="M87" s="108">
        <v>158.91800364930799</v>
      </c>
      <c r="N87" s="108">
        <v>155.32019547471378</v>
      </c>
      <c r="O87" s="108">
        <v>141.48478024441386</v>
      </c>
      <c r="P87" s="108">
        <v>153.85757577559332</v>
      </c>
      <c r="Q87" s="108">
        <v>138.024915113242</v>
      </c>
      <c r="R87" s="108">
        <v>125.7606237066031</v>
      </c>
      <c r="S87" s="108">
        <v>119.23693656292008</v>
      </c>
      <c r="T87" s="108">
        <v>117.76404776229126</v>
      </c>
      <c r="U87" s="108">
        <v>131.49297226344447</v>
      </c>
      <c r="V87" s="108">
        <v>129.11644581690717</v>
      </c>
      <c r="W87" s="108">
        <v>125.836267193951</v>
      </c>
      <c r="X87" s="108">
        <v>120.58551998092602</v>
      </c>
      <c r="Y87" s="108">
        <v>108.07360706112991</v>
      </c>
      <c r="Z87" s="108">
        <v>93.138195801853897</v>
      </c>
      <c r="AA87" s="108">
        <v>90.997461050430559</v>
      </c>
      <c r="AB87" s="108">
        <v>85.556971467084367</v>
      </c>
      <c r="AC87" s="108">
        <v>87.95554696983011</v>
      </c>
      <c r="AD87" s="108">
        <v>68.278156687338026</v>
      </c>
      <c r="AE87" s="108">
        <v>73.990138309250298</v>
      </c>
      <c r="AF87" s="108">
        <v>67.674386193319165</v>
      </c>
      <c r="AG87" s="108">
        <v>60.701747979833016</v>
      </c>
      <c r="AH87" s="108">
        <v>58.260685515108285</v>
      </c>
      <c r="AI87" s="281">
        <v>60.033854799254101</v>
      </c>
      <c r="AJ87" s="281">
        <v>65.005242785125986</v>
      </c>
      <c r="AK87" s="281">
        <v>65.005242785125972</v>
      </c>
      <c r="AL87" s="281">
        <v>65.870399882981033</v>
      </c>
      <c r="AM87" s="281">
        <f>SUM(AM82:AM86)</f>
        <v>64.240198987742048</v>
      </c>
      <c r="AN87" s="281">
        <v>62.609998092503048</v>
      </c>
      <c r="AO87" s="281">
        <f>SUM(AO82:AO86)</f>
        <v>63.410705417212327</v>
      </c>
      <c r="AP87" s="281">
        <v>64.211412741921606</v>
      </c>
      <c r="AQ87" s="281">
        <v>58.227407543576902</v>
      </c>
      <c r="AR87" s="281">
        <v>52.243402345232198</v>
      </c>
    </row>
    <row r="88" spans="1:45">
      <c r="A88" s="91" t="s">
        <v>293</v>
      </c>
      <c r="B88" s="83">
        <v>18.443083774402645</v>
      </c>
      <c r="C88" s="83">
        <v>18.71448511950716</v>
      </c>
      <c r="D88" s="83">
        <v>19.404871288374373</v>
      </c>
      <c r="E88" s="83">
        <v>19.126927940042432</v>
      </c>
      <c r="F88" s="83">
        <v>18.74012625040676</v>
      </c>
      <c r="G88" s="83">
        <v>18.034517540069654</v>
      </c>
      <c r="H88" s="83">
        <v>18.914129869560906</v>
      </c>
      <c r="I88" s="83">
        <v>18.655330169249197</v>
      </c>
      <c r="J88" s="83">
        <v>18.491069701167255</v>
      </c>
      <c r="K88" s="83">
        <v>18.51140177222948</v>
      </c>
      <c r="L88" s="83">
        <v>18.60849196794441</v>
      </c>
      <c r="M88" s="83">
        <v>18.123545878048166</v>
      </c>
      <c r="N88" s="83">
        <v>16.777034405891726</v>
      </c>
      <c r="O88" s="83">
        <v>15.919854851040292</v>
      </c>
      <c r="P88" s="83">
        <v>16.610232491993067</v>
      </c>
      <c r="Q88" s="83">
        <v>16.06629655536025</v>
      </c>
      <c r="R88" s="83">
        <v>15.552076893769993</v>
      </c>
      <c r="S88" s="83">
        <v>14.603713340558533</v>
      </c>
      <c r="T88" s="83">
        <v>14.468179730227654</v>
      </c>
      <c r="U88" s="83">
        <v>14.020731682218667</v>
      </c>
      <c r="V88" s="83">
        <v>13.856537940160329</v>
      </c>
      <c r="W88" s="83">
        <v>12.725584347045857</v>
      </c>
      <c r="X88" s="83">
        <v>12.378250198305601</v>
      </c>
      <c r="Y88" s="83">
        <v>12.287058542787202</v>
      </c>
      <c r="Z88" s="83">
        <v>11.637272548225884</v>
      </c>
      <c r="AA88" s="83">
        <v>11.027198729957551</v>
      </c>
      <c r="AB88" s="83">
        <v>10.17506442983713</v>
      </c>
      <c r="AC88" s="83">
        <v>10.122908723019155</v>
      </c>
      <c r="AD88" s="83">
        <v>10.375741269156437</v>
      </c>
      <c r="AE88" s="83">
        <v>10.382484997412636</v>
      </c>
      <c r="AF88" s="83">
        <v>10.571280713766431</v>
      </c>
      <c r="AG88" s="83">
        <v>11.109470537363707</v>
      </c>
      <c r="AH88" s="83">
        <v>10.741020572074502</v>
      </c>
      <c r="AI88" s="277">
        <v>10.716327323359568</v>
      </c>
      <c r="AJ88" s="299">
        <v>10.380988242759173</v>
      </c>
      <c r="AK88" s="513">
        <f t="shared" ref="AK88:AO88" si="7">AK90</f>
        <v>12.417931738048557</v>
      </c>
      <c r="AL88" s="83">
        <f>AL90</f>
        <v>11.661957266060798</v>
      </c>
      <c r="AM88" s="83">
        <f t="shared" ref="AM88" si="8">AM90</f>
        <v>9.1442386801912612</v>
      </c>
      <c r="AN88" s="83">
        <f>AN90</f>
        <v>6.6265200943217257</v>
      </c>
      <c r="AO88" s="83">
        <f t="shared" si="7"/>
        <v>6.5160559498200579</v>
      </c>
      <c r="AP88" s="83">
        <f>AP90</f>
        <v>6.40559180531839</v>
      </c>
      <c r="AQ88" s="83">
        <f>AQ90</f>
        <v>5.094540262730777</v>
      </c>
      <c r="AR88" s="83">
        <f>AR90</f>
        <v>3.7647291740788678</v>
      </c>
    </row>
    <row r="89" spans="1:45">
      <c r="A89" s="91" t="s">
        <v>294</v>
      </c>
      <c r="B89" s="83">
        <v>2.6555303615253325</v>
      </c>
      <c r="C89" s="83">
        <v>2.6431148508968629</v>
      </c>
      <c r="D89" s="83">
        <v>2.6761244996158191</v>
      </c>
      <c r="E89" s="83">
        <v>2.4542695531788596</v>
      </c>
      <c r="F89" s="83">
        <v>2.5507607404514308</v>
      </c>
      <c r="G89" s="83">
        <v>2.2772776324249309</v>
      </c>
      <c r="H89" s="83">
        <v>2.2849711550856546</v>
      </c>
      <c r="I89" s="83">
        <v>2.3171438206614985</v>
      </c>
      <c r="J89" s="83">
        <v>1.9858628959678115</v>
      </c>
      <c r="K89" s="83">
        <v>1.984700716798788</v>
      </c>
      <c r="L89" s="83">
        <v>1.9850758543713523</v>
      </c>
      <c r="M89" s="83">
        <v>1.6411188188749901</v>
      </c>
      <c r="N89" s="83">
        <v>1.6323740661979385</v>
      </c>
      <c r="O89" s="83">
        <v>1.6218498989219878</v>
      </c>
      <c r="P89" s="83">
        <v>1.7576979923686982</v>
      </c>
      <c r="Q89" s="83">
        <v>1.8631957365120062</v>
      </c>
      <c r="R89" s="83">
        <v>2.0065701012812514</v>
      </c>
      <c r="S89" s="83">
        <v>1.8787091482651701</v>
      </c>
      <c r="T89" s="83">
        <v>1.9114443331034532</v>
      </c>
      <c r="U89" s="83">
        <v>1.9683136568077182</v>
      </c>
      <c r="V89" s="83">
        <v>2.1397506494445215</v>
      </c>
      <c r="W89" s="83">
        <v>1.8459453077092203</v>
      </c>
      <c r="X89" s="83">
        <v>1.8436114545642552</v>
      </c>
      <c r="Y89" s="83">
        <v>1.8614154140421593</v>
      </c>
      <c r="Z89" s="83">
        <v>1.8667408248354815</v>
      </c>
      <c r="AA89" s="83">
        <v>1.8412980439159656</v>
      </c>
      <c r="AB89" s="83">
        <v>1.8145297082425225</v>
      </c>
      <c r="AC89" s="83">
        <v>1.9151376139508658</v>
      </c>
      <c r="AD89" s="83">
        <v>1.9556161277753987</v>
      </c>
      <c r="AE89" s="83">
        <v>1.9282282933080146</v>
      </c>
      <c r="AF89" s="83">
        <v>1.9894222468678071</v>
      </c>
      <c r="AG89" s="83">
        <v>2.0356532633457274</v>
      </c>
      <c r="AH89" s="83">
        <v>2.1775316972976007</v>
      </c>
      <c r="AI89" s="277">
        <v>2.0415696073819025</v>
      </c>
      <c r="AJ89" s="300">
        <v>1.90969499185483</v>
      </c>
      <c r="AK89" s="513"/>
      <c r="AL89" s="83"/>
      <c r="AM89" s="83"/>
      <c r="AN89" s="83"/>
      <c r="AO89" s="83"/>
      <c r="AP89" s="83"/>
      <c r="AQ89" s="83"/>
      <c r="AR89" s="83"/>
    </row>
    <row r="90" spans="1:45">
      <c r="A90" s="107" t="s">
        <v>295</v>
      </c>
      <c r="B90" s="108">
        <v>21.098614135927978</v>
      </c>
      <c r="C90" s="108">
        <v>21.357599970404024</v>
      </c>
      <c r="D90" s="108">
        <v>22.080995787990194</v>
      </c>
      <c r="E90" s="108">
        <v>21.581197493221293</v>
      </c>
      <c r="F90" s="108">
        <v>21.290886990858191</v>
      </c>
      <c r="G90" s="108">
        <v>20.311795172494584</v>
      </c>
      <c r="H90" s="108">
        <v>21.199101024646559</v>
      </c>
      <c r="I90" s="108">
        <v>20.972473989910696</v>
      </c>
      <c r="J90" s="108">
        <v>20.476932597135068</v>
      </c>
      <c r="K90" s="108">
        <v>20.496102489028267</v>
      </c>
      <c r="L90" s="108">
        <v>20.593567822315762</v>
      </c>
      <c r="M90" s="108">
        <v>19.764664696923155</v>
      </c>
      <c r="N90" s="108">
        <v>18.409408472089666</v>
      </c>
      <c r="O90" s="108">
        <v>17.541704749962278</v>
      </c>
      <c r="P90" s="108">
        <v>18.367930484361764</v>
      </c>
      <c r="Q90" s="108">
        <v>17.929492291872258</v>
      </c>
      <c r="R90" s="108">
        <v>17.558646995051244</v>
      </c>
      <c r="S90" s="108">
        <v>16.482422488823705</v>
      </c>
      <c r="T90" s="108">
        <v>16.379624063331107</v>
      </c>
      <c r="U90" s="108">
        <v>15.989045339026385</v>
      </c>
      <c r="V90" s="108">
        <v>15.996288589604852</v>
      </c>
      <c r="W90" s="108">
        <v>14.571529654755077</v>
      </c>
      <c r="X90" s="108">
        <v>14.221861652869856</v>
      </c>
      <c r="Y90" s="108">
        <v>14.148473956829362</v>
      </c>
      <c r="Z90" s="108">
        <v>13.504013373061365</v>
      </c>
      <c r="AA90" s="108">
        <v>12.868496773873517</v>
      </c>
      <c r="AB90" s="108">
        <v>11.989594138079653</v>
      </c>
      <c r="AC90" s="108">
        <v>12.038046336970019</v>
      </c>
      <c r="AD90" s="108">
        <v>12.331357396931836</v>
      </c>
      <c r="AE90" s="108">
        <v>12.310713290720651</v>
      </c>
      <c r="AF90" s="108">
        <v>12.560702960634238</v>
      </c>
      <c r="AG90" s="108">
        <v>13.145123800709435</v>
      </c>
      <c r="AH90" s="108">
        <v>12.918552269372103</v>
      </c>
      <c r="AI90" s="282">
        <v>12.75789693074147</v>
      </c>
      <c r="AJ90" s="282">
        <v>12.290683234614002</v>
      </c>
      <c r="AK90" s="282">
        <v>12.417931738048557</v>
      </c>
      <c r="AL90" s="282">
        <v>11.661957266060798</v>
      </c>
      <c r="AM90" s="282">
        <f>AL90+(AN90-AL90)/2</f>
        <v>9.1442386801912612</v>
      </c>
      <c r="AN90" s="282">
        <v>6.6265200943217257</v>
      </c>
      <c r="AO90" s="282">
        <f>AN90+(AP90-AN90)/2</f>
        <v>6.5160559498200579</v>
      </c>
      <c r="AP90" s="282">
        <v>6.40559180531839</v>
      </c>
      <c r="AQ90" s="282">
        <v>5.094540262730777</v>
      </c>
      <c r="AR90" s="282">
        <v>3.7647291740788678</v>
      </c>
    </row>
    <row r="91" spans="1:45">
      <c r="A91" s="109" t="s">
        <v>296</v>
      </c>
      <c r="B91" s="110">
        <v>53755.23260429762</v>
      </c>
      <c r="C91" s="110">
        <v>52750.50943755902</v>
      </c>
      <c r="D91" s="110">
        <v>51947.538154820199</v>
      </c>
      <c r="E91" s="110">
        <v>51619.469306547267</v>
      </c>
      <c r="F91" s="110">
        <v>51900.139299643743</v>
      </c>
      <c r="G91" s="110">
        <v>52190.02802685494</v>
      </c>
      <c r="H91" s="110">
        <v>52199.873104647566</v>
      </c>
      <c r="I91" s="110">
        <v>51732.301414199414</v>
      </c>
      <c r="J91" s="110">
        <v>51534.090733013749</v>
      </c>
      <c r="K91" s="110">
        <v>51577.93907289597</v>
      </c>
      <c r="L91" s="110">
        <v>53419.964364171152</v>
      </c>
      <c r="M91" s="110">
        <v>53545.617431997169</v>
      </c>
      <c r="N91" s="110">
        <v>52466.349674158031</v>
      </c>
      <c r="O91" s="110">
        <v>50920.154707750822</v>
      </c>
      <c r="P91" s="110">
        <v>50339.815847322454</v>
      </c>
      <c r="Q91" s="110">
        <v>50196.963646145879</v>
      </c>
      <c r="R91" s="110">
        <v>50170.590273316906</v>
      </c>
      <c r="S91" s="110">
        <v>50513.030850251758</v>
      </c>
      <c r="T91" s="110">
        <v>51260.003388247424</v>
      </c>
      <c r="U91" s="110">
        <v>50672.64156380947</v>
      </c>
      <c r="V91" s="110">
        <v>50091.587399730313</v>
      </c>
      <c r="W91" s="110">
        <v>49293.192515479219</v>
      </c>
      <c r="X91" s="110">
        <v>48715.504283430979</v>
      </c>
      <c r="Y91" s="110">
        <v>48702.781065887029</v>
      </c>
      <c r="Z91" s="110">
        <v>49269.462125443693</v>
      </c>
      <c r="AA91" s="110">
        <v>49380.757589309942</v>
      </c>
      <c r="AB91" s="110">
        <v>49004.85022604197</v>
      </c>
      <c r="AC91" s="110">
        <v>48560.628457559898</v>
      </c>
      <c r="AD91" s="110">
        <v>47837.142454989691</v>
      </c>
      <c r="AE91" s="110">
        <v>47048.813861346622</v>
      </c>
      <c r="AF91" s="110">
        <v>46268.010446413224</v>
      </c>
      <c r="AG91" s="110">
        <v>45172.604639411526</v>
      </c>
      <c r="AH91" s="110">
        <v>44204.387753755189</v>
      </c>
      <c r="AI91" s="283">
        <v>43401.902242244032</v>
      </c>
      <c r="AJ91" s="283">
        <v>43020.592871547815</v>
      </c>
      <c r="AK91" s="283">
        <v>41958.176127552375</v>
      </c>
      <c r="AL91" s="283">
        <v>41781.138056095726</v>
      </c>
      <c r="AM91" s="283">
        <f>SUM(AM81,AM87,AM90)</f>
        <v>41409.856384088016</v>
      </c>
      <c r="AN91" s="283">
        <v>41038.574712080306</v>
      </c>
      <c r="AO91" s="283">
        <f>SUM(AO81,AO87,AO90)</f>
        <v>40527.639407879069</v>
      </c>
      <c r="AP91" s="283">
        <v>40016.704103677846</v>
      </c>
      <c r="AQ91" s="283">
        <v>33281.996389167951</v>
      </c>
      <c r="AR91" s="283">
        <v>27191.568532996913</v>
      </c>
    </row>
    <row r="92" spans="1:45">
      <c r="A92" s="111"/>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L92" s="277"/>
    </row>
    <row r="93" spans="1:45">
      <c r="A93" s="113" t="s">
        <v>39</v>
      </c>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511" t="s">
        <v>262</v>
      </c>
      <c r="AL93" s="511"/>
      <c r="AM93" s="511"/>
      <c r="AN93" s="511"/>
      <c r="AO93" s="511"/>
      <c r="AP93" s="511"/>
      <c r="AQ93" s="511"/>
      <c r="AR93" s="511"/>
    </row>
    <row r="94" spans="1:45" ht="39.6">
      <c r="A94" s="66" t="s">
        <v>340</v>
      </c>
      <c r="B94" s="67">
        <v>1990</v>
      </c>
      <c r="C94" s="67">
        <v>1991</v>
      </c>
      <c r="D94" s="67">
        <v>1992</v>
      </c>
      <c r="E94" s="67">
        <v>1993</v>
      </c>
      <c r="F94" s="67">
        <v>1994</v>
      </c>
      <c r="G94" s="67">
        <v>1995</v>
      </c>
      <c r="H94" s="67">
        <v>1996</v>
      </c>
      <c r="I94" s="67">
        <v>1997</v>
      </c>
      <c r="J94" s="67">
        <v>1998</v>
      </c>
      <c r="K94" s="67">
        <v>1999</v>
      </c>
      <c r="L94" s="67">
        <v>2000</v>
      </c>
      <c r="M94" s="67">
        <v>2001</v>
      </c>
      <c r="N94" s="67">
        <v>2002</v>
      </c>
      <c r="O94" s="67">
        <v>2003</v>
      </c>
      <c r="P94" s="67">
        <v>2004</v>
      </c>
      <c r="Q94" s="67">
        <v>2005</v>
      </c>
      <c r="R94" s="67">
        <v>2006</v>
      </c>
      <c r="S94" s="67">
        <v>2007</v>
      </c>
      <c r="T94" s="67">
        <v>2008</v>
      </c>
      <c r="U94" s="67">
        <v>2009</v>
      </c>
      <c r="V94" s="67">
        <v>2010</v>
      </c>
      <c r="W94" s="67">
        <v>2011</v>
      </c>
      <c r="X94" s="67">
        <v>2012</v>
      </c>
      <c r="Y94" s="67">
        <v>2013</v>
      </c>
      <c r="Z94" s="67">
        <v>2014</v>
      </c>
      <c r="AA94" s="67">
        <v>2015</v>
      </c>
      <c r="AB94" s="67">
        <v>2016</v>
      </c>
      <c r="AC94" s="67">
        <v>2017</v>
      </c>
      <c r="AD94" s="67">
        <v>2018</v>
      </c>
      <c r="AE94" s="67">
        <v>2019</v>
      </c>
      <c r="AF94" s="67">
        <v>2020</v>
      </c>
      <c r="AG94" s="68">
        <v>2021</v>
      </c>
      <c r="AH94" s="68">
        <v>2022</v>
      </c>
      <c r="AI94" s="67">
        <v>2023</v>
      </c>
      <c r="AJ94" s="142">
        <v>2024</v>
      </c>
      <c r="AK94" s="393">
        <v>2025</v>
      </c>
      <c r="AL94" s="394">
        <v>2026</v>
      </c>
      <c r="AM94" s="394">
        <v>2027</v>
      </c>
      <c r="AN94" s="393">
        <v>2028</v>
      </c>
      <c r="AO94" s="394">
        <v>2029</v>
      </c>
      <c r="AP94" s="393">
        <v>2030</v>
      </c>
      <c r="AQ94" s="395">
        <v>2040</v>
      </c>
      <c r="AR94" s="396">
        <v>2050</v>
      </c>
    </row>
    <row r="95" spans="1:45">
      <c r="A95" s="91" t="s">
        <v>297</v>
      </c>
      <c r="B95" s="83">
        <v>34.879380837245186</v>
      </c>
      <c r="C95" s="83">
        <v>39.431127898137575</v>
      </c>
      <c r="D95" s="83">
        <v>43.373709559650536</v>
      </c>
      <c r="E95" s="83">
        <v>46.082445406640389</v>
      </c>
      <c r="F95" s="83">
        <v>48.212354891612975</v>
      </c>
      <c r="G95" s="83">
        <v>52.756723794479001</v>
      </c>
      <c r="H95" s="83">
        <v>53.949167997237566</v>
      </c>
      <c r="I95" s="83">
        <v>53.663691639094353</v>
      </c>
      <c r="J95" s="83">
        <v>52.249009714763275</v>
      </c>
      <c r="K95" s="83">
        <v>50.334694485009244</v>
      </c>
      <c r="L95" s="83">
        <v>49.015009880693505</v>
      </c>
      <c r="M95" s="83">
        <v>47.612241900114583</v>
      </c>
      <c r="N95" s="83">
        <v>45.715600202658635</v>
      </c>
      <c r="O95" s="83">
        <v>44.596042688471641</v>
      </c>
      <c r="P95" s="83">
        <v>42.124867689554257</v>
      </c>
      <c r="Q95" s="83">
        <v>40.085635031386914</v>
      </c>
      <c r="R95" s="83">
        <v>37.242551412566499</v>
      </c>
      <c r="S95" s="83">
        <v>35.192886343165924</v>
      </c>
      <c r="T95" s="83">
        <v>32.484216007039301</v>
      </c>
      <c r="U95" s="83">
        <v>31.115765607087361</v>
      </c>
      <c r="V95" s="83">
        <v>26.755696677138719</v>
      </c>
      <c r="W95" s="83">
        <v>26.350861559337844</v>
      </c>
      <c r="X95" s="83">
        <v>23.460701833616326</v>
      </c>
      <c r="Y95" s="83">
        <v>20.802745656014267</v>
      </c>
      <c r="Z95" s="83">
        <v>18.78301038840555</v>
      </c>
      <c r="AA95" s="83">
        <v>15.668811430852944</v>
      </c>
      <c r="AB95" s="83">
        <v>14.03971133636286</v>
      </c>
      <c r="AC95" s="83">
        <v>12.146304636790843</v>
      </c>
      <c r="AD95" s="83">
        <v>10.306593461679871</v>
      </c>
      <c r="AE95" s="83">
        <v>8.6583227516038406</v>
      </c>
      <c r="AF95" s="83">
        <v>6.0724532166346465</v>
      </c>
      <c r="AG95" s="83">
        <v>5.7658695719777384</v>
      </c>
      <c r="AH95" s="83">
        <v>5.4272533680924431</v>
      </c>
      <c r="AI95" s="277">
        <v>4.6200503864168585</v>
      </c>
      <c r="AJ95" s="277">
        <v>4.0892971031199377</v>
      </c>
      <c r="AK95" s="277">
        <v>3.3980677731596169</v>
      </c>
      <c r="AL95" s="277">
        <v>2.9326120213867357</v>
      </c>
      <c r="AM95" s="277">
        <f t="shared" ref="AM95:AO106" si="9">(AL95+(AN95-AL95)/2)</f>
        <v>1.8444401902532506</v>
      </c>
      <c r="AN95" s="277">
        <v>0.75626835911976564</v>
      </c>
      <c r="AO95" s="277">
        <f t="shared" si="9"/>
        <v>0.58943430740329161</v>
      </c>
      <c r="AP95" s="277">
        <v>0.42260025568681764</v>
      </c>
      <c r="AQ95" s="277">
        <v>3.51502120787529E-2</v>
      </c>
      <c r="AR95" s="277">
        <v>4.4620626853986321E-3</v>
      </c>
      <c r="AS95" s="392">
        <v>1000</v>
      </c>
    </row>
    <row r="96" spans="1:45">
      <c r="A96" s="91" t="s">
        <v>298</v>
      </c>
      <c r="B96" s="83">
        <v>845.29712925691138</v>
      </c>
      <c r="C96" s="83">
        <v>785.41839929400237</v>
      </c>
      <c r="D96" s="83">
        <v>789.72803409544622</v>
      </c>
      <c r="E96" s="83">
        <v>738.05400307067009</v>
      </c>
      <c r="F96" s="83">
        <v>660.16040890091779</v>
      </c>
      <c r="G96" s="83">
        <v>614.65499716817169</v>
      </c>
      <c r="H96" s="83">
        <v>537.58623724978258</v>
      </c>
      <c r="I96" s="83">
        <v>491.67820981214925</v>
      </c>
      <c r="J96" s="83">
        <v>451.93632377887633</v>
      </c>
      <c r="K96" s="83">
        <v>427.71115700846764</v>
      </c>
      <c r="L96" s="83">
        <v>401.2142312668542</v>
      </c>
      <c r="M96" s="83">
        <v>356.84565147724527</v>
      </c>
      <c r="N96" s="83">
        <v>321.10859191534013</v>
      </c>
      <c r="O96" s="83">
        <v>288.90607571184853</v>
      </c>
      <c r="P96" s="83">
        <v>259.22380012930614</v>
      </c>
      <c r="Q96" s="83">
        <v>263.08358059799986</v>
      </c>
      <c r="R96" s="83">
        <v>198.77182857604294</v>
      </c>
      <c r="S96" s="83">
        <v>175.32368421421643</v>
      </c>
      <c r="T96" s="83">
        <v>152.67932689684514</v>
      </c>
      <c r="U96" s="83">
        <v>139.71597110852014</v>
      </c>
      <c r="V96" s="83">
        <v>141.55687145025487</v>
      </c>
      <c r="W96" s="83">
        <v>112.85018190157976</v>
      </c>
      <c r="X96" s="83">
        <v>101.13753260346317</v>
      </c>
      <c r="Y96" s="83">
        <v>94.552594717135563</v>
      </c>
      <c r="Z96" s="83">
        <v>92.499192280260843</v>
      </c>
      <c r="AA96" s="83">
        <v>102.06764689540275</v>
      </c>
      <c r="AB96" s="83">
        <v>102.30488194187703</v>
      </c>
      <c r="AC96" s="83">
        <v>98.936894429490778</v>
      </c>
      <c r="AD96" s="83">
        <v>97.929005285695197</v>
      </c>
      <c r="AE96" s="83">
        <v>99.374734904468085</v>
      </c>
      <c r="AF96" s="83">
        <v>79.469140045327521</v>
      </c>
      <c r="AG96" s="83">
        <v>92.896249527072143</v>
      </c>
      <c r="AH96" s="83">
        <v>95.756354765590686</v>
      </c>
      <c r="AI96" s="277">
        <v>96.727598407623489</v>
      </c>
      <c r="AJ96" s="277">
        <v>98.163467443611609</v>
      </c>
      <c r="AK96" s="277">
        <v>98.205912072301018</v>
      </c>
      <c r="AL96" s="277">
        <v>97.35617381728882</v>
      </c>
      <c r="AM96" s="277">
        <f t="shared" si="9"/>
        <v>95.358880354823469</v>
      </c>
      <c r="AN96" s="277">
        <v>93.361586892358119</v>
      </c>
      <c r="AO96" s="277">
        <f t="shared" si="9"/>
        <v>95.737171231343694</v>
      </c>
      <c r="AP96" s="277">
        <v>98.112755570329284</v>
      </c>
      <c r="AQ96" s="277">
        <v>49.862396880673153</v>
      </c>
      <c r="AR96" s="277">
        <v>0.36105381088209398</v>
      </c>
    </row>
    <row r="97" spans="1:46">
      <c r="A97" s="91" t="s">
        <v>299</v>
      </c>
      <c r="B97" s="83">
        <v>0.22213186269981117</v>
      </c>
      <c r="C97" s="83">
        <v>0.31092110419925895</v>
      </c>
      <c r="D97" s="83">
        <v>0.23608481268077713</v>
      </c>
      <c r="E97" s="83">
        <v>0.19814706105755778</v>
      </c>
      <c r="F97" s="83">
        <v>0.16636056562735105</v>
      </c>
      <c r="G97" s="83">
        <v>0.11410870612537262</v>
      </c>
      <c r="H97" s="83">
        <v>0.2385611117141796</v>
      </c>
      <c r="I97" s="83">
        <v>0.48522485928717363</v>
      </c>
      <c r="J97" s="83">
        <v>0.71283871502632123</v>
      </c>
      <c r="K97" s="83">
        <v>0.88421523082072251</v>
      </c>
      <c r="L97" s="83">
        <v>0.71541510537717989</v>
      </c>
      <c r="M97" s="83">
        <v>0.87854335725718669</v>
      </c>
      <c r="N97" s="83">
        <v>0.74662412705760495</v>
      </c>
      <c r="O97" s="83">
        <v>0.46063664010664374</v>
      </c>
      <c r="P97" s="83">
        <v>0.38272205377768426</v>
      </c>
      <c r="Q97" s="83">
        <v>0.31900880105977852</v>
      </c>
      <c r="R97" s="83">
        <v>0.39272776758281752</v>
      </c>
      <c r="S97" s="83">
        <v>0.2839942618656347</v>
      </c>
      <c r="T97" s="83">
        <v>0.22272837548557836</v>
      </c>
      <c r="U97" s="83">
        <v>0.18123229706108718</v>
      </c>
      <c r="V97" s="83">
        <v>0.17550269266573545</v>
      </c>
      <c r="W97" s="83">
        <v>0.2425985715574204</v>
      </c>
      <c r="X97" s="83">
        <v>0.19524824516493566</v>
      </c>
      <c r="Y97" s="83">
        <v>0.15288787945167578</v>
      </c>
      <c r="Z97" s="83">
        <v>8.8694389513697847E-2</v>
      </c>
      <c r="AA97" s="83">
        <v>6.5240245147414222E-2</v>
      </c>
      <c r="AB97" s="83">
        <v>4.8851360092291539E-2</v>
      </c>
      <c r="AC97" s="83">
        <v>3.3513775864785697E-2</v>
      </c>
      <c r="AD97" s="83">
        <v>2.360382023536426E-2</v>
      </c>
      <c r="AE97" s="83">
        <v>1.6470149728603382E-2</v>
      </c>
      <c r="AF97" s="83">
        <v>6.8350527543038957E-3</v>
      </c>
      <c r="AG97" s="83">
        <v>1.0171453676450039E-2</v>
      </c>
      <c r="AH97" s="83">
        <v>1.4111256246186182E-2</v>
      </c>
      <c r="AI97" s="277">
        <v>1.3970102775230028E-2</v>
      </c>
      <c r="AJ97" s="277">
        <v>1.2090393765519437E-2</v>
      </c>
      <c r="AK97" s="277">
        <v>9.7618021282571393E-3</v>
      </c>
      <c r="AL97" s="277">
        <v>7.8331453702361956E-3</v>
      </c>
      <c r="AM97" s="277">
        <f t="shared" si="9"/>
        <v>3.9165726851180978E-3</v>
      </c>
      <c r="AN97" s="277">
        <v>0</v>
      </c>
      <c r="AO97" s="277">
        <f t="shared" si="9"/>
        <v>0</v>
      </c>
      <c r="AP97" s="277">
        <v>0</v>
      </c>
      <c r="AQ97" s="277">
        <v>0</v>
      </c>
      <c r="AR97" s="277">
        <v>0</v>
      </c>
    </row>
    <row r="98" spans="1:46">
      <c r="A98" s="91" t="s">
        <v>300</v>
      </c>
      <c r="B98" s="83">
        <v>5.6415944314130422E-3</v>
      </c>
      <c r="C98" s="83">
        <v>2.645168003864791E-2</v>
      </c>
      <c r="D98" s="83">
        <v>2.4427252618961507E-2</v>
      </c>
      <c r="E98" s="83">
        <v>0.15617947053805448</v>
      </c>
      <c r="F98" s="83">
        <v>7.2957474936295022E-2</v>
      </c>
      <c r="G98" s="83">
        <v>2.3008840442984568E-2</v>
      </c>
      <c r="H98" s="83">
        <v>3.8555548252457141E-2</v>
      </c>
      <c r="I98" s="83">
        <v>2.5751889558758685E-2</v>
      </c>
      <c r="J98" s="83">
        <v>2.20861766270893E-2</v>
      </c>
      <c r="K98" s="83">
        <v>1.8622608064590391E-2</v>
      </c>
      <c r="L98" s="83">
        <v>3.221040856420062E-2</v>
      </c>
      <c r="M98" s="83">
        <v>0.30491879064518318</v>
      </c>
      <c r="N98" s="83">
        <v>0.55110920299636135</v>
      </c>
      <c r="O98" s="83">
        <v>0.37285778470525971</v>
      </c>
      <c r="P98" s="83">
        <v>0.3795730480329178</v>
      </c>
      <c r="Q98" s="83">
        <v>0.47967007808112505</v>
      </c>
      <c r="R98" s="83">
        <v>0.7683025728389401</v>
      </c>
      <c r="S98" s="83">
        <v>0.55330919428176029</v>
      </c>
      <c r="T98" s="83">
        <v>0.59003172059791431</v>
      </c>
      <c r="U98" s="83">
        <v>0.51157807206128014</v>
      </c>
      <c r="V98" s="83">
        <v>0.39529364758153529</v>
      </c>
      <c r="W98" s="83">
        <v>1.2731625513480918</v>
      </c>
      <c r="X98" s="83">
        <v>1.3488055240380725</v>
      </c>
      <c r="Y98" s="83">
        <v>1.3211296916875159</v>
      </c>
      <c r="Z98" s="83">
        <v>0.6006792184362405</v>
      </c>
      <c r="AA98" s="83">
        <v>0.39509528226215412</v>
      </c>
      <c r="AB98" s="83">
        <v>0.31079462026138327</v>
      </c>
      <c r="AC98" s="83">
        <v>0.22992063471493829</v>
      </c>
      <c r="AD98" s="83">
        <v>0.18463785754012663</v>
      </c>
      <c r="AE98" s="83">
        <v>0.14054229000325272</v>
      </c>
      <c r="AF98" s="83">
        <v>0.10164260342388413</v>
      </c>
      <c r="AG98" s="83">
        <v>0.11612761587995971</v>
      </c>
      <c r="AH98" s="83">
        <v>9.9309502241226547E-2</v>
      </c>
      <c r="AI98" s="277">
        <v>9.1529293604314402E-2</v>
      </c>
      <c r="AJ98" s="277">
        <v>7.7749722832174642E-2</v>
      </c>
      <c r="AK98" s="277">
        <v>6.8596185325554615E-2</v>
      </c>
      <c r="AL98" s="277">
        <v>7.2801016012717087E-2</v>
      </c>
      <c r="AM98" s="277">
        <f t="shared" si="9"/>
        <v>9.3811861628599585E-2</v>
      </c>
      <c r="AN98" s="277">
        <v>0.11482270724448207</v>
      </c>
      <c r="AO98" s="277">
        <f t="shared" si="9"/>
        <v>0.11544931241697448</v>
      </c>
      <c r="AP98" s="277">
        <v>0.11607591758946689</v>
      </c>
      <c r="AQ98" s="277">
        <v>4.1282938856833797E-2</v>
      </c>
      <c r="AR98" s="277">
        <v>4.9940438174306755E-4</v>
      </c>
    </row>
    <row r="99" spans="1:46">
      <c r="A99" s="91" t="s">
        <v>301</v>
      </c>
      <c r="B99" s="83">
        <v>0</v>
      </c>
      <c r="C99" s="83">
        <v>0</v>
      </c>
      <c r="D99" s="83">
        <v>0</v>
      </c>
      <c r="E99" s="83">
        <v>0</v>
      </c>
      <c r="F99" s="83">
        <v>0</v>
      </c>
      <c r="G99" s="83">
        <v>0</v>
      </c>
      <c r="H99" s="83">
        <v>0</v>
      </c>
      <c r="I99" s="83">
        <v>0</v>
      </c>
      <c r="J99" s="83">
        <v>0</v>
      </c>
      <c r="K99" s="83">
        <v>0</v>
      </c>
      <c r="L99" s="83">
        <v>0</v>
      </c>
      <c r="M99" s="83">
        <v>0</v>
      </c>
      <c r="N99" s="83">
        <v>0</v>
      </c>
      <c r="O99" s="83">
        <v>0</v>
      </c>
      <c r="P99" s="83">
        <v>0</v>
      </c>
      <c r="Q99" s="83">
        <v>0</v>
      </c>
      <c r="R99" s="83">
        <v>0</v>
      </c>
      <c r="S99" s="83">
        <v>0</v>
      </c>
      <c r="T99" s="83">
        <v>0</v>
      </c>
      <c r="U99" s="83">
        <v>0</v>
      </c>
      <c r="V99" s="83">
        <v>0</v>
      </c>
      <c r="W99" s="83">
        <v>0</v>
      </c>
      <c r="X99" s="83">
        <v>0</v>
      </c>
      <c r="Y99" s="83">
        <v>0</v>
      </c>
      <c r="Z99" s="83">
        <v>0</v>
      </c>
      <c r="AA99" s="83">
        <v>0</v>
      </c>
      <c r="AB99" s="83">
        <v>0</v>
      </c>
      <c r="AC99" s="83">
        <v>0</v>
      </c>
      <c r="AD99" s="83">
        <v>0</v>
      </c>
      <c r="AE99" s="83">
        <v>0</v>
      </c>
      <c r="AF99" s="83">
        <v>0</v>
      </c>
      <c r="AG99" s="83">
        <v>0</v>
      </c>
      <c r="AH99" s="83">
        <v>0</v>
      </c>
      <c r="AI99" s="277">
        <v>0</v>
      </c>
      <c r="AJ99" s="277">
        <v>0</v>
      </c>
      <c r="AK99" s="277">
        <v>0</v>
      </c>
      <c r="AL99" s="277">
        <v>0</v>
      </c>
      <c r="AM99" s="277">
        <f t="shared" si="9"/>
        <v>0</v>
      </c>
      <c r="AN99" s="277">
        <v>0</v>
      </c>
      <c r="AO99" s="277">
        <f t="shared" si="9"/>
        <v>0</v>
      </c>
      <c r="AP99" s="277">
        <v>0</v>
      </c>
      <c r="AQ99" s="277">
        <v>0</v>
      </c>
      <c r="AR99" s="277">
        <v>0</v>
      </c>
    </row>
    <row r="100" spans="1:46">
      <c r="A100" s="91" t="s">
        <v>302</v>
      </c>
      <c r="B100" s="83">
        <v>23.057250829079106</v>
      </c>
      <c r="C100" s="83">
        <v>27.394001304955001</v>
      </c>
      <c r="D100" s="83">
        <v>30.4838555345701</v>
      </c>
      <c r="E100" s="83">
        <v>33.445749813149497</v>
      </c>
      <c r="F100" s="83">
        <v>34.494701163960528</v>
      </c>
      <c r="G100" s="83">
        <v>33.555370273141385</v>
      </c>
      <c r="H100" s="83">
        <v>26.777563940691735</v>
      </c>
      <c r="I100" s="83">
        <v>26.843932928858077</v>
      </c>
      <c r="J100" s="83">
        <v>24.820657319878951</v>
      </c>
      <c r="K100" s="83">
        <v>22.301058799342009</v>
      </c>
      <c r="L100" s="83">
        <v>19.96396595222912</v>
      </c>
      <c r="M100" s="83">
        <v>18.270607265328568</v>
      </c>
      <c r="N100" s="83">
        <v>16.872052719891933</v>
      </c>
      <c r="O100" s="83">
        <v>15.526839701401268</v>
      </c>
      <c r="P100" s="83">
        <v>13.997105747069293</v>
      </c>
      <c r="Q100" s="83">
        <v>13.942840033802733</v>
      </c>
      <c r="R100" s="83">
        <v>11.538253741588573</v>
      </c>
      <c r="S100" s="83">
        <v>10.04436870820475</v>
      </c>
      <c r="T100" s="83">
        <v>8.4745296338031668</v>
      </c>
      <c r="U100" s="83">
        <v>7.5154348441971637</v>
      </c>
      <c r="V100" s="83">
        <v>8.017006689474945</v>
      </c>
      <c r="W100" s="83">
        <v>6.3679927500324336</v>
      </c>
      <c r="X100" s="83">
        <v>5.556763975846998</v>
      </c>
      <c r="Y100" s="83">
        <v>4.8103004271358127</v>
      </c>
      <c r="Z100" s="83">
        <v>4.1584392196669278</v>
      </c>
      <c r="AA100" s="83">
        <v>4.6114430343648047</v>
      </c>
      <c r="AB100" s="83">
        <v>4.1460585013771629</v>
      </c>
      <c r="AC100" s="83">
        <v>3.6386065939905321</v>
      </c>
      <c r="AD100" s="83">
        <v>3.1883854218407466</v>
      </c>
      <c r="AE100" s="83">
        <v>2.6777966793721637</v>
      </c>
      <c r="AF100" s="83">
        <v>2.4481063388803053</v>
      </c>
      <c r="AG100" s="83">
        <v>1.9724113065905688</v>
      </c>
      <c r="AH100" s="83">
        <v>1.7010969908008495</v>
      </c>
      <c r="AI100" s="277">
        <v>1.4504211986090259</v>
      </c>
      <c r="AJ100" s="277">
        <v>1.2692972070999042</v>
      </c>
      <c r="AK100" s="277">
        <v>1.0547090193636268</v>
      </c>
      <c r="AL100" s="277">
        <v>0.93189256563059153</v>
      </c>
      <c r="AM100" s="277">
        <f t="shared" si="9"/>
        <v>0.6028049024025347</v>
      </c>
      <c r="AN100" s="277">
        <v>0.27371723917447788</v>
      </c>
      <c r="AO100" s="277">
        <f t="shared" si="9"/>
        <v>0.24387690072518026</v>
      </c>
      <c r="AP100" s="277">
        <v>0.21403656227588264</v>
      </c>
      <c r="AQ100" s="277">
        <v>6.1268716609395923E-2</v>
      </c>
      <c r="AR100" s="277">
        <v>3.1952395829015572E-3</v>
      </c>
    </row>
    <row r="101" spans="1:46">
      <c r="A101" s="91" t="s">
        <v>303</v>
      </c>
      <c r="B101" s="83">
        <v>126.37779138278958</v>
      </c>
      <c r="C101" s="83">
        <v>157.52037276601826</v>
      </c>
      <c r="D101" s="83">
        <v>142.11253609808992</v>
      </c>
      <c r="E101" s="83">
        <v>125.65119618795299</v>
      </c>
      <c r="F101" s="83">
        <v>117.79889937992155</v>
      </c>
      <c r="G101" s="83">
        <v>78.709996269150224</v>
      </c>
      <c r="H101" s="83">
        <v>96.238016508825496</v>
      </c>
      <c r="I101" s="83">
        <v>90.781847225928985</v>
      </c>
      <c r="J101" s="83">
        <v>85.121135225299938</v>
      </c>
      <c r="K101" s="83">
        <v>79.076716029135781</v>
      </c>
      <c r="L101" s="83">
        <v>44.396699071174126</v>
      </c>
      <c r="M101" s="83">
        <v>60.213775027975103</v>
      </c>
      <c r="N101" s="83">
        <v>53.094181087029064</v>
      </c>
      <c r="O101" s="83">
        <v>46.826044966977037</v>
      </c>
      <c r="P101" s="83">
        <v>41.998935251198354</v>
      </c>
      <c r="Q101" s="83">
        <v>19.575378485134472</v>
      </c>
      <c r="R101" s="83">
        <v>33.390700250732543</v>
      </c>
      <c r="S101" s="83">
        <v>29.129780608473943</v>
      </c>
      <c r="T101" s="83">
        <v>21.448771411890277</v>
      </c>
      <c r="U101" s="83">
        <v>19.129020603297064</v>
      </c>
      <c r="V101" s="83">
        <v>6.2469041813713782</v>
      </c>
      <c r="W101" s="83">
        <v>13.643513415950551</v>
      </c>
      <c r="X101" s="83">
        <v>12.778542686876667</v>
      </c>
      <c r="Y101" s="83">
        <v>12.385235349704226</v>
      </c>
      <c r="Z101" s="83">
        <v>10.651784196668782</v>
      </c>
      <c r="AA101" s="83">
        <v>3.0251614950645092</v>
      </c>
      <c r="AB101" s="83">
        <v>2.7864395635150796</v>
      </c>
      <c r="AC101" s="83">
        <v>2.5156117156871769</v>
      </c>
      <c r="AD101" s="83">
        <v>2.3237734463285484</v>
      </c>
      <c r="AE101" s="83">
        <v>2.1969739634277277</v>
      </c>
      <c r="AF101" s="83">
        <v>1.7725099701587852</v>
      </c>
      <c r="AG101" s="83">
        <v>1.8487291271667652</v>
      </c>
      <c r="AH101" s="83">
        <v>1.7453630310027823</v>
      </c>
      <c r="AI101" s="277">
        <v>1.8555478871068876</v>
      </c>
      <c r="AJ101" s="277">
        <v>2.2222823004270675</v>
      </c>
      <c r="AK101" s="277">
        <v>2.4450949479390283</v>
      </c>
      <c r="AL101" s="277">
        <v>2.5258232336982469</v>
      </c>
      <c r="AM101" s="277">
        <f t="shared" si="9"/>
        <v>2.444095600869999</v>
      </c>
      <c r="AN101" s="277">
        <v>2.3623679680417506</v>
      </c>
      <c r="AO101" s="277">
        <f t="shared" si="9"/>
        <v>2.5221737341470143</v>
      </c>
      <c r="AP101" s="277">
        <v>2.6819795002522779</v>
      </c>
      <c r="AQ101" s="277">
        <v>1.6459190554832406</v>
      </c>
      <c r="AR101" s="277">
        <v>5.9191952640411582E-3</v>
      </c>
    </row>
    <row r="102" spans="1:46">
      <c r="A102" s="91" t="s">
        <v>304</v>
      </c>
      <c r="B102" s="83">
        <v>0.45827869455247294</v>
      </c>
      <c r="C102" s="83">
        <v>0.73297848980160485</v>
      </c>
      <c r="D102" s="83">
        <v>0.64741944898084047</v>
      </c>
      <c r="E102" s="83">
        <v>0.57586892629979591</v>
      </c>
      <c r="F102" s="83">
        <v>0.51270307701318607</v>
      </c>
      <c r="G102" s="83">
        <v>0.23928609721670752</v>
      </c>
      <c r="H102" s="83">
        <v>0.74812020715858263</v>
      </c>
      <c r="I102" s="83">
        <v>1.4534057417407211</v>
      </c>
      <c r="J102" s="83">
        <v>2.4882182366373011</v>
      </c>
      <c r="K102" s="83">
        <v>3.1904235564644408</v>
      </c>
      <c r="L102" s="83">
        <v>1.8255968846052755</v>
      </c>
      <c r="M102" s="83">
        <v>2.8659739618232427</v>
      </c>
      <c r="N102" s="83">
        <v>2.4315870427794843</v>
      </c>
      <c r="O102" s="83">
        <v>2.2811051298860772</v>
      </c>
      <c r="P102" s="83">
        <v>1.9762987703200552</v>
      </c>
      <c r="Q102" s="83">
        <v>0.99403251019709393</v>
      </c>
      <c r="R102" s="83">
        <v>1.326102697155829</v>
      </c>
      <c r="S102" s="83">
        <v>1.1614662985849067</v>
      </c>
      <c r="T102" s="83">
        <v>1.0346714167585815</v>
      </c>
      <c r="U102" s="83">
        <v>0.83719447541701675</v>
      </c>
      <c r="V102" s="83">
        <v>0.82427176497073629</v>
      </c>
      <c r="W102" s="83">
        <v>0.70253894688279028</v>
      </c>
      <c r="X102" s="83">
        <v>0.55311056047752416</v>
      </c>
      <c r="Y102" s="83">
        <v>0.42481924278996608</v>
      </c>
      <c r="Z102" s="83">
        <v>0.35890846411041605</v>
      </c>
      <c r="AA102" s="83">
        <v>0.46843590940311719</v>
      </c>
      <c r="AB102" s="83">
        <v>0.41508014578766073</v>
      </c>
      <c r="AC102" s="83">
        <v>0.32383295438574794</v>
      </c>
      <c r="AD102" s="83">
        <v>0.24113646007411149</v>
      </c>
      <c r="AE102" s="83">
        <v>0.16437523278089114</v>
      </c>
      <c r="AF102" s="83">
        <v>7.0812803832457999E-2</v>
      </c>
      <c r="AG102" s="83">
        <v>9.6750252952076954E-2</v>
      </c>
      <c r="AH102" s="83">
        <v>0.10628933589094446</v>
      </c>
      <c r="AI102" s="277">
        <v>8.1641111567525931E-2</v>
      </c>
      <c r="AJ102" s="277">
        <v>5.2889274533094471E-2</v>
      </c>
      <c r="AK102" s="277">
        <v>3.6637218645289488E-2</v>
      </c>
      <c r="AL102" s="277">
        <v>2.9398737634617311E-2</v>
      </c>
      <c r="AM102" s="277">
        <f t="shared" si="9"/>
        <v>1.4699368817308656E-2</v>
      </c>
      <c r="AN102" s="277">
        <v>0</v>
      </c>
      <c r="AO102" s="277">
        <f t="shared" si="9"/>
        <v>0</v>
      </c>
      <c r="AP102" s="277">
        <v>0</v>
      </c>
      <c r="AQ102" s="277">
        <v>0</v>
      </c>
      <c r="AR102" s="277">
        <v>0</v>
      </c>
    </row>
    <row r="103" spans="1:46">
      <c r="A103" s="91" t="s">
        <v>305</v>
      </c>
      <c r="B103" s="83">
        <v>3.6292933335781909E-2</v>
      </c>
      <c r="C103" s="83">
        <v>9.7859034361640534E-2</v>
      </c>
      <c r="D103" s="83">
        <v>0.10537855971858046</v>
      </c>
      <c r="E103" s="83">
        <v>0.74803668310747151</v>
      </c>
      <c r="F103" s="83">
        <v>0.39507956540985378</v>
      </c>
      <c r="G103" s="83">
        <v>0.10103519120247134</v>
      </c>
      <c r="H103" s="83">
        <v>0.23822925548341922</v>
      </c>
      <c r="I103" s="83">
        <v>0.15328852171648347</v>
      </c>
      <c r="J103" s="83">
        <v>0.15368819447945661</v>
      </c>
      <c r="K103" s="83">
        <v>0.13687867818145033</v>
      </c>
      <c r="L103" s="83">
        <v>0.18077621773699123</v>
      </c>
      <c r="M103" s="83">
        <v>2.0942162017481007</v>
      </c>
      <c r="N103" s="83">
        <v>3.804137341489072</v>
      </c>
      <c r="O103" s="83">
        <v>3.9417610751322352</v>
      </c>
      <c r="P103" s="83">
        <v>4.2076262941232212</v>
      </c>
      <c r="Q103" s="83">
        <v>3.0459808274263693</v>
      </c>
      <c r="R103" s="83">
        <v>5.4245673354893169</v>
      </c>
      <c r="S103" s="83">
        <v>4.6217448351391921</v>
      </c>
      <c r="T103" s="83">
        <v>5.4352415298243564</v>
      </c>
      <c r="U103" s="83">
        <v>4.5528096203053359</v>
      </c>
      <c r="V103" s="83">
        <v>4.0989199547589852</v>
      </c>
      <c r="W103" s="83">
        <v>6.1771641392219792</v>
      </c>
      <c r="X103" s="83">
        <v>5.750327946850943</v>
      </c>
      <c r="Y103" s="83">
        <v>4.8273454236965083</v>
      </c>
      <c r="Z103" s="83">
        <v>2.7945906143550405</v>
      </c>
      <c r="AA103" s="83">
        <v>5.9101771868747601</v>
      </c>
      <c r="AB103" s="83">
        <v>5.3200006044126473</v>
      </c>
      <c r="AC103" s="83">
        <v>4.3039859735347301</v>
      </c>
      <c r="AD103" s="83">
        <v>3.5444287096440421</v>
      </c>
      <c r="AE103" s="83">
        <v>2.6172207285781712</v>
      </c>
      <c r="AF103" s="83">
        <v>1.9082053381309636</v>
      </c>
      <c r="AG103" s="83">
        <v>1.675145541926119</v>
      </c>
      <c r="AH103" s="83">
        <v>0.80110866589218022</v>
      </c>
      <c r="AI103" s="277">
        <v>0.38481560490192229</v>
      </c>
      <c r="AJ103" s="277">
        <v>0.1797372504824965</v>
      </c>
      <c r="AK103" s="277">
        <v>0.13229148550421072</v>
      </c>
      <c r="AL103" s="277">
        <v>0.14739381279191066</v>
      </c>
      <c r="AM103" s="277">
        <f t="shared" si="9"/>
        <v>0.35781644008136931</v>
      </c>
      <c r="AN103" s="277">
        <v>0.56823906737082797</v>
      </c>
      <c r="AO103" s="277">
        <f t="shared" si="9"/>
        <v>0.58994906352672327</v>
      </c>
      <c r="AP103" s="277">
        <v>0.61165905968261847</v>
      </c>
      <c r="AQ103" s="277">
        <v>0.26733433062558859</v>
      </c>
      <c r="AR103" s="277">
        <v>3.5148523238150283E-3</v>
      </c>
    </row>
    <row r="104" spans="1:46">
      <c r="A104" s="91" t="s">
        <v>306</v>
      </c>
      <c r="B104" s="83">
        <v>0</v>
      </c>
      <c r="C104" s="83">
        <v>0</v>
      </c>
      <c r="D104" s="83">
        <v>0</v>
      </c>
      <c r="E104" s="83">
        <v>0</v>
      </c>
      <c r="F104" s="83">
        <v>0</v>
      </c>
      <c r="G104" s="83">
        <v>0</v>
      </c>
      <c r="H104" s="83">
        <v>0</v>
      </c>
      <c r="I104" s="83">
        <v>0</v>
      </c>
      <c r="J104" s="83">
        <v>0</v>
      </c>
      <c r="K104" s="83">
        <v>0</v>
      </c>
      <c r="L104" s="83">
        <v>0</v>
      </c>
      <c r="M104" s="83">
        <v>0</v>
      </c>
      <c r="N104" s="83">
        <v>0</v>
      </c>
      <c r="O104" s="83">
        <v>0</v>
      </c>
      <c r="P104" s="83">
        <v>0</v>
      </c>
      <c r="Q104" s="83">
        <v>0</v>
      </c>
      <c r="R104" s="83">
        <v>0</v>
      </c>
      <c r="S104" s="83">
        <v>0</v>
      </c>
      <c r="T104" s="83">
        <v>0</v>
      </c>
      <c r="U104" s="83">
        <v>0</v>
      </c>
      <c r="V104" s="83">
        <v>0</v>
      </c>
      <c r="W104" s="83">
        <v>0</v>
      </c>
      <c r="X104" s="83">
        <v>0</v>
      </c>
      <c r="Y104" s="83">
        <v>0</v>
      </c>
      <c r="Z104" s="83">
        <v>0</v>
      </c>
      <c r="AA104" s="83">
        <v>0</v>
      </c>
      <c r="AB104" s="83">
        <v>0</v>
      </c>
      <c r="AC104" s="83">
        <v>0</v>
      </c>
      <c r="AD104" s="83">
        <v>0</v>
      </c>
      <c r="AE104" s="83">
        <v>0</v>
      </c>
      <c r="AF104" s="83">
        <v>0</v>
      </c>
      <c r="AG104" s="83">
        <v>0</v>
      </c>
      <c r="AH104" s="83">
        <v>0</v>
      </c>
      <c r="AI104" s="277">
        <v>0</v>
      </c>
      <c r="AJ104" s="277">
        <v>0</v>
      </c>
      <c r="AK104" s="277">
        <v>0</v>
      </c>
      <c r="AL104" s="277">
        <v>0</v>
      </c>
      <c r="AM104" s="277">
        <f t="shared" si="9"/>
        <v>0</v>
      </c>
      <c r="AN104" s="277">
        <v>0</v>
      </c>
      <c r="AO104" s="277">
        <f t="shared" si="9"/>
        <v>0</v>
      </c>
      <c r="AP104" s="277">
        <v>0</v>
      </c>
      <c r="AQ104" s="277">
        <v>0</v>
      </c>
      <c r="AR104" s="277">
        <v>0</v>
      </c>
      <c r="AT104" s="420"/>
    </row>
    <row r="105" spans="1:46">
      <c r="A105" s="91" t="s">
        <v>307</v>
      </c>
      <c r="B105" s="83">
        <v>63.328421788127145</v>
      </c>
      <c r="C105" s="83">
        <v>52.429582646353133</v>
      </c>
      <c r="D105" s="83">
        <v>54.321728158628638</v>
      </c>
      <c r="E105" s="83">
        <v>53.383350208536029</v>
      </c>
      <c r="F105" s="83">
        <v>55.522906023307755</v>
      </c>
      <c r="G105" s="83">
        <v>69.870548743777789</v>
      </c>
      <c r="H105" s="83">
        <v>57.293068949865294</v>
      </c>
      <c r="I105" s="83">
        <v>57.986770023870889</v>
      </c>
      <c r="J105" s="83">
        <v>58.797323885117066</v>
      </c>
      <c r="K105" s="83">
        <v>61.247452180674031</v>
      </c>
      <c r="L105" s="83">
        <v>71.099578255792565</v>
      </c>
      <c r="M105" s="83">
        <v>58.593559415556854</v>
      </c>
      <c r="N105" s="83">
        <v>57.275420946702006</v>
      </c>
      <c r="O105" s="83">
        <v>55.616920956456006</v>
      </c>
      <c r="P105" s="83">
        <v>56.772151246856126</v>
      </c>
      <c r="Q105" s="83">
        <v>68.67780420314979</v>
      </c>
      <c r="R105" s="83">
        <v>53.574840565795959</v>
      </c>
      <c r="S105" s="83">
        <v>49.471223097438511</v>
      </c>
      <c r="T105" s="83">
        <v>40.71011024074312</v>
      </c>
      <c r="U105" s="83">
        <v>34.220041756945058</v>
      </c>
      <c r="V105" s="83">
        <v>37.274771044020532</v>
      </c>
      <c r="W105" s="83">
        <v>24.350885860206919</v>
      </c>
      <c r="X105" s="83">
        <v>20.3051943497933</v>
      </c>
      <c r="Y105" s="83">
        <v>16.147327466636757</v>
      </c>
      <c r="Z105" s="83">
        <v>11.715359380162411</v>
      </c>
      <c r="AA105" s="83">
        <v>19.157839697039538</v>
      </c>
      <c r="AB105" s="83">
        <v>17.030747795528647</v>
      </c>
      <c r="AC105" s="83">
        <v>15.317001688275372</v>
      </c>
      <c r="AD105" s="83">
        <v>13.55440886672014</v>
      </c>
      <c r="AE105" s="83">
        <v>11.661304651209942</v>
      </c>
      <c r="AF105" s="83">
        <v>9.7227767532298088</v>
      </c>
      <c r="AG105" s="83">
        <v>9.8645085819892877</v>
      </c>
      <c r="AH105" s="83">
        <v>8.7945490757970557</v>
      </c>
      <c r="AI105" s="284">
        <v>7.7798770860297193</v>
      </c>
      <c r="AJ105" s="277">
        <v>7.1102361623992358</v>
      </c>
      <c r="AK105" s="284">
        <v>6.8991123572695647</v>
      </c>
      <c r="AL105" s="277">
        <v>6.6004154499228465</v>
      </c>
      <c r="AM105" s="277">
        <f t="shared" si="9"/>
        <v>6.3051481964333806</v>
      </c>
      <c r="AN105" s="277">
        <v>6.0098809429439157</v>
      </c>
      <c r="AO105" s="277">
        <f t="shared" si="9"/>
        <v>5.2234763708262602</v>
      </c>
      <c r="AP105" s="277">
        <v>4.4370717987086046</v>
      </c>
      <c r="AQ105" s="277">
        <v>1.7117950917809914</v>
      </c>
      <c r="AR105" s="277">
        <v>0.74223755659793356</v>
      </c>
    </row>
    <row r="106" spans="1:46">
      <c r="A106" s="91" t="s">
        <v>308</v>
      </c>
      <c r="B106" s="83">
        <v>3.4668098764052788E-2</v>
      </c>
      <c r="C106" s="83">
        <v>3.448381515811557E-2</v>
      </c>
      <c r="D106" s="83">
        <v>4.066843813123569E-2</v>
      </c>
      <c r="E106" s="83">
        <v>3.9903905155506417E-2</v>
      </c>
      <c r="F106" s="83">
        <v>3.9126946590711524E-2</v>
      </c>
      <c r="G106" s="83">
        <v>3.6618948393732448E-2</v>
      </c>
      <c r="H106" s="83">
        <v>3.7256188408805679E-2</v>
      </c>
      <c r="I106" s="83">
        <v>3.7120525531609411E-2</v>
      </c>
      <c r="J106" s="83">
        <v>3.8390481111685075E-2</v>
      </c>
      <c r="K106" s="83">
        <v>4.3424849566191061E-2</v>
      </c>
      <c r="L106" s="83">
        <v>4.3214904166880647E-2</v>
      </c>
      <c r="M106" s="83">
        <v>3.8267493699921364E-2</v>
      </c>
      <c r="N106" s="83">
        <v>2.5393254290405894E-2</v>
      </c>
      <c r="O106" s="83">
        <v>2.1361261220914848E-2</v>
      </c>
      <c r="P106" s="83">
        <v>1.7776407268040691E-2</v>
      </c>
      <c r="Q106" s="83">
        <v>6.5155024445373882E-2</v>
      </c>
      <c r="R106" s="83">
        <v>1.1435131357182104E-2</v>
      </c>
      <c r="S106" s="83">
        <v>8.9600279842626841E-3</v>
      </c>
      <c r="T106" s="83">
        <v>6.8163738901677847E-3</v>
      </c>
      <c r="U106" s="83">
        <v>5.0079069408870526E-3</v>
      </c>
      <c r="V106" s="83">
        <v>3.6511204494127411E-2</v>
      </c>
      <c r="W106" s="83">
        <v>2.2399121767545608E-3</v>
      </c>
      <c r="X106" s="83">
        <v>2.2400206806274959E-3</v>
      </c>
      <c r="Y106" s="83">
        <v>2.2568426596112847E-3</v>
      </c>
      <c r="Z106" s="83">
        <v>2.266043114118539E-3</v>
      </c>
      <c r="AA106" s="83">
        <v>1.6423591470820859E-2</v>
      </c>
      <c r="AB106" s="83">
        <v>1.5453322862890445E-2</v>
      </c>
      <c r="AC106" s="83">
        <v>1.4886108360146122E-2</v>
      </c>
      <c r="AD106" s="83">
        <v>1.5290510293478958E-2</v>
      </c>
      <c r="AE106" s="83">
        <v>1.6188585046132055E-2</v>
      </c>
      <c r="AF106" s="83">
        <v>1.3173216523371216E-2</v>
      </c>
      <c r="AG106" s="83">
        <v>9.3041192035610426E-3</v>
      </c>
      <c r="AH106" s="83">
        <v>1.067128947705078E-2</v>
      </c>
      <c r="AI106" s="277">
        <v>1.6580571593166355E-2</v>
      </c>
      <c r="AJ106" s="277">
        <v>1.7412991390149388E-2</v>
      </c>
      <c r="AK106" s="277">
        <v>1.7979844623515664E-2</v>
      </c>
      <c r="AL106" s="277">
        <v>1.4427534467491098E-2</v>
      </c>
      <c r="AM106" s="277">
        <f t="shared" si="9"/>
        <v>7.2137672337455492E-3</v>
      </c>
      <c r="AN106" s="277">
        <v>0</v>
      </c>
      <c r="AO106" s="277">
        <f t="shared" ref="AO106" si="10">(AN106+(AP106-AN106)/2)</f>
        <v>0</v>
      </c>
      <c r="AP106" s="277">
        <v>0</v>
      </c>
      <c r="AQ106" s="277">
        <v>0</v>
      </c>
      <c r="AR106" s="277">
        <v>0</v>
      </c>
    </row>
    <row r="107" spans="1:46" s="388" customFormat="1">
      <c r="A107" s="421" t="s">
        <v>309</v>
      </c>
      <c r="B107" s="383">
        <v>0</v>
      </c>
      <c r="C107" s="383">
        <v>0</v>
      </c>
      <c r="D107" s="383">
        <v>0</v>
      </c>
      <c r="E107" s="383">
        <v>0</v>
      </c>
      <c r="F107" s="383">
        <v>0</v>
      </c>
      <c r="G107" s="383">
        <v>0</v>
      </c>
      <c r="H107" s="383">
        <v>0</v>
      </c>
      <c r="I107" s="383">
        <v>0</v>
      </c>
      <c r="J107" s="383">
        <v>0</v>
      </c>
      <c r="K107" s="383">
        <v>0</v>
      </c>
      <c r="L107" s="383">
        <v>0</v>
      </c>
      <c r="M107" s="383">
        <v>0</v>
      </c>
      <c r="N107" s="383">
        <v>0</v>
      </c>
      <c r="O107" s="383">
        <v>0</v>
      </c>
      <c r="P107" s="383">
        <v>0</v>
      </c>
      <c r="Q107" s="383">
        <v>0</v>
      </c>
      <c r="R107" s="383">
        <v>0</v>
      </c>
      <c r="S107" s="383">
        <v>0</v>
      </c>
      <c r="T107" s="383">
        <v>0</v>
      </c>
      <c r="U107" s="383">
        <v>0</v>
      </c>
      <c r="V107" s="383">
        <v>0</v>
      </c>
      <c r="W107" s="383">
        <v>0</v>
      </c>
      <c r="X107" s="383">
        <v>0</v>
      </c>
      <c r="Y107" s="383">
        <v>0</v>
      </c>
      <c r="Z107" s="383">
        <v>0</v>
      </c>
      <c r="AA107" s="383">
        <v>0</v>
      </c>
      <c r="AB107" s="383">
        <v>0</v>
      </c>
      <c r="AC107" s="383">
        <v>0</v>
      </c>
      <c r="AD107" s="383">
        <v>0</v>
      </c>
      <c r="AE107" s="383">
        <v>0</v>
      </c>
      <c r="AF107" s="383">
        <v>0</v>
      </c>
      <c r="AG107" s="383">
        <v>0</v>
      </c>
      <c r="AH107" s="383">
        <v>0</v>
      </c>
      <c r="AI107" s="422">
        <v>0</v>
      </c>
      <c r="AJ107" s="382">
        <v>0</v>
      </c>
      <c r="AK107" s="422">
        <v>12.497117883346949</v>
      </c>
      <c r="AL107" s="382">
        <v>0</v>
      </c>
      <c r="AM107" s="277">
        <f t="shared" ref="AM107" si="11">(AL107+(AN107-AL107)/2)</f>
        <v>0</v>
      </c>
      <c r="AN107" s="382">
        <v>0</v>
      </c>
      <c r="AO107" s="277">
        <f t="shared" ref="AO107" si="12">(AN107+(AP107-AN107)/2)</f>
        <v>0</v>
      </c>
      <c r="AP107" s="382">
        <v>0</v>
      </c>
      <c r="AQ107" s="382">
        <v>0</v>
      </c>
      <c r="AR107" s="382">
        <v>0</v>
      </c>
    </row>
    <row r="108" spans="1:46">
      <c r="A108" s="91" t="s">
        <v>310</v>
      </c>
      <c r="B108" s="83">
        <v>0</v>
      </c>
      <c r="C108" s="83">
        <v>0</v>
      </c>
      <c r="D108" s="83">
        <v>0</v>
      </c>
      <c r="E108" s="83">
        <v>0</v>
      </c>
      <c r="F108" s="83">
        <v>0</v>
      </c>
      <c r="G108" s="83">
        <v>0</v>
      </c>
      <c r="H108" s="83">
        <v>0</v>
      </c>
      <c r="I108" s="83">
        <v>0</v>
      </c>
      <c r="J108" s="83">
        <v>0</v>
      </c>
      <c r="K108" s="83">
        <v>0</v>
      </c>
      <c r="L108" s="83">
        <v>0</v>
      </c>
      <c r="M108" s="83">
        <v>0</v>
      </c>
      <c r="N108" s="83">
        <v>0</v>
      </c>
      <c r="O108" s="83">
        <v>0</v>
      </c>
      <c r="P108" s="83">
        <v>0</v>
      </c>
      <c r="Q108" s="83">
        <v>0</v>
      </c>
      <c r="R108" s="83">
        <v>0</v>
      </c>
      <c r="S108" s="83">
        <v>0</v>
      </c>
      <c r="T108" s="83">
        <v>0</v>
      </c>
      <c r="U108" s="83">
        <v>0</v>
      </c>
      <c r="V108" s="83">
        <v>0</v>
      </c>
      <c r="W108" s="83">
        <v>0</v>
      </c>
      <c r="X108" s="83">
        <v>0</v>
      </c>
      <c r="Y108" s="83">
        <v>0</v>
      </c>
      <c r="Z108" s="83">
        <v>0</v>
      </c>
      <c r="AA108" s="83">
        <v>0</v>
      </c>
      <c r="AB108" s="83">
        <v>0</v>
      </c>
      <c r="AC108" s="83">
        <v>0</v>
      </c>
      <c r="AD108" s="83">
        <v>0</v>
      </c>
      <c r="AE108" s="83">
        <v>0</v>
      </c>
      <c r="AF108" s="83">
        <v>0</v>
      </c>
      <c r="AG108" s="83">
        <v>0</v>
      </c>
      <c r="AH108" s="83">
        <v>0</v>
      </c>
      <c r="AI108" s="83">
        <v>0</v>
      </c>
      <c r="AJ108" s="83">
        <v>0</v>
      </c>
      <c r="AK108" s="83">
        <v>0</v>
      </c>
      <c r="AL108" s="277">
        <v>0</v>
      </c>
      <c r="AM108" s="277">
        <f t="shared" ref="AM108" si="13">(AL108+(AN108-AL108)/2)</f>
        <v>0</v>
      </c>
      <c r="AN108" s="277">
        <v>0</v>
      </c>
      <c r="AO108" s="277">
        <f t="shared" ref="AO108" si="14">(AN108+(AP108-AN108)/2)</f>
        <v>0</v>
      </c>
      <c r="AP108" s="277">
        <v>0</v>
      </c>
      <c r="AQ108" s="277">
        <v>0</v>
      </c>
      <c r="AR108" s="277">
        <v>0</v>
      </c>
    </row>
    <row r="109" spans="1:46">
      <c r="A109" s="91" t="s">
        <v>311</v>
      </c>
      <c r="B109" s="83">
        <v>7.8223314895019609</v>
      </c>
      <c r="C109" s="83">
        <v>7.0614121657324658</v>
      </c>
      <c r="D109" s="83">
        <v>7.2402582180576536</v>
      </c>
      <c r="E109" s="83">
        <v>7.5241030697974249</v>
      </c>
      <c r="F109" s="83">
        <v>7.5267210225152468</v>
      </c>
      <c r="G109" s="83">
        <v>8.3403996146341441</v>
      </c>
      <c r="H109" s="83">
        <v>7.6760266021957175</v>
      </c>
      <c r="I109" s="83">
        <v>7.5784744987780641</v>
      </c>
      <c r="J109" s="83">
        <v>7.6768321848112437</v>
      </c>
      <c r="K109" s="83">
        <v>7.2909934808175763</v>
      </c>
      <c r="L109" s="83">
        <v>7.5310323761265749</v>
      </c>
      <c r="M109" s="83">
        <v>6.9383482688973812</v>
      </c>
      <c r="N109" s="83">
        <v>6.552699375467216</v>
      </c>
      <c r="O109" s="83">
        <v>6.3472976128488421</v>
      </c>
      <c r="P109" s="83">
        <v>6.1516074053382095</v>
      </c>
      <c r="Q109" s="83">
        <v>6.2822104695601881</v>
      </c>
      <c r="R109" s="83">
        <v>5.6956221863978698</v>
      </c>
      <c r="S109" s="83">
        <v>5.4900039572071755</v>
      </c>
      <c r="T109" s="83">
        <v>4.927338896406134</v>
      </c>
      <c r="U109" s="83">
        <v>4.2705116639729104</v>
      </c>
      <c r="V109" s="83">
        <v>3.7503933832360161</v>
      </c>
      <c r="W109" s="83">
        <v>3.1928537791920588</v>
      </c>
      <c r="X109" s="83">
        <v>2.6862178283389015</v>
      </c>
      <c r="Y109" s="83">
        <v>2.2823888592289148</v>
      </c>
      <c r="Z109" s="83">
        <v>1.9048640356440065</v>
      </c>
      <c r="AA109" s="83">
        <v>1.6425302819253798</v>
      </c>
      <c r="AB109" s="83">
        <v>1.3634675030250196</v>
      </c>
      <c r="AC109" s="83">
        <v>1.124042119969594</v>
      </c>
      <c r="AD109" s="83">
        <v>0.93731541506766836</v>
      </c>
      <c r="AE109" s="181">
        <v>0.78230095688663392</v>
      </c>
      <c r="AF109" s="83">
        <v>0.49354640760089419</v>
      </c>
      <c r="AG109" s="83">
        <v>0.44727075062463656</v>
      </c>
      <c r="AH109" s="83">
        <v>0.38316743591082497</v>
      </c>
      <c r="AI109" s="301">
        <v>0.34168748297710388</v>
      </c>
      <c r="AJ109" s="302">
        <v>0.30074232054301919</v>
      </c>
      <c r="AK109" s="301">
        <v>0.29009732498395435</v>
      </c>
      <c r="AL109" s="277">
        <v>0.23278227608590896</v>
      </c>
      <c r="AM109" s="277">
        <f t="shared" ref="AM109" si="15">(AL109+(AN109-AL109)/2)</f>
        <v>0.25313802827098209</v>
      </c>
      <c r="AN109" s="277">
        <v>0.27349378045605527</v>
      </c>
      <c r="AO109" s="277">
        <f t="shared" ref="AO109" si="16">(AN109+(AP109-AN109)/2)</f>
        <v>0.24604604909085598</v>
      </c>
      <c r="AP109" s="277">
        <v>0.21859831772565672</v>
      </c>
      <c r="AQ109" s="277">
        <v>0.10826494947144032</v>
      </c>
      <c r="AR109" s="277">
        <v>3.7531938795760812E-2</v>
      </c>
    </row>
    <row r="110" spans="1:46" s="388" customFormat="1">
      <c r="A110" s="421" t="s">
        <v>312</v>
      </c>
      <c r="B110" s="383">
        <v>0</v>
      </c>
      <c r="C110" s="383">
        <v>0</v>
      </c>
      <c r="D110" s="383">
        <v>0</v>
      </c>
      <c r="E110" s="383">
        <v>0</v>
      </c>
      <c r="F110" s="383">
        <v>0</v>
      </c>
      <c r="G110" s="383">
        <v>0</v>
      </c>
      <c r="H110" s="383">
        <v>0</v>
      </c>
      <c r="I110" s="383">
        <v>0</v>
      </c>
      <c r="J110" s="383">
        <v>0</v>
      </c>
      <c r="K110" s="383">
        <v>0</v>
      </c>
      <c r="L110" s="383">
        <v>0</v>
      </c>
      <c r="M110" s="383">
        <v>0</v>
      </c>
      <c r="N110" s="383">
        <v>0</v>
      </c>
      <c r="O110" s="383">
        <v>0</v>
      </c>
      <c r="P110" s="383">
        <v>0</v>
      </c>
      <c r="Q110" s="383">
        <v>0</v>
      </c>
      <c r="R110" s="383">
        <v>0</v>
      </c>
      <c r="S110" s="383">
        <v>0</v>
      </c>
      <c r="T110" s="383">
        <v>0</v>
      </c>
      <c r="U110" s="383">
        <v>0</v>
      </c>
      <c r="V110" s="383">
        <v>0</v>
      </c>
      <c r="W110" s="383">
        <v>0</v>
      </c>
      <c r="X110" s="383">
        <v>0</v>
      </c>
      <c r="Y110" s="383">
        <v>0</v>
      </c>
      <c r="Z110" s="383">
        <v>0</v>
      </c>
      <c r="AA110" s="383">
        <v>0</v>
      </c>
      <c r="AB110" s="383">
        <v>0</v>
      </c>
      <c r="AC110" s="383">
        <v>0</v>
      </c>
      <c r="AD110" s="383">
        <v>0</v>
      </c>
      <c r="AE110" s="383">
        <v>0</v>
      </c>
      <c r="AF110" s="383">
        <v>0</v>
      </c>
      <c r="AG110" s="383">
        <v>0</v>
      </c>
      <c r="AH110" s="383">
        <v>0</v>
      </c>
      <c r="AI110" s="423">
        <v>0</v>
      </c>
      <c r="AJ110" s="424">
        <v>0</v>
      </c>
      <c r="AK110" s="423"/>
      <c r="AL110" s="382">
        <v>0</v>
      </c>
      <c r="AM110" s="277">
        <f t="shared" ref="AM110" si="17">(AL110+(AN110-AL110)/2)</f>
        <v>0</v>
      </c>
      <c r="AN110" s="382">
        <v>0</v>
      </c>
      <c r="AO110" s="277">
        <f t="shared" ref="AO110" si="18">(AN110+(AP110-AN110)/2)</f>
        <v>0</v>
      </c>
      <c r="AP110" s="382">
        <v>0</v>
      </c>
      <c r="AQ110" s="382">
        <v>0</v>
      </c>
      <c r="AR110" s="382">
        <v>0</v>
      </c>
    </row>
    <row r="111" spans="1:46">
      <c r="A111" s="91" t="s">
        <v>313</v>
      </c>
      <c r="B111" s="83">
        <v>6.0813035183391845E-2</v>
      </c>
      <c r="C111" s="83">
        <v>3.3203078034860355E-2</v>
      </c>
      <c r="D111" s="83">
        <v>3.1961001586565646E-2</v>
      </c>
      <c r="E111" s="83">
        <v>0.23523501830766169</v>
      </c>
      <c r="F111" s="83">
        <v>0.1376878810957835</v>
      </c>
      <c r="G111" s="83">
        <v>0.15814336196639386</v>
      </c>
      <c r="H111" s="83">
        <v>8.8613144485427398E-2</v>
      </c>
      <c r="I111" s="83">
        <v>7.0153309291138083E-2</v>
      </c>
      <c r="J111" s="83">
        <v>6.9519622115874993E-2</v>
      </c>
      <c r="K111" s="83">
        <v>6.8724488731381803E-2</v>
      </c>
      <c r="L111" s="83">
        <v>0.33077315241116656</v>
      </c>
      <c r="M111" s="83">
        <v>1.9334991699977127</v>
      </c>
      <c r="N111" s="83">
        <v>1.8482540800482532</v>
      </c>
      <c r="O111" s="83">
        <v>2.6834995357574751</v>
      </c>
      <c r="P111" s="83">
        <v>2.8274807937429398</v>
      </c>
      <c r="Q111" s="83">
        <v>4.4751594402885209</v>
      </c>
      <c r="R111" s="83">
        <v>3.5021053601891738</v>
      </c>
      <c r="S111" s="83">
        <v>4.008289069174177</v>
      </c>
      <c r="T111" s="83">
        <v>4.5125148950990948</v>
      </c>
      <c r="U111" s="83">
        <v>4.1701095900013083</v>
      </c>
      <c r="V111" s="83">
        <v>5.9350452389037294</v>
      </c>
      <c r="W111" s="83">
        <v>7.2827107136162645</v>
      </c>
      <c r="X111" s="83">
        <v>6.933528758712149</v>
      </c>
      <c r="Y111" s="83">
        <v>6.5772017082072871</v>
      </c>
      <c r="Z111" s="83">
        <v>6.2571143216393956</v>
      </c>
      <c r="AA111" s="83">
        <v>9.1911884953858127</v>
      </c>
      <c r="AB111" s="83">
        <v>8.3771562943312396</v>
      </c>
      <c r="AC111" s="83">
        <v>7.9831191286716594</v>
      </c>
      <c r="AD111" s="83">
        <v>8.215494525865374</v>
      </c>
      <c r="AE111" s="83">
        <v>8.5881209179807438</v>
      </c>
      <c r="AF111" s="83">
        <v>9.4787534378341629</v>
      </c>
      <c r="AG111" s="83">
        <v>12.028611906253527</v>
      </c>
      <c r="AH111" s="83">
        <v>13.007052926271331</v>
      </c>
      <c r="AI111" s="301">
        <v>14.211286117660764</v>
      </c>
      <c r="AJ111" s="302">
        <v>13.505129011526332</v>
      </c>
      <c r="AK111" s="301">
        <v>14.157785425075033</v>
      </c>
      <c r="AL111" s="277">
        <v>11.360606361217435</v>
      </c>
      <c r="AM111" s="277">
        <f t="shared" ref="AM111" si="19">(AL111+(AN111-AL111)/2)</f>
        <v>15.874547031219176</v>
      </c>
      <c r="AN111" s="277">
        <v>20.388487701220917</v>
      </c>
      <c r="AO111" s="277">
        <f t="shared" ref="AO111" si="20">(AN111+(AP111-AN111)/2)</f>
        <v>21.081267872416525</v>
      </c>
      <c r="AP111" s="277">
        <v>21.774048043612133</v>
      </c>
      <c r="AQ111" s="277">
        <v>5.221806143796643</v>
      </c>
      <c r="AR111" s="277">
        <v>0.22069073608247936</v>
      </c>
    </row>
    <row r="112" spans="1:46">
      <c r="A112" s="91" t="s">
        <v>314</v>
      </c>
      <c r="B112" s="83">
        <v>0</v>
      </c>
      <c r="C112" s="83">
        <v>0</v>
      </c>
      <c r="D112" s="83">
        <v>0</v>
      </c>
      <c r="E112" s="83">
        <v>0</v>
      </c>
      <c r="F112" s="83">
        <v>0</v>
      </c>
      <c r="G112" s="83">
        <v>0</v>
      </c>
      <c r="H112" s="83">
        <v>0</v>
      </c>
      <c r="I112" s="83">
        <v>0</v>
      </c>
      <c r="J112" s="83">
        <v>0</v>
      </c>
      <c r="K112" s="83">
        <v>0</v>
      </c>
      <c r="L112" s="83">
        <v>0</v>
      </c>
      <c r="M112" s="83">
        <v>0</v>
      </c>
      <c r="N112" s="83">
        <v>0</v>
      </c>
      <c r="O112" s="83">
        <v>0</v>
      </c>
      <c r="P112" s="83">
        <v>0</v>
      </c>
      <c r="Q112" s="83">
        <v>0</v>
      </c>
      <c r="R112" s="83">
        <v>0</v>
      </c>
      <c r="S112" s="83">
        <v>0</v>
      </c>
      <c r="T112" s="83">
        <v>0</v>
      </c>
      <c r="U112" s="83">
        <v>0</v>
      </c>
      <c r="V112" s="83">
        <v>0</v>
      </c>
      <c r="W112" s="83">
        <v>0</v>
      </c>
      <c r="X112" s="83">
        <v>0</v>
      </c>
      <c r="Y112" s="83">
        <v>0</v>
      </c>
      <c r="Z112" s="83">
        <v>0</v>
      </c>
      <c r="AA112" s="83">
        <v>0</v>
      </c>
      <c r="AB112" s="83">
        <v>0</v>
      </c>
      <c r="AC112" s="83">
        <v>0</v>
      </c>
      <c r="AD112" s="83">
        <v>0</v>
      </c>
      <c r="AE112" s="83">
        <v>0</v>
      </c>
      <c r="AF112" s="83">
        <v>0</v>
      </c>
      <c r="AG112" s="83">
        <v>0</v>
      </c>
      <c r="AH112" s="83">
        <v>0</v>
      </c>
      <c r="AI112" s="301">
        <v>0</v>
      </c>
      <c r="AJ112" s="302">
        <v>0</v>
      </c>
      <c r="AK112" s="301">
        <v>0</v>
      </c>
      <c r="AL112" s="277">
        <v>0</v>
      </c>
      <c r="AM112" s="277">
        <f t="shared" ref="AM112" si="21">(AL112+(AN112-AL112)/2)</f>
        <v>0</v>
      </c>
      <c r="AN112" s="277">
        <v>0</v>
      </c>
      <c r="AO112" s="277">
        <f t="shared" ref="AO112" si="22">(AN112+(AP112-AN112)/2)</f>
        <v>0</v>
      </c>
      <c r="AP112" s="277">
        <v>0</v>
      </c>
      <c r="AQ112" s="277">
        <v>0</v>
      </c>
      <c r="AR112" s="277">
        <v>0</v>
      </c>
    </row>
    <row r="113" spans="1:44">
      <c r="A113" s="91" t="s">
        <v>315</v>
      </c>
      <c r="B113" s="83">
        <v>43.020553465324596</v>
      </c>
      <c r="C113" s="83">
        <v>37.445036155021015</v>
      </c>
      <c r="D113" s="83">
        <v>37.550176827082169</v>
      </c>
      <c r="E113" s="83">
        <v>46.221601182231858</v>
      </c>
      <c r="F113" s="83">
        <v>39.608771842395427</v>
      </c>
      <c r="G113" s="83">
        <v>39.015568652579717</v>
      </c>
      <c r="H113" s="83">
        <v>33.7721245272594</v>
      </c>
      <c r="I113" s="83">
        <v>40.277719705418001</v>
      </c>
      <c r="J113" s="83">
        <v>48.394921452323132</v>
      </c>
      <c r="K113" s="83">
        <v>48.367406779597871</v>
      </c>
      <c r="L113" s="83">
        <v>53.790272909480088</v>
      </c>
      <c r="M113" s="83">
        <v>46.052820422571656</v>
      </c>
      <c r="N113" s="83">
        <v>45.144763086229972</v>
      </c>
      <c r="O113" s="83">
        <v>40.423829727029513</v>
      </c>
      <c r="P113" s="83">
        <v>38.818553588573877</v>
      </c>
      <c r="Q113" s="83">
        <v>36.818896496398395</v>
      </c>
      <c r="R113" s="83">
        <v>32.715773719590224</v>
      </c>
      <c r="S113" s="83">
        <v>31.297831775868104</v>
      </c>
      <c r="T113" s="83">
        <v>30.722924033403654</v>
      </c>
      <c r="U113" s="83">
        <v>31.084371594251444</v>
      </c>
      <c r="V113" s="83">
        <v>27.605334274201589</v>
      </c>
      <c r="W113" s="83">
        <v>28.98196261159163</v>
      </c>
      <c r="X113" s="83">
        <v>28.046192777021268</v>
      </c>
      <c r="Y113" s="83">
        <v>27.257850523552172</v>
      </c>
      <c r="Z113" s="83">
        <v>26.197114032681153</v>
      </c>
      <c r="AA113" s="83">
        <v>25.730816966237715</v>
      </c>
      <c r="AB113" s="83">
        <v>24.36646671096549</v>
      </c>
      <c r="AC113" s="83">
        <v>22.068194384045388</v>
      </c>
      <c r="AD113" s="83">
        <v>20.031911262392033</v>
      </c>
      <c r="AE113" s="83">
        <v>18.181288451126587</v>
      </c>
      <c r="AF113" s="83">
        <v>14.565648171447247</v>
      </c>
      <c r="AG113" s="83">
        <v>13.276447128075825</v>
      </c>
      <c r="AH113" s="83">
        <v>13.139539458755289</v>
      </c>
      <c r="AI113" s="277">
        <v>11.225560710951751</v>
      </c>
      <c r="AJ113" s="277">
        <v>10.63239808988334</v>
      </c>
      <c r="AK113" s="277">
        <v>9.5688812252814106</v>
      </c>
      <c r="AL113" s="277">
        <v>9.33635285808605</v>
      </c>
      <c r="AM113" s="277">
        <f>(AL113+(AN113-AL113)/2)</f>
        <v>9.9111152169897281</v>
      </c>
      <c r="AN113" s="277">
        <v>10.485877575893406</v>
      </c>
      <c r="AO113" s="277">
        <f>(AN113+(AP113-AN113)/2)</f>
        <v>9.7232293723778636</v>
      </c>
      <c r="AP113" s="277">
        <v>8.9605811688623209</v>
      </c>
      <c r="AQ113" s="277">
        <v>4.2411422701350814</v>
      </c>
      <c r="AR113" s="277">
        <v>1.9320592868456263</v>
      </c>
    </row>
    <row r="114" spans="1:44">
      <c r="A114" s="91" t="s">
        <v>316</v>
      </c>
      <c r="B114" s="83">
        <v>0</v>
      </c>
      <c r="C114" s="83">
        <v>0</v>
      </c>
      <c r="D114" s="83">
        <v>2.6013982766442335E-2</v>
      </c>
      <c r="E114" s="83">
        <v>7.2132391381125538E-2</v>
      </c>
      <c r="F114" s="83">
        <v>0.11015972441791305</v>
      </c>
      <c r="G114" s="83">
        <v>0.15412165417744844</v>
      </c>
      <c r="H114" s="83">
        <v>0.19107645794041064</v>
      </c>
      <c r="I114" s="83">
        <v>0.22681810144108475</v>
      </c>
      <c r="J114" s="83">
        <v>0.2505183680297749</v>
      </c>
      <c r="K114" s="83">
        <v>0.26524553278394097</v>
      </c>
      <c r="L114" s="83">
        <v>0.28261456635671722</v>
      </c>
      <c r="M114" s="83">
        <v>0.25758030511762131</v>
      </c>
      <c r="N114" s="83">
        <v>0.2428932191101093</v>
      </c>
      <c r="O114" s="83">
        <v>0.22583846020410575</v>
      </c>
      <c r="P114" s="83">
        <v>0.20609112800268509</v>
      </c>
      <c r="Q114" s="83">
        <v>0.1862799365515127</v>
      </c>
      <c r="R114" s="83">
        <v>0.16247718795644214</v>
      </c>
      <c r="S114" s="83">
        <v>0.15146105451268266</v>
      </c>
      <c r="T114" s="83">
        <v>0.14689993491945053</v>
      </c>
      <c r="U114" s="83">
        <v>0.1487365822242312</v>
      </c>
      <c r="V114" s="83">
        <v>0.1566807933342178</v>
      </c>
      <c r="W114" s="83">
        <v>0.16744086158407359</v>
      </c>
      <c r="X114" s="83">
        <v>0.1745147011257952</v>
      </c>
      <c r="Y114" s="83">
        <v>0.17321133974640429</v>
      </c>
      <c r="Z114" s="83">
        <v>0.16693761649148023</v>
      </c>
      <c r="AA114" s="83">
        <v>0.16710390769638819</v>
      </c>
      <c r="AB114" s="83">
        <v>0.15425633936644984</v>
      </c>
      <c r="AC114" s="83">
        <v>0.14269499374936498</v>
      </c>
      <c r="AD114" s="83">
        <v>0.14079439157368248</v>
      </c>
      <c r="AE114" s="83">
        <v>0.1298929457308787</v>
      </c>
      <c r="AF114" s="83">
        <v>0.11459076762702129</v>
      </c>
      <c r="AG114" s="83">
        <v>9.7449462189329733E-2</v>
      </c>
      <c r="AH114" s="83">
        <v>7.9748851778165375E-2</v>
      </c>
      <c r="AI114" s="277">
        <v>6.0720229871600709E-2</v>
      </c>
      <c r="AJ114" s="277">
        <v>4.6501694801270567E-2</v>
      </c>
      <c r="AK114" s="277">
        <v>3.5753405980623251E-2</v>
      </c>
      <c r="AL114" s="277">
        <v>3.0331430735822826E-2</v>
      </c>
      <c r="AM114" s="277">
        <f>(AL114+(AN114-AL114)/2)</f>
        <v>1.901805686614913E-2</v>
      </c>
      <c r="AN114" s="277">
        <v>7.7046829964754378E-3</v>
      </c>
      <c r="AO114" s="277">
        <f>(AN114+(AP114-AN114)/2)</f>
        <v>5.8249337627916172E-3</v>
      </c>
      <c r="AP114" s="277">
        <v>3.9451845291077975E-3</v>
      </c>
      <c r="AQ114" s="277">
        <v>9.7481462945815688E-4</v>
      </c>
      <c r="AR114" s="277">
        <v>0</v>
      </c>
    </row>
    <row r="115" spans="1:44">
      <c r="A115" s="91" t="s">
        <v>317</v>
      </c>
      <c r="B115" s="83">
        <v>0</v>
      </c>
      <c r="C115" s="83">
        <v>0</v>
      </c>
      <c r="D115" s="83">
        <v>0</v>
      </c>
      <c r="E115" s="83">
        <v>0</v>
      </c>
      <c r="F115" s="83">
        <v>0</v>
      </c>
      <c r="G115" s="83">
        <v>0</v>
      </c>
      <c r="H115" s="83">
        <v>0</v>
      </c>
      <c r="I115" s="83">
        <v>0</v>
      </c>
      <c r="J115" s="83">
        <v>0</v>
      </c>
      <c r="K115" s="83">
        <v>0</v>
      </c>
      <c r="L115" s="83">
        <v>0</v>
      </c>
      <c r="M115" s="83">
        <v>0</v>
      </c>
      <c r="N115" s="83">
        <v>0</v>
      </c>
      <c r="O115" s="83">
        <v>0</v>
      </c>
      <c r="P115" s="83">
        <v>0</v>
      </c>
      <c r="Q115" s="83">
        <v>0</v>
      </c>
      <c r="R115" s="83">
        <v>0</v>
      </c>
      <c r="S115" s="83">
        <v>0</v>
      </c>
      <c r="T115" s="83">
        <v>0</v>
      </c>
      <c r="U115" s="83">
        <v>0</v>
      </c>
      <c r="V115" s="83">
        <v>0</v>
      </c>
      <c r="W115" s="83">
        <v>0</v>
      </c>
      <c r="X115" s="83">
        <v>0</v>
      </c>
      <c r="Y115" s="83">
        <v>0</v>
      </c>
      <c r="Z115" s="83">
        <v>0</v>
      </c>
      <c r="AA115" s="83">
        <v>0</v>
      </c>
      <c r="AB115" s="83">
        <v>0</v>
      </c>
      <c r="AC115" s="83">
        <v>0</v>
      </c>
      <c r="AD115" s="83">
        <v>0</v>
      </c>
      <c r="AE115" s="83">
        <v>0</v>
      </c>
      <c r="AF115" s="83">
        <v>0</v>
      </c>
      <c r="AG115" s="83">
        <v>0</v>
      </c>
      <c r="AH115" s="83">
        <v>0</v>
      </c>
      <c r="AI115" s="277">
        <v>0</v>
      </c>
      <c r="AJ115" s="277">
        <v>0</v>
      </c>
      <c r="AK115" s="277">
        <v>0</v>
      </c>
      <c r="AL115" s="277">
        <v>0</v>
      </c>
      <c r="AM115" s="277">
        <f>(AL115+(AN115-AL115)/2)</f>
        <v>0</v>
      </c>
      <c r="AN115" s="277">
        <v>0</v>
      </c>
      <c r="AO115" s="277">
        <f>(AN115+(AP115-AN115)/2)</f>
        <v>0</v>
      </c>
      <c r="AP115" s="277">
        <v>0</v>
      </c>
      <c r="AQ115" s="277">
        <v>0</v>
      </c>
      <c r="AR115" s="277">
        <v>0</v>
      </c>
    </row>
    <row r="116" spans="1:44">
      <c r="A116" s="115" t="s">
        <v>318</v>
      </c>
      <c r="B116" s="117">
        <v>1144.6006852679459</v>
      </c>
      <c r="C116" s="117">
        <v>1107.9358294318138</v>
      </c>
      <c r="D116" s="117">
        <v>1105.9222519880086</v>
      </c>
      <c r="E116" s="117">
        <v>1052.3879523948253</v>
      </c>
      <c r="F116" s="117">
        <v>964.75883845972237</v>
      </c>
      <c r="G116" s="117">
        <v>897.72992731545924</v>
      </c>
      <c r="H116" s="117">
        <v>814.87261768930114</v>
      </c>
      <c r="I116" s="117">
        <v>771.26240878266469</v>
      </c>
      <c r="J116" s="117">
        <v>732.7314633550975</v>
      </c>
      <c r="K116" s="117">
        <v>700.937013707657</v>
      </c>
      <c r="L116" s="117">
        <v>650.42139095156892</v>
      </c>
      <c r="M116" s="117">
        <v>602.90000305797821</v>
      </c>
      <c r="N116" s="117">
        <v>555.41330760109031</v>
      </c>
      <c r="O116" s="117">
        <v>508.23011125204562</v>
      </c>
      <c r="P116" s="117">
        <v>469.08458955316382</v>
      </c>
      <c r="Q116" s="117">
        <v>458.0316319354821</v>
      </c>
      <c r="R116" s="117">
        <v>384.51728850528428</v>
      </c>
      <c r="S116" s="117">
        <v>346.73900344611747</v>
      </c>
      <c r="T116" s="117">
        <v>303.39612136670604</v>
      </c>
      <c r="U116" s="117">
        <v>277.45778572228221</v>
      </c>
      <c r="V116" s="117">
        <v>262.82920299640716</v>
      </c>
      <c r="W116" s="117">
        <v>231.58610757427857</v>
      </c>
      <c r="X116" s="117">
        <v>208.92892181200671</v>
      </c>
      <c r="Y116" s="117">
        <v>191.71729512764674</v>
      </c>
      <c r="Z116" s="117">
        <v>176.17895420115008</v>
      </c>
      <c r="AA116" s="117">
        <v>188.11791441912808</v>
      </c>
      <c r="AB116" s="117">
        <v>180.67936603976582</v>
      </c>
      <c r="AC116" s="117">
        <v>168.77860913753108</v>
      </c>
      <c r="AD116" s="117">
        <v>160.6367794349504</v>
      </c>
      <c r="AE116" s="117">
        <v>155.20553320794366</v>
      </c>
      <c r="AF116" s="117">
        <v>126.23819412340535</v>
      </c>
      <c r="AG116" s="117">
        <v>140.10504634557799</v>
      </c>
      <c r="AH116" s="117">
        <v>141.065615953747</v>
      </c>
      <c r="AI116" s="285">
        <v>138.86128619168935</v>
      </c>
      <c r="AJ116" s="285">
        <v>137.67923096641516</v>
      </c>
      <c r="AK116" s="285">
        <v>136.32068008758068</v>
      </c>
      <c r="AL116" s="285">
        <v>131.57884426032945</v>
      </c>
      <c r="AM116" s="285">
        <f>(SUM(AM95:AM115))</f>
        <v>133.0906455885748</v>
      </c>
      <c r="AN116" s="285">
        <v>134.60244691682018</v>
      </c>
      <c r="AO116" s="285">
        <f>(SUM(AO95:AO115))</f>
        <v>136.07789914803718</v>
      </c>
      <c r="AP116" s="285">
        <v>137.5533513792542</v>
      </c>
      <c r="AQ116" s="285">
        <v>63.197335404140574</v>
      </c>
      <c r="AR116" s="285">
        <v>3.3111640834417932</v>
      </c>
    </row>
    <row r="117" spans="1:44">
      <c r="A117" s="91" t="s">
        <v>45</v>
      </c>
      <c r="B117" s="83">
        <v>4.2934049484546151</v>
      </c>
      <c r="C117" s="83">
        <v>4.1588355396224559</v>
      </c>
      <c r="D117" s="83">
        <v>3.9601854599178394</v>
      </c>
      <c r="E117" s="83">
        <v>3.6643463627233306</v>
      </c>
      <c r="F117" s="83">
        <v>3.4026836233274644</v>
      </c>
      <c r="G117" s="83">
        <v>3.251026035595983</v>
      </c>
      <c r="H117" s="83">
        <v>3.1484969622000518</v>
      </c>
      <c r="I117" s="83">
        <v>3.118592649126239</v>
      </c>
      <c r="J117" s="83">
        <v>2.9680030725759643</v>
      </c>
      <c r="K117" s="83">
        <v>2.9904313073813236</v>
      </c>
      <c r="L117" s="83">
        <v>3.0438318664417054</v>
      </c>
      <c r="M117" s="83">
        <v>2.8943103010726388</v>
      </c>
      <c r="N117" s="83">
        <v>2.9797511955692482</v>
      </c>
      <c r="O117" s="83">
        <v>2.8515898538243345</v>
      </c>
      <c r="P117" s="83">
        <v>2.8088694065760293</v>
      </c>
      <c r="Q117" s="83">
        <v>2.6795073422013562</v>
      </c>
      <c r="R117" s="83">
        <v>2.4752827454071138</v>
      </c>
      <c r="S117" s="83">
        <v>2.3837372252271694</v>
      </c>
      <c r="T117" s="83">
        <v>2.4784710323350825</v>
      </c>
      <c r="U117" s="83">
        <v>2.2671309639829889</v>
      </c>
      <c r="V117" s="83">
        <v>2.1409875207277307</v>
      </c>
      <c r="W117" s="83">
        <v>2.1621735532186395</v>
      </c>
      <c r="X117" s="83">
        <v>1.9850898328511377</v>
      </c>
      <c r="Y117" s="83">
        <v>1.962153059558013</v>
      </c>
      <c r="Z117" s="83">
        <v>1.8296279826255546</v>
      </c>
      <c r="AA117" s="83">
        <v>1.9845210661718724</v>
      </c>
      <c r="AB117" s="83">
        <v>1.9181046389251362</v>
      </c>
      <c r="AC117" s="83">
        <v>1.9885820015893279</v>
      </c>
      <c r="AD117" s="83">
        <v>1.8400116736868084</v>
      </c>
      <c r="AE117" s="83">
        <v>1.8426406034605833</v>
      </c>
      <c r="AF117" s="83">
        <v>1.4717885501801142</v>
      </c>
      <c r="AG117" s="83">
        <v>1.6846208894809498</v>
      </c>
      <c r="AH117" s="83">
        <v>1.7926182110568358</v>
      </c>
      <c r="AI117" s="277">
        <v>1.643944952834776</v>
      </c>
      <c r="AJ117" s="277">
        <v>1.7237891884025887</v>
      </c>
      <c r="AK117" s="277">
        <v>1.7157837044333388</v>
      </c>
      <c r="AL117" s="277">
        <v>1.7312725697981952</v>
      </c>
      <c r="AM117" s="277">
        <f>(AL117+(AN117-AL117)/2)</f>
        <v>1.7325318741449702</v>
      </c>
      <c r="AN117" s="277">
        <v>1.7337911784917452</v>
      </c>
      <c r="AO117" s="277">
        <f>(AN117+(AP117-AN117)/2)</f>
        <v>1.7675177619853266</v>
      </c>
      <c r="AP117" s="277">
        <v>1.8012443454789078</v>
      </c>
      <c r="AQ117" s="277">
        <v>1.4544331609023526</v>
      </c>
      <c r="AR117" s="277">
        <v>0.54443129522932998</v>
      </c>
    </row>
    <row r="118" spans="1:44">
      <c r="A118" s="91" t="s">
        <v>319</v>
      </c>
      <c r="B118" s="83">
        <v>0.3331844200354353</v>
      </c>
      <c r="C118" s="83">
        <v>0.36809591571554001</v>
      </c>
      <c r="D118" s="83">
        <v>0.38555434814064538</v>
      </c>
      <c r="E118" s="83">
        <v>0.24884193600000001</v>
      </c>
      <c r="F118" s="83">
        <v>0.25307108767172165</v>
      </c>
      <c r="G118" s="83">
        <v>0.25116218681093527</v>
      </c>
      <c r="H118" s="83">
        <v>0.25575737674094712</v>
      </c>
      <c r="I118" s="83">
        <v>0.24509646842661037</v>
      </c>
      <c r="J118" s="83">
        <v>0.26937214205607485</v>
      </c>
      <c r="K118" s="83">
        <v>0.31907804097964693</v>
      </c>
      <c r="L118" s="83">
        <v>0.32050684378476563</v>
      </c>
      <c r="M118" s="83">
        <v>0.27716008314294904</v>
      </c>
      <c r="N118" s="83">
        <v>0.29984712724642154</v>
      </c>
      <c r="O118" s="83">
        <v>0.3079486635001335</v>
      </c>
      <c r="P118" s="83">
        <v>0.31779533976716512</v>
      </c>
      <c r="Q118" s="83">
        <v>0.35307162510524809</v>
      </c>
      <c r="R118" s="83">
        <v>0.35244775131207812</v>
      </c>
      <c r="S118" s="83">
        <v>0.3312429622079005</v>
      </c>
      <c r="T118" s="83">
        <v>0.33772993664869927</v>
      </c>
      <c r="U118" s="83">
        <v>0.3599413527354744</v>
      </c>
      <c r="V118" s="83">
        <v>0.37641063249091317</v>
      </c>
      <c r="W118" s="83">
        <v>0.39505538306377358</v>
      </c>
      <c r="X118" s="83">
        <v>0.39127621659878309</v>
      </c>
      <c r="Y118" s="83">
        <v>0.38821286284074519</v>
      </c>
      <c r="Z118" s="83">
        <v>0.3770092072434163</v>
      </c>
      <c r="AA118" s="83">
        <v>0.35483958282189837</v>
      </c>
      <c r="AB118" s="83">
        <v>0.31433785390437718</v>
      </c>
      <c r="AC118" s="83">
        <v>0.30301177271565982</v>
      </c>
      <c r="AD118" s="83">
        <v>0.32275898412027448</v>
      </c>
      <c r="AE118" s="83">
        <v>0.35209959980682876</v>
      </c>
      <c r="AF118" s="83">
        <v>0.32351823478413622</v>
      </c>
      <c r="AG118" s="83">
        <v>0.3442033804554262</v>
      </c>
      <c r="AH118" s="83">
        <v>0.30091971064286083</v>
      </c>
      <c r="AI118" s="277">
        <v>0.27195925004681309</v>
      </c>
      <c r="AJ118" s="277">
        <v>0.26525570564887502</v>
      </c>
      <c r="AK118" s="277">
        <v>0.26402382630213656</v>
      </c>
      <c r="AL118" s="277">
        <v>0.28130661659976747</v>
      </c>
      <c r="AM118" s="277">
        <f>(AL118+(AN118-AL118)/2)</f>
        <v>0.33089445128978795</v>
      </c>
      <c r="AN118" s="277">
        <v>0.38048228597980843</v>
      </c>
      <c r="AO118" s="277">
        <f>(AN118+(AP118-AN118)/2)</f>
        <v>0.40829007093607872</v>
      </c>
      <c r="AP118" s="277">
        <v>0.43609785589234906</v>
      </c>
      <c r="AQ118" s="277">
        <v>0.48474335177104177</v>
      </c>
      <c r="AR118" s="277">
        <v>0.57689945982898749</v>
      </c>
    </row>
    <row r="119" spans="1:44">
      <c r="A119" s="91" t="s">
        <v>320</v>
      </c>
      <c r="B119" s="83">
        <v>9.3779637178838122</v>
      </c>
      <c r="C119" s="83">
        <v>8.1827091527433335</v>
      </c>
      <c r="D119" s="83">
        <v>7.3838563835676494</v>
      </c>
      <c r="E119" s="83">
        <v>8.1047786181057226</v>
      </c>
      <c r="F119" s="83">
        <v>7.6123752631199704</v>
      </c>
      <c r="G119" s="83">
        <v>8.9722620017208747</v>
      </c>
      <c r="H119" s="83">
        <v>7.5542073574743114</v>
      </c>
      <c r="I119" s="83">
        <v>7.5576505345683032</v>
      </c>
      <c r="J119" s="83">
        <v>7.4123960917955172</v>
      </c>
      <c r="K119" s="83">
        <v>7.4930384340682217</v>
      </c>
      <c r="L119" s="83">
        <v>9.3459408068809289</v>
      </c>
      <c r="M119" s="83">
        <v>7.822739541196448</v>
      </c>
      <c r="N119" s="83">
        <v>7.4207455481147475</v>
      </c>
      <c r="O119" s="83">
        <v>7.2760948964365282</v>
      </c>
      <c r="P119" s="83">
        <v>5.989215408980141</v>
      </c>
      <c r="Q119" s="83">
        <v>6.6444670701706414</v>
      </c>
      <c r="R119" s="83">
        <v>4.9163747712832393</v>
      </c>
      <c r="S119" s="83">
        <v>4.4994507150544409</v>
      </c>
      <c r="T119" s="83">
        <v>4.6484415520861191</v>
      </c>
      <c r="U119" s="83">
        <v>4.5718430904616856</v>
      </c>
      <c r="V119" s="83">
        <v>5.6848928296263814</v>
      </c>
      <c r="W119" s="83">
        <v>4.455033246719001</v>
      </c>
      <c r="X119" s="83">
        <v>4.8037290523351261</v>
      </c>
      <c r="Y119" s="83">
        <v>4.3493866072763145</v>
      </c>
      <c r="Z119" s="83">
        <v>4.1821421453638692</v>
      </c>
      <c r="AA119" s="83">
        <v>5.0405817184849901</v>
      </c>
      <c r="AB119" s="83">
        <v>5.1165212675908167</v>
      </c>
      <c r="AC119" s="83">
        <v>5.0307102968442372</v>
      </c>
      <c r="AD119" s="83">
        <v>5.1027292094952639</v>
      </c>
      <c r="AE119" s="83">
        <v>4.3629041464666347</v>
      </c>
      <c r="AF119" s="83">
        <v>4.4061134122952597</v>
      </c>
      <c r="AG119" s="83">
        <v>4.8278913696733845</v>
      </c>
      <c r="AH119" s="83">
        <v>5.254098263291981</v>
      </c>
      <c r="AI119" s="277">
        <v>4.4726876959869868</v>
      </c>
      <c r="AJ119" s="277">
        <v>4.7410509163302033</v>
      </c>
      <c r="AK119" s="277">
        <v>4.3720312776191452</v>
      </c>
      <c r="AL119" s="277">
        <v>4.6414184803599747</v>
      </c>
      <c r="AM119" s="277">
        <f>(AL119+(AN119-AL119)/2)</f>
        <v>4.9963327064404348</v>
      </c>
      <c r="AN119" s="277">
        <v>5.3512469325208949</v>
      </c>
      <c r="AO119" s="277">
        <f>(AN119+(AP119-AN119)/2)</f>
        <v>5.3517126723758484</v>
      </c>
      <c r="AP119" s="277">
        <v>5.3521784122308009</v>
      </c>
      <c r="AQ119" s="277">
        <v>5.210405934538338</v>
      </c>
      <c r="AR119" s="277">
        <v>4.3144589320095985</v>
      </c>
    </row>
    <row r="120" spans="1:44">
      <c r="A120" s="91" t="s">
        <v>321</v>
      </c>
      <c r="B120" s="83">
        <v>12.160603042954438</v>
      </c>
      <c r="C120" s="83">
        <v>12.524014516368473</v>
      </c>
      <c r="D120" s="83">
        <v>12.890631076368575</v>
      </c>
      <c r="E120" s="83">
        <v>13.561212056438785</v>
      </c>
      <c r="F120" s="83">
        <v>13.874244032455797</v>
      </c>
      <c r="G120" s="83">
        <v>14.640858590384706</v>
      </c>
      <c r="H120" s="83">
        <v>15.046539115788214</v>
      </c>
      <c r="I120" s="83">
        <v>15.420697074656104</v>
      </c>
      <c r="J120" s="83">
        <v>16.281539399090917</v>
      </c>
      <c r="K120" s="83">
        <v>16.726513142979588</v>
      </c>
      <c r="L120" s="83">
        <v>16.401888567941526</v>
      </c>
      <c r="M120" s="83">
        <v>17.076700333297754</v>
      </c>
      <c r="N120" s="83">
        <v>18.388566809474455</v>
      </c>
      <c r="O120" s="83">
        <v>18.444405987475072</v>
      </c>
      <c r="P120" s="83">
        <v>18.748556968321072</v>
      </c>
      <c r="Q120" s="83">
        <v>17.911778081200726</v>
      </c>
      <c r="R120" s="83">
        <v>17.771939441306376</v>
      </c>
      <c r="S120" s="83">
        <v>17.954970895231561</v>
      </c>
      <c r="T120" s="83">
        <v>18.644622480674069</v>
      </c>
      <c r="U120" s="83">
        <v>18.89460762243424</v>
      </c>
      <c r="V120" s="83">
        <v>18.669946135900005</v>
      </c>
      <c r="W120" s="83">
        <v>18.552689918667571</v>
      </c>
      <c r="X120" s="83">
        <v>19.85081761092804</v>
      </c>
      <c r="Y120" s="83">
        <v>19.964100799774464</v>
      </c>
      <c r="Z120" s="83">
        <v>20.088770168866496</v>
      </c>
      <c r="AA120" s="83">
        <v>20.222264105844772</v>
      </c>
      <c r="AB120" s="83">
        <v>20.366618043433945</v>
      </c>
      <c r="AC120" s="83">
        <v>20.420979814627646</v>
      </c>
      <c r="AD120" s="83">
        <v>20.544314897149803</v>
      </c>
      <c r="AE120" s="83">
        <v>20.777629665222648</v>
      </c>
      <c r="AF120" s="83">
        <v>20.792671569554543</v>
      </c>
      <c r="AG120" s="83">
        <v>20.888986434676376</v>
      </c>
      <c r="AH120" s="83">
        <v>20.601942955318403</v>
      </c>
      <c r="AI120" s="277">
        <v>20.7231251698989</v>
      </c>
      <c r="AJ120" s="277">
        <v>20.876126194172393</v>
      </c>
      <c r="AK120" s="277">
        <v>22.038765003391344</v>
      </c>
      <c r="AL120" s="277">
        <v>21.571833612264033</v>
      </c>
      <c r="AM120" s="277">
        <f>(AL120+(AN120-AL120)/2)</f>
        <v>20.499548110363932</v>
      </c>
      <c r="AN120" s="277">
        <v>19.427262608463831</v>
      </c>
      <c r="AO120" s="277">
        <f>(AN120+(AP120-AN120)/2)</f>
        <v>19.282068961170467</v>
      </c>
      <c r="AP120" s="277">
        <v>19.136875313877102</v>
      </c>
      <c r="AQ120" s="277">
        <v>16.078957469670229</v>
      </c>
      <c r="AR120" s="277">
        <v>17.127034574967269</v>
      </c>
    </row>
    <row r="121" spans="1:44">
      <c r="A121" s="91" t="s">
        <v>199</v>
      </c>
      <c r="B121" s="83">
        <v>2.5908691164813464</v>
      </c>
      <c r="C121" s="83">
        <v>2.4151915364868315</v>
      </c>
      <c r="D121" s="83">
        <v>2.329595481725514</v>
      </c>
      <c r="E121" s="83">
        <v>2.1432470180244443</v>
      </c>
      <c r="F121" s="83">
        <v>2.0684917573699031</v>
      </c>
      <c r="G121" s="83">
        <v>2.0666352260569489</v>
      </c>
      <c r="H121" s="83">
        <v>1.970222791911018</v>
      </c>
      <c r="I121" s="83">
        <v>2.1015542756484553</v>
      </c>
      <c r="J121" s="83">
        <v>2.0429643163934359</v>
      </c>
      <c r="K121" s="83">
        <v>2.2651206726355899</v>
      </c>
      <c r="L121" s="83">
        <v>2.1193096228782458</v>
      </c>
      <c r="M121" s="83">
        <v>2.0359314475869694</v>
      </c>
      <c r="N121" s="83">
        <v>1.9061639566963404</v>
      </c>
      <c r="O121" s="83">
        <v>1.7813994422510775</v>
      </c>
      <c r="P121" s="83">
        <v>1.7291919974314245</v>
      </c>
      <c r="Q121" s="83">
        <v>1.7355903553715972</v>
      </c>
      <c r="R121" s="83">
        <v>1.7752449867231359</v>
      </c>
      <c r="S121" s="83">
        <v>1.7485804102255655</v>
      </c>
      <c r="T121" s="83">
        <v>1.6874900793818766</v>
      </c>
      <c r="U121" s="83">
        <v>1.7229340030703602</v>
      </c>
      <c r="V121" s="83">
        <v>1.5435049372618741</v>
      </c>
      <c r="W121" s="83">
        <v>1.6304660714101105</v>
      </c>
      <c r="X121" s="83">
        <v>1.5561110347599592</v>
      </c>
      <c r="Y121" s="83">
        <v>1.5311458754687128</v>
      </c>
      <c r="Z121" s="83">
        <v>1.4288849153177086</v>
      </c>
      <c r="AA121" s="83">
        <v>1.343344980419392</v>
      </c>
      <c r="AB121" s="83">
        <v>1.3545183077372778</v>
      </c>
      <c r="AC121" s="83">
        <v>1.3496873360599702</v>
      </c>
      <c r="AD121" s="83">
        <v>1.3786229204067495</v>
      </c>
      <c r="AE121" s="83">
        <v>1.3757092724420974</v>
      </c>
      <c r="AF121" s="83">
        <v>0.94432560807704224</v>
      </c>
      <c r="AG121" s="83">
        <v>1.2335956790508402</v>
      </c>
      <c r="AH121" s="83">
        <v>1.3227367830084853</v>
      </c>
      <c r="AI121" s="277">
        <v>1.2167133541297799</v>
      </c>
      <c r="AJ121" s="277">
        <v>1.1984656446399369</v>
      </c>
      <c r="AK121" s="277">
        <v>1.2428160947623279</v>
      </c>
      <c r="AL121" s="277">
        <v>1.1860788137495941</v>
      </c>
      <c r="AM121" s="277">
        <f>(AL121+(AN121-AL121)/2)</f>
        <v>0.95921096207883538</v>
      </c>
      <c r="AN121" s="277">
        <v>0.73234311040807654</v>
      </c>
      <c r="AO121" s="277">
        <f>(AN121+(AP121-AN121)/2)</f>
        <v>0.71585252096979424</v>
      </c>
      <c r="AP121" s="277">
        <v>0.69936193153151194</v>
      </c>
      <c r="AQ121" s="277">
        <v>0.43752838125657434</v>
      </c>
      <c r="AR121" s="277">
        <v>0.2789897501459771</v>
      </c>
    </row>
    <row r="122" spans="1:44">
      <c r="A122" s="115" t="s">
        <v>322</v>
      </c>
      <c r="B122" s="118">
        <v>28.756025245809649</v>
      </c>
      <c r="C122" s="118">
        <v>27.648846660936634</v>
      </c>
      <c r="D122" s="118">
        <v>26.949822749720219</v>
      </c>
      <c r="E122" s="116">
        <v>27.72242599129228</v>
      </c>
      <c r="F122" s="116">
        <v>27.210865763944856</v>
      </c>
      <c r="G122" s="116">
        <v>29.181944040569448</v>
      </c>
      <c r="H122" s="116">
        <v>27.975223604114539</v>
      </c>
      <c r="I122" s="116">
        <v>28.443591002425713</v>
      </c>
      <c r="J122" s="116">
        <v>28.974275021911911</v>
      </c>
      <c r="K122" s="116">
        <v>29.794181598044368</v>
      </c>
      <c r="L122" s="116">
        <v>31.231477707927173</v>
      </c>
      <c r="M122" s="116">
        <v>30.106841706296759</v>
      </c>
      <c r="N122" s="116">
        <v>30.995074637101212</v>
      </c>
      <c r="O122" s="116">
        <v>30.661438843487147</v>
      </c>
      <c r="P122" s="116">
        <v>29.593629121075832</v>
      </c>
      <c r="Q122" s="116">
        <v>29.324414474049568</v>
      </c>
      <c r="R122" s="116">
        <v>27.291289696031946</v>
      </c>
      <c r="S122" s="116">
        <v>26.917982207946636</v>
      </c>
      <c r="T122" s="116">
        <v>27.796755081125848</v>
      </c>
      <c r="U122" s="116">
        <v>27.816457032684749</v>
      </c>
      <c r="V122" s="116">
        <v>28.415742056006906</v>
      </c>
      <c r="W122" s="116">
        <v>27.195418173079098</v>
      </c>
      <c r="X122" s="116">
        <v>28.587023747473044</v>
      </c>
      <c r="Y122" s="116">
        <v>28.194999204918251</v>
      </c>
      <c r="Z122" s="116">
        <v>27.906434419417046</v>
      </c>
      <c r="AA122" s="116">
        <v>28.945551453742926</v>
      </c>
      <c r="AB122" s="116">
        <v>29.070100111591554</v>
      </c>
      <c r="AC122" s="116">
        <v>29.092971221836841</v>
      </c>
      <c r="AD122" s="116">
        <v>29.188437684858897</v>
      </c>
      <c r="AE122" s="116">
        <v>28.710983287398793</v>
      </c>
      <c r="AF122" s="116">
        <v>27.938417374891095</v>
      </c>
      <c r="AG122" s="116">
        <v>28.979297753336976</v>
      </c>
      <c r="AH122" s="116">
        <v>29.272315923318565</v>
      </c>
      <c r="AI122" s="285">
        <v>28.328430422897256</v>
      </c>
      <c r="AJ122" s="285">
        <v>28.804687649193998</v>
      </c>
      <c r="AK122" s="285">
        <v>29.633419906508294</v>
      </c>
      <c r="AL122" s="285">
        <v>29.411910092771567</v>
      </c>
      <c r="AM122" s="285">
        <f>(SUM(AM117:AM121))</f>
        <v>28.518518104317959</v>
      </c>
      <c r="AN122" s="285">
        <v>27.625126115864354</v>
      </c>
      <c r="AO122" s="285">
        <f>(SUM(AO117:AO121))</f>
        <v>27.525441987437514</v>
      </c>
      <c r="AP122" s="285">
        <v>27.42575785901067</v>
      </c>
      <c r="AQ122" s="285">
        <v>23.666068298138534</v>
      </c>
      <c r="AR122" s="285">
        <v>22.841814012181164</v>
      </c>
    </row>
    <row r="123" spans="1:44">
      <c r="A123" s="119" t="s">
        <v>323</v>
      </c>
      <c r="B123" s="121">
        <v>1173.3567105137556</v>
      </c>
      <c r="C123" s="121">
        <v>1135.5846760927504</v>
      </c>
      <c r="D123" s="121">
        <v>1132.8720747377288</v>
      </c>
      <c r="E123" s="120">
        <v>1080.1103783861176</v>
      </c>
      <c r="F123" s="120">
        <v>991.96970422366724</v>
      </c>
      <c r="G123" s="120">
        <v>926.91187135602866</v>
      </c>
      <c r="H123" s="120">
        <v>842.84784129341563</v>
      </c>
      <c r="I123" s="120">
        <v>799.7059997850904</v>
      </c>
      <c r="J123" s="120">
        <v>761.70573837700942</v>
      </c>
      <c r="K123" s="120">
        <v>730.73119530570136</v>
      </c>
      <c r="L123" s="120">
        <v>681.65286865949611</v>
      </c>
      <c r="M123" s="120">
        <v>633.006844764275</v>
      </c>
      <c r="N123" s="120">
        <v>586.40838223819151</v>
      </c>
      <c r="O123" s="120">
        <v>538.89155009553281</v>
      </c>
      <c r="P123" s="120">
        <v>498.67821867423964</v>
      </c>
      <c r="Q123" s="120">
        <v>487.35604640953164</v>
      </c>
      <c r="R123" s="120">
        <v>411.80857820131621</v>
      </c>
      <c r="S123" s="120">
        <v>373.6569856540641</v>
      </c>
      <c r="T123" s="120">
        <v>331.19287644783191</v>
      </c>
      <c r="U123" s="120">
        <v>305.27424275496696</v>
      </c>
      <c r="V123" s="120">
        <v>291.2449450524141</v>
      </c>
      <c r="W123" s="120">
        <v>258.78152574735765</v>
      </c>
      <c r="X123" s="120">
        <v>237.51594555947975</v>
      </c>
      <c r="Y123" s="120">
        <v>219.91229433256498</v>
      </c>
      <c r="Z123" s="120">
        <v>204.08538862056713</v>
      </c>
      <c r="AA123" s="120">
        <v>217.06346587287101</v>
      </c>
      <c r="AB123" s="120">
        <v>209.74946615135738</v>
      </c>
      <c r="AC123" s="120">
        <v>197.87158035936793</v>
      </c>
      <c r="AD123" s="120">
        <v>189.82521711980928</v>
      </c>
      <c r="AE123" s="120">
        <v>183.91651649534245</v>
      </c>
      <c r="AF123" s="120">
        <v>154.17661149829644</v>
      </c>
      <c r="AG123" s="120">
        <v>169.08434409891495</v>
      </c>
      <c r="AH123" s="120">
        <v>170.33793187706556</v>
      </c>
      <c r="AI123" s="286">
        <v>167.18971661458659</v>
      </c>
      <c r="AJ123" s="286">
        <v>166.48391861560916</v>
      </c>
      <c r="AK123" s="286">
        <v>165.95409999408898</v>
      </c>
      <c r="AL123" s="286">
        <v>160.99075435310101</v>
      </c>
      <c r="AM123" s="286">
        <f>(+AM116+AM122)</f>
        <v>161.60916369289276</v>
      </c>
      <c r="AN123" s="286">
        <v>162.22757303268455</v>
      </c>
      <c r="AO123" s="286">
        <f>(+AO116+AO122)</f>
        <v>163.60334113547469</v>
      </c>
      <c r="AP123" s="286">
        <v>164.97910923826487</v>
      </c>
      <c r="AQ123" s="286">
        <v>86.863403702279115</v>
      </c>
      <c r="AR123" s="286">
        <v>26.152978095622956</v>
      </c>
    </row>
    <row r="124" spans="1:44">
      <c r="A124" s="122"/>
      <c r="B124" s="122"/>
      <c r="C124" s="122"/>
      <c r="D124" s="122"/>
      <c r="E124" s="122"/>
      <c r="F124" s="122"/>
      <c r="G124" s="122"/>
      <c r="H124" s="122"/>
      <c r="I124" s="122"/>
      <c r="J124" s="122"/>
      <c r="K124" s="122"/>
      <c r="L124" s="122"/>
      <c r="M124" s="122"/>
      <c r="N124" s="122"/>
      <c r="O124" s="122"/>
      <c r="P124" s="122"/>
      <c r="Q124" s="122"/>
      <c r="R124" s="122"/>
      <c r="S124" s="122"/>
      <c r="T124" s="122"/>
      <c r="U124" s="122"/>
      <c r="V124" s="122"/>
      <c r="W124" s="140"/>
      <c r="X124" s="140"/>
      <c r="Y124" s="140"/>
      <c r="Z124" s="140"/>
      <c r="AA124" s="140"/>
      <c r="AB124" s="140"/>
      <c r="AC124" s="140"/>
      <c r="AD124" s="140"/>
      <c r="AE124" s="140"/>
      <c r="AF124" s="122"/>
      <c r="AG124" s="122"/>
      <c r="AH124" s="122"/>
      <c r="AL124" s="277">
        <v>0</v>
      </c>
      <c r="AM124" s="277">
        <v>0</v>
      </c>
      <c r="AN124" s="277">
        <v>0</v>
      </c>
      <c r="AO124" s="277">
        <v>0</v>
      </c>
      <c r="AP124" s="277">
        <v>0</v>
      </c>
      <c r="AQ124" s="277">
        <v>0</v>
      </c>
      <c r="AR124" s="277">
        <v>0</v>
      </c>
    </row>
    <row r="125" spans="1:44" ht="24">
      <c r="A125" s="123" t="s">
        <v>324</v>
      </c>
      <c r="B125" s="124">
        <v>0.22622124656616413</v>
      </c>
      <c r="C125" s="124">
        <v>0.21637608428446006</v>
      </c>
      <c r="D125" s="124">
        <v>0.24066565185935465</v>
      </c>
      <c r="E125" s="124">
        <v>0.17698766400000002</v>
      </c>
      <c r="F125" s="124">
        <v>0.19780731232827831</v>
      </c>
      <c r="G125" s="124">
        <v>0.21644896572890027</v>
      </c>
      <c r="H125" s="124">
        <v>0.20347062325905291</v>
      </c>
      <c r="I125" s="124">
        <v>0.19743233157338969</v>
      </c>
      <c r="J125" s="124">
        <v>0.21490465794392521</v>
      </c>
      <c r="K125" s="124">
        <v>0.21160484792683359</v>
      </c>
      <c r="L125" s="124">
        <v>0.24150500721326865</v>
      </c>
      <c r="M125" s="124">
        <v>0.24068353352508171</v>
      </c>
      <c r="N125" s="124">
        <v>0.23345350399144768</v>
      </c>
      <c r="O125" s="124">
        <v>0.21964604996726758</v>
      </c>
      <c r="P125" s="124">
        <v>0.24054122402266093</v>
      </c>
      <c r="Q125" s="124">
        <v>0.24474492940285225</v>
      </c>
      <c r="R125" s="124">
        <v>0.2507728348948155</v>
      </c>
      <c r="S125" s="124">
        <v>0.23954207819785581</v>
      </c>
      <c r="T125" s="124">
        <v>0.22839779227784027</v>
      </c>
      <c r="U125" s="124">
        <v>0.19867137177956362</v>
      </c>
      <c r="V125" s="124">
        <v>0.22856556912350959</v>
      </c>
      <c r="W125" s="124">
        <v>0.21033179890563683</v>
      </c>
      <c r="X125" s="124">
        <v>0.21349129954931689</v>
      </c>
      <c r="Y125" s="124">
        <v>0.21873771404061956</v>
      </c>
      <c r="Z125" s="124">
        <v>0.21750531187120173</v>
      </c>
      <c r="AA125" s="124">
        <v>0.21087519193069293</v>
      </c>
      <c r="AB125" s="124">
        <v>0.20443372879180066</v>
      </c>
      <c r="AC125" s="124">
        <v>0.20822728007221331</v>
      </c>
      <c r="AD125" s="124">
        <v>0.18303462967300954</v>
      </c>
      <c r="AE125" s="124">
        <v>0.20027094037432999</v>
      </c>
      <c r="AF125" s="124">
        <v>0.1649980890853579</v>
      </c>
      <c r="AG125" s="124">
        <v>0.16740776349173717</v>
      </c>
      <c r="AH125" s="124">
        <v>0.1630084615871733</v>
      </c>
      <c r="AI125" s="277">
        <v>0.14292158001001729</v>
      </c>
      <c r="AJ125" s="277">
        <v>0.14717183448830967</v>
      </c>
      <c r="AK125" s="277">
        <v>0.35690316651933041</v>
      </c>
      <c r="AL125" s="277">
        <v>0.1894983105298633</v>
      </c>
      <c r="AM125" s="277">
        <f>(AL125+(AN125-AL125)/2)</f>
        <v>0.28496426408156217</v>
      </c>
      <c r="AN125" s="277">
        <v>0.38043021763326101</v>
      </c>
      <c r="AO125" s="277">
        <f>(AN125+(AP125-AN125)/2)</f>
        <v>0.40823419714197917</v>
      </c>
      <c r="AP125" s="277">
        <v>0.43603817665069727</v>
      </c>
      <c r="AQ125" s="277">
        <v>0.48467701547693126</v>
      </c>
      <c r="AR125" s="277">
        <v>0.57682051212996377</v>
      </c>
    </row>
    <row r="126" spans="1:44" ht="24">
      <c r="A126" s="123" t="s">
        <v>325</v>
      </c>
      <c r="B126" s="124">
        <v>16.850465133011475</v>
      </c>
      <c r="C126" s="124">
        <v>17.484499891938043</v>
      </c>
      <c r="D126" s="124">
        <v>17.226971360717407</v>
      </c>
      <c r="E126" s="124">
        <v>16.425528858572456</v>
      </c>
      <c r="F126" s="124">
        <v>14.538116848134422</v>
      </c>
      <c r="G126" s="124">
        <v>15.00000058322121</v>
      </c>
      <c r="H126" s="124">
        <v>15.757056901364226</v>
      </c>
      <c r="I126" s="124">
        <v>17.627409976441701</v>
      </c>
      <c r="J126" s="124">
        <v>19.94262639463874</v>
      </c>
      <c r="K126" s="124">
        <v>20.344160806063336</v>
      </c>
      <c r="L126" s="124">
        <v>20.44976406360777</v>
      </c>
      <c r="M126" s="124">
        <v>17.116326892537412</v>
      </c>
      <c r="N126" s="124">
        <v>16.725988772998555</v>
      </c>
      <c r="O126" s="124">
        <v>18.556141924470754</v>
      </c>
      <c r="P126" s="124">
        <v>22.364012638647942</v>
      </c>
      <c r="Q126" s="124">
        <v>20.723306315705742</v>
      </c>
      <c r="R126" s="124">
        <v>21.689642803101535</v>
      </c>
      <c r="S126" s="124">
        <v>22.502801320631196</v>
      </c>
      <c r="T126" s="124">
        <v>19.050637951475625</v>
      </c>
      <c r="U126" s="124">
        <v>19.20449036493866</v>
      </c>
      <c r="V126" s="124">
        <v>18.484453354786123</v>
      </c>
      <c r="W126" s="124">
        <v>19.895244687115287</v>
      </c>
      <c r="X126" s="124">
        <v>18.644951772283296</v>
      </c>
      <c r="Y126" s="124">
        <v>16.915607195220797</v>
      </c>
      <c r="Z126" s="124">
        <v>14.336704888898556</v>
      </c>
      <c r="AA126" s="124">
        <v>12.570789916313865</v>
      </c>
      <c r="AB126" s="124">
        <v>11.603452583628357</v>
      </c>
      <c r="AC126" s="124">
        <v>12.884086037370629</v>
      </c>
      <c r="AD126" s="124">
        <v>14.558818414435468</v>
      </c>
      <c r="AE126" s="124">
        <v>12.853835321760915</v>
      </c>
      <c r="AF126" s="124">
        <v>6.9431695879780539</v>
      </c>
      <c r="AG126" s="124">
        <v>7.8621318037370802</v>
      </c>
      <c r="AH126" s="124">
        <v>9.2040192360482145</v>
      </c>
      <c r="AI126" s="277">
        <v>8.3797450763873389</v>
      </c>
      <c r="AJ126" s="277">
        <v>9.57153117740787</v>
      </c>
      <c r="AK126" s="277">
        <v>133.96475224676172</v>
      </c>
      <c r="AL126" s="277">
        <v>129.86541633623412</v>
      </c>
      <c r="AM126" s="277">
        <f>(AL126+(AN126-AL126)/2)</f>
        <v>117.97114993137211</v>
      </c>
      <c r="AN126" s="277">
        <v>106.0768835265101</v>
      </c>
      <c r="AO126" s="277">
        <f>(AN126+(AP126-AN126)/2)</f>
        <v>111.0338257461882</v>
      </c>
      <c r="AP126" s="277">
        <v>115.99076796586628</v>
      </c>
      <c r="AQ126" s="277">
        <v>175.00169742433295</v>
      </c>
      <c r="AR126" s="277">
        <v>200.30023723302867</v>
      </c>
    </row>
    <row r="127" spans="1:44" ht="24">
      <c r="A127" s="123" t="s">
        <v>326</v>
      </c>
      <c r="B127" s="124">
        <v>4.6103478606045671</v>
      </c>
      <c r="C127" s="124">
        <v>3.6989296941095162</v>
      </c>
      <c r="D127" s="124">
        <v>3.6045686177068816</v>
      </c>
      <c r="E127" s="124">
        <v>3.0287362479728306</v>
      </c>
      <c r="F127" s="124">
        <v>2.6790896691606414</v>
      </c>
      <c r="G127" s="124">
        <v>2.6408406339399271</v>
      </c>
      <c r="H127" s="124">
        <v>2.6775099868589574</v>
      </c>
      <c r="I127" s="124">
        <v>2.6661349110803831</v>
      </c>
      <c r="J127" s="124">
        <v>2.6381035079902651</v>
      </c>
      <c r="K127" s="124">
        <v>2.5265293110046811</v>
      </c>
      <c r="L127" s="124">
        <v>2.2013566034396117</v>
      </c>
      <c r="M127" s="124">
        <v>1.9854759717838766</v>
      </c>
      <c r="N127" s="124">
        <v>1.8209675765899713</v>
      </c>
      <c r="O127" s="124">
        <v>1.8015207871064911</v>
      </c>
      <c r="P127" s="124">
        <v>1.8851926266663213</v>
      </c>
      <c r="Q127" s="124">
        <v>1.924463784083468</v>
      </c>
      <c r="R127" s="124">
        <v>1.9923549725291727</v>
      </c>
      <c r="S127" s="124">
        <v>2.0410851706510007</v>
      </c>
      <c r="T127" s="124">
        <v>2.0442322850134476</v>
      </c>
      <c r="U127" s="124">
        <v>1.9213746783661625</v>
      </c>
      <c r="V127" s="124">
        <v>1.9197091443050995</v>
      </c>
      <c r="W127" s="124">
        <v>1.982816949405604</v>
      </c>
      <c r="X127" s="124">
        <v>1.9618565172360025</v>
      </c>
      <c r="Y127" s="124">
        <v>1.9087376072772062</v>
      </c>
      <c r="Z127" s="124">
        <v>1.8892515752768058</v>
      </c>
      <c r="AA127" s="124">
        <v>1.911946776401211</v>
      </c>
      <c r="AB127" s="124">
        <v>1.9860121549352128</v>
      </c>
      <c r="AC127" s="124">
        <v>1.9620883419256023</v>
      </c>
      <c r="AD127" s="124">
        <v>1.9506061502088032</v>
      </c>
      <c r="AE127" s="124">
        <v>1.9504190380780002</v>
      </c>
      <c r="AF127" s="124">
        <v>0.82800086249439464</v>
      </c>
      <c r="AG127" s="124">
        <v>0.98923145695918491</v>
      </c>
      <c r="AH127" s="124">
        <v>1.4853604714284141</v>
      </c>
      <c r="AI127" s="277">
        <v>1.5638852640320193</v>
      </c>
      <c r="AJ127" s="277">
        <v>1.599813697580339</v>
      </c>
      <c r="AK127" s="277">
        <v>1.2659162499441223</v>
      </c>
      <c r="AL127" s="277">
        <v>1.6374537207246067</v>
      </c>
      <c r="AM127" s="277">
        <f>(AL127+(AN127-AL127)/2)</f>
        <v>1.4926724153226112</v>
      </c>
      <c r="AN127" s="277">
        <v>1.3478911099206154</v>
      </c>
      <c r="AO127" s="277">
        <f>(AN127+(AP127-AN127)/2)</f>
        <v>1.3049241397250335</v>
      </c>
      <c r="AP127" s="277">
        <v>1.2619571695294516</v>
      </c>
      <c r="AQ127" s="277">
        <v>0.78667267786144623</v>
      </c>
      <c r="AR127" s="277">
        <v>0.47000456830265358</v>
      </c>
    </row>
    <row r="128" spans="1:44">
      <c r="A128" s="125" t="s">
        <v>327</v>
      </c>
      <c r="B128" s="126">
        <v>0</v>
      </c>
      <c r="C128" s="126">
        <v>0</v>
      </c>
      <c r="D128" s="126">
        <v>0</v>
      </c>
      <c r="E128" s="126">
        <v>0</v>
      </c>
      <c r="F128" s="126">
        <v>0</v>
      </c>
      <c r="G128" s="126">
        <v>0</v>
      </c>
      <c r="H128" s="126">
        <v>0</v>
      </c>
      <c r="I128" s="126">
        <v>0</v>
      </c>
      <c r="J128" s="126">
        <v>0</v>
      </c>
      <c r="K128" s="126">
        <v>0</v>
      </c>
      <c r="L128" s="126">
        <v>0</v>
      </c>
      <c r="M128" s="126">
        <v>0</v>
      </c>
      <c r="N128" s="126">
        <v>0</v>
      </c>
      <c r="O128" s="126">
        <v>0</v>
      </c>
      <c r="P128" s="126">
        <v>0</v>
      </c>
      <c r="Q128" s="126">
        <v>0</v>
      </c>
      <c r="R128" s="126">
        <v>0</v>
      </c>
      <c r="S128" s="126">
        <v>0</v>
      </c>
      <c r="T128" s="126">
        <v>0</v>
      </c>
      <c r="U128" s="126">
        <v>0</v>
      </c>
      <c r="V128" s="126">
        <v>0</v>
      </c>
      <c r="W128" s="126">
        <v>0</v>
      </c>
      <c r="X128" s="126">
        <v>0</v>
      </c>
      <c r="Y128" s="126">
        <v>0</v>
      </c>
      <c r="Z128" s="126">
        <v>0</v>
      </c>
      <c r="AA128" s="126">
        <v>0</v>
      </c>
      <c r="AB128" s="126">
        <v>0</v>
      </c>
      <c r="AC128" s="126">
        <v>0</v>
      </c>
      <c r="AD128" s="126">
        <v>0</v>
      </c>
      <c r="AE128" s="126">
        <v>0</v>
      </c>
      <c r="AF128" s="126">
        <v>0</v>
      </c>
      <c r="AG128" s="126">
        <v>0</v>
      </c>
      <c r="AH128" s="126">
        <v>0</v>
      </c>
      <c r="AI128" s="277">
        <v>0</v>
      </c>
      <c r="AJ128" s="277">
        <v>0</v>
      </c>
      <c r="AK128" s="277">
        <v>0</v>
      </c>
      <c r="AL128" s="277">
        <v>0</v>
      </c>
      <c r="AM128" s="277">
        <f>(AL128+(AN128-AL128)/2)*1000</f>
        <v>0</v>
      </c>
      <c r="AN128" s="277">
        <v>0</v>
      </c>
      <c r="AO128" s="277">
        <f>(AN128+(AP128-AN128)/2)*1000</f>
        <v>0</v>
      </c>
      <c r="AP128" s="277">
        <v>0</v>
      </c>
      <c r="AQ128" s="277">
        <v>0</v>
      </c>
      <c r="AR128" s="277">
        <v>0</v>
      </c>
    </row>
    <row r="129" spans="1:44">
      <c r="A129" s="127" t="s">
        <v>328</v>
      </c>
      <c r="B129" s="129">
        <v>21.687034240182207</v>
      </c>
      <c r="C129" s="129">
        <v>21.399805670332018</v>
      </c>
      <c r="D129" s="129">
        <v>21.072205630283644</v>
      </c>
      <c r="E129" s="129">
        <v>19.631252770545284</v>
      </c>
      <c r="F129" s="128">
        <v>17.415013829623341</v>
      </c>
      <c r="G129" s="128">
        <v>17.85729018289004</v>
      </c>
      <c r="H129" s="128">
        <v>18.638037511482235</v>
      </c>
      <c r="I129" s="128">
        <v>20.490977219095473</v>
      </c>
      <c r="J129" s="128">
        <v>22.795634560572932</v>
      </c>
      <c r="K129" s="128">
        <v>23.082294964994848</v>
      </c>
      <c r="L129" s="128">
        <v>22.89262567426065</v>
      </c>
      <c r="M129" s="128">
        <v>19.342486397846372</v>
      </c>
      <c r="N129" s="128">
        <v>18.780409853579975</v>
      </c>
      <c r="O129" s="128">
        <v>20.577308761544511</v>
      </c>
      <c r="P129" s="128">
        <v>24.489746489336923</v>
      </c>
      <c r="Q129" s="128">
        <v>22.892515029192062</v>
      </c>
      <c r="R129" s="128">
        <v>23.932770610525523</v>
      </c>
      <c r="S129" s="128">
        <v>24.783428569480055</v>
      </c>
      <c r="T129" s="128">
        <v>21.323268028766911</v>
      </c>
      <c r="U129" s="128">
        <v>21.324536415084388</v>
      </c>
      <c r="V129" s="128">
        <v>20.632728068214732</v>
      </c>
      <c r="W129" s="128">
        <v>22.088393435426529</v>
      </c>
      <c r="X129" s="128">
        <v>20.820299589068618</v>
      </c>
      <c r="Y129" s="128">
        <v>19.043082516538625</v>
      </c>
      <c r="Z129" s="128">
        <v>16.443461776046565</v>
      </c>
      <c r="AA129" s="128">
        <v>14.693611884645769</v>
      </c>
      <c r="AB129" s="128">
        <v>13.793898467355369</v>
      </c>
      <c r="AC129" s="128">
        <v>15.054401659368445</v>
      </c>
      <c r="AD129" s="128">
        <v>16.69245919431728</v>
      </c>
      <c r="AE129" s="128">
        <v>15.004525300213244</v>
      </c>
      <c r="AF129" s="128">
        <v>7.9361685395578059</v>
      </c>
      <c r="AG129" s="128">
        <v>9.0187710241880019</v>
      </c>
      <c r="AH129" s="128">
        <v>10.852388169063802</v>
      </c>
      <c r="AI129" s="287">
        <v>10.086551920429375</v>
      </c>
      <c r="AJ129" s="287">
        <v>11.318516709476519</v>
      </c>
      <c r="AK129" s="287">
        <v>135.58757166322516</v>
      </c>
      <c r="AL129" s="277">
        <v>131.69236836748857</v>
      </c>
      <c r="AM129" s="277">
        <f>SUM(AM125:AM128)</f>
        <v>119.74878661077629</v>
      </c>
      <c r="AN129" s="277">
        <v>107.80520485406397</v>
      </c>
      <c r="AO129" s="277">
        <f>SUM(AO125:AO128)</f>
        <v>112.74698408305521</v>
      </c>
      <c r="AP129" s="277">
        <v>117.68876331204643</v>
      </c>
      <c r="AQ129" s="277">
        <v>176.27304711767133</v>
      </c>
      <c r="AR129" s="277">
        <v>201.34706231346129</v>
      </c>
    </row>
    <row r="130" spans="1:44" ht="15">
      <c r="A130" s="501"/>
      <c r="B130" s="501"/>
      <c r="C130" s="501"/>
      <c r="D130" s="501"/>
      <c r="E130" s="501"/>
      <c r="F130" s="501"/>
      <c r="G130" s="501"/>
      <c r="H130" s="501"/>
      <c r="I130" s="501"/>
      <c r="J130" s="501"/>
      <c r="K130" s="501"/>
      <c r="L130" s="501"/>
      <c r="M130" s="501"/>
      <c r="N130" s="501"/>
      <c r="O130" s="501"/>
      <c r="P130" s="501"/>
      <c r="Q130" s="501"/>
      <c r="R130" s="501"/>
      <c r="S130" s="501"/>
      <c r="T130" s="501"/>
      <c r="U130" s="501"/>
      <c r="V130" s="501"/>
      <c r="W130" s="501"/>
      <c r="X130" s="501"/>
      <c r="Y130" s="501"/>
      <c r="Z130" s="501"/>
      <c r="AA130" s="501"/>
      <c r="AB130" s="501"/>
      <c r="AC130" s="61"/>
      <c r="AD130" s="61"/>
      <c r="AE130" s="61"/>
      <c r="AF130" s="61"/>
      <c r="AG130" s="61"/>
      <c r="AH130" s="61"/>
    </row>
    <row r="131" spans="1:44">
      <c r="A131" s="130" t="s">
        <v>329</v>
      </c>
      <c r="B131" s="131"/>
      <c r="C131" s="131"/>
      <c r="D131" s="131"/>
      <c r="E131" s="131"/>
      <c r="F131" s="131"/>
      <c r="G131" s="131"/>
      <c r="H131" s="131"/>
      <c r="I131" s="131"/>
      <c r="J131" s="131"/>
      <c r="K131" s="131"/>
      <c r="L131" s="131"/>
      <c r="M131" s="131"/>
      <c r="N131" s="131"/>
      <c r="O131" s="131"/>
      <c r="P131" s="131"/>
      <c r="Q131" s="131"/>
      <c r="R131" s="131"/>
      <c r="S131" s="131"/>
      <c r="T131" s="131"/>
      <c r="U131" s="131"/>
      <c r="V131" s="131"/>
      <c r="W131" s="131"/>
      <c r="X131" s="131"/>
      <c r="Y131" s="131"/>
      <c r="Z131" s="131"/>
      <c r="AA131" s="131"/>
      <c r="AB131" s="131"/>
      <c r="AC131" s="131"/>
      <c r="AD131" s="131"/>
      <c r="AE131" s="131"/>
      <c r="AF131" s="131"/>
      <c r="AG131" s="131"/>
      <c r="AH131" s="131"/>
      <c r="AI131" s="131"/>
      <c r="AJ131" s="131"/>
      <c r="AK131" s="506" t="s">
        <v>262</v>
      </c>
      <c r="AL131" s="506"/>
      <c r="AM131" s="506"/>
      <c r="AN131" s="506"/>
      <c r="AO131" s="506"/>
      <c r="AP131" s="506"/>
      <c r="AQ131" s="506"/>
      <c r="AR131" s="506"/>
    </row>
    <row r="132" spans="1:44" ht="39.6">
      <c r="A132" s="66" t="s">
        <v>340</v>
      </c>
      <c r="B132" s="67">
        <v>1990</v>
      </c>
      <c r="C132" s="67">
        <v>1991</v>
      </c>
      <c r="D132" s="67">
        <v>1992</v>
      </c>
      <c r="E132" s="67">
        <v>1993</v>
      </c>
      <c r="F132" s="67">
        <v>1994</v>
      </c>
      <c r="G132" s="67">
        <v>1995</v>
      </c>
      <c r="H132" s="67">
        <v>1996</v>
      </c>
      <c r="I132" s="67">
        <v>1997</v>
      </c>
      <c r="J132" s="67">
        <v>1998</v>
      </c>
      <c r="K132" s="67">
        <v>1999</v>
      </c>
      <c r="L132" s="67">
        <v>2000</v>
      </c>
      <c r="M132" s="67">
        <v>2001</v>
      </c>
      <c r="N132" s="67">
        <v>2002</v>
      </c>
      <c r="O132" s="67">
        <v>2003</v>
      </c>
      <c r="P132" s="67">
        <v>2004</v>
      </c>
      <c r="Q132" s="67">
        <v>2005</v>
      </c>
      <c r="R132" s="67">
        <v>2006</v>
      </c>
      <c r="S132" s="67">
        <v>2007</v>
      </c>
      <c r="T132" s="67">
        <v>2008</v>
      </c>
      <c r="U132" s="67">
        <v>2009</v>
      </c>
      <c r="V132" s="67">
        <v>2010</v>
      </c>
      <c r="W132" s="67">
        <v>2011</v>
      </c>
      <c r="X132" s="67">
        <v>2012</v>
      </c>
      <c r="Y132" s="67">
        <v>2013</v>
      </c>
      <c r="Z132" s="67">
        <v>2014</v>
      </c>
      <c r="AA132" s="67">
        <v>2015</v>
      </c>
      <c r="AB132" s="67">
        <v>2016</v>
      </c>
      <c r="AC132" s="67">
        <v>2017</v>
      </c>
      <c r="AD132" s="67">
        <v>2018</v>
      </c>
      <c r="AE132" s="67">
        <v>2019</v>
      </c>
      <c r="AF132" s="67">
        <v>2020</v>
      </c>
      <c r="AG132" s="68">
        <v>2021</v>
      </c>
      <c r="AH132" s="68">
        <v>2022</v>
      </c>
      <c r="AI132" s="67">
        <v>2023</v>
      </c>
      <c r="AJ132" s="142">
        <v>2024</v>
      </c>
      <c r="AK132" s="393">
        <v>2025</v>
      </c>
      <c r="AL132" s="394">
        <v>2026</v>
      </c>
      <c r="AM132" s="394">
        <v>2027</v>
      </c>
      <c r="AN132" s="393">
        <v>2028</v>
      </c>
      <c r="AO132" s="394">
        <v>2029</v>
      </c>
      <c r="AP132" s="393">
        <v>2030</v>
      </c>
      <c r="AQ132" s="395">
        <v>2040</v>
      </c>
      <c r="AR132" s="396">
        <v>2050</v>
      </c>
    </row>
    <row r="133" spans="1:44">
      <c r="A133" s="91" t="s">
        <v>85</v>
      </c>
      <c r="B133" s="83">
        <v>174.27367690454867</v>
      </c>
      <c r="C133" s="83">
        <v>84.787581608625601</v>
      </c>
      <c r="D133" s="83">
        <v>95.911706606175329</v>
      </c>
      <c r="E133" s="83">
        <v>94.549287759798702</v>
      </c>
      <c r="F133" s="83">
        <v>105.02783313132453</v>
      </c>
      <c r="G133" s="83">
        <v>89.174758015638972</v>
      </c>
      <c r="H133" s="83">
        <v>87.386969285916507</v>
      </c>
      <c r="I133" s="83">
        <v>101.18310290482081</v>
      </c>
      <c r="J133" s="83">
        <v>97.60412024036863</v>
      </c>
      <c r="K133" s="83">
        <v>91.028764712355866</v>
      </c>
      <c r="L133" s="83">
        <v>98.507542123764793</v>
      </c>
      <c r="M133" s="83">
        <v>93.697229631224758</v>
      </c>
      <c r="N133" s="83">
        <v>119.4457250052772</v>
      </c>
      <c r="O133" s="83">
        <v>171.37599091548037</v>
      </c>
      <c r="P133" s="83">
        <v>78.546813976859085</v>
      </c>
      <c r="Q133" s="83">
        <v>97.009555197933764</v>
      </c>
      <c r="R133" s="83">
        <v>68.546488944272909</v>
      </c>
      <c r="S133" s="83">
        <v>66.957255131259089</v>
      </c>
      <c r="T133" s="83">
        <v>63.070845561854711</v>
      </c>
      <c r="U133" s="83">
        <v>80.483867226422944</v>
      </c>
      <c r="V133" s="83">
        <v>68.573854345719681</v>
      </c>
      <c r="W133" s="83">
        <v>83.433021723453137</v>
      </c>
      <c r="X133" s="83">
        <v>81.651793375893689</v>
      </c>
      <c r="Y133" s="83">
        <v>49.336424259575161</v>
      </c>
      <c r="Z133" s="83">
        <v>71.797982574488145</v>
      </c>
      <c r="AA133" s="83">
        <v>66.206146501733016</v>
      </c>
      <c r="AB133" s="83">
        <v>77.859169358605627</v>
      </c>
      <c r="AC133" s="83">
        <v>84.995315153615138</v>
      </c>
      <c r="AD133" s="83">
        <v>58.644968656066055</v>
      </c>
      <c r="AE133" s="83">
        <v>80.296038938633387</v>
      </c>
      <c r="AF133" s="83">
        <v>68.689127214372633</v>
      </c>
      <c r="AG133" s="83">
        <v>70.171196319987502</v>
      </c>
      <c r="AH133" s="83">
        <v>180.62138481852924</v>
      </c>
      <c r="AI133" s="277">
        <v>63.756842018694321</v>
      </c>
      <c r="AJ133" s="277">
        <v>56.216757973976897</v>
      </c>
      <c r="AK133" s="277">
        <v>86.475392486159492</v>
      </c>
      <c r="AL133" s="277">
        <v>56.123244851480166</v>
      </c>
      <c r="AM133" s="277">
        <f t="shared" ref="AM133:AO140" si="23">AL133+(AN133-AL133)/2</f>
        <v>62.578950430767549</v>
      </c>
      <c r="AN133" s="277">
        <v>69.034656010054931</v>
      </c>
      <c r="AO133" s="277">
        <f t="shared" si="23"/>
        <v>69.034656010054931</v>
      </c>
      <c r="AP133" s="277">
        <v>69.034656010054931</v>
      </c>
      <c r="AQ133" s="277">
        <v>69.034656010054931</v>
      </c>
      <c r="AR133" s="277">
        <v>69.034656010054931</v>
      </c>
    </row>
    <row r="134" spans="1:44">
      <c r="A134" s="91" t="s">
        <v>330</v>
      </c>
      <c r="B134" s="83">
        <v>117.10829067352708</v>
      </c>
      <c r="C134" s="83">
        <v>203.52903996191884</v>
      </c>
      <c r="D134" s="83">
        <v>208.38529614723856</v>
      </c>
      <c r="E134" s="83">
        <v>210.14532139493465</v>
      </c>
      <c r="F134" s="83">
        <v>201.92452408237472</v>
      </c>
      <c r="G134" s="83">
        <v>127.03645018503228</v>
      </c>
      <c r="H134" s="83">
        <v>193.09745710157301</v>
      </c>
      <c r="I134" s="83">
        <v>191.40057390269234</v>
      </c>
      <c r="J134" s="83">
        <v>189.95356082695321</v>
      </c>
      <c r="K134" s="83">
        <v>184.97972095693515</v>
      </c>
      <c r="L134" s="83">
        <v>116.27020110782762</v>
      </c>
      <c r="M134" s="83">
        <v>157.50479324938357</v>
      </c>
      <c r="N134" s="83">
        <v>153.81142587299775</v>
      </c>
      <c r="O134" s="83">
        <v>153.39651592725059</v>
      </c>
      <c r="P134" s="83">
        <v>152.96552409864631</v>
      </c>
      <c r="Q134" s="83">
        <v>106.90631766390962</v>
      </c>
      <c r="R134" s="83">
        <v>152.35810659933784</v>
      </c>
      <c r="S134" s="83">
        <v>154.09855513521293</v>
      </c>
      <c r="T134" s="83">
        <v>154.89608456520617</v>
      </c>
      <c r="U134" s="83">
        <v>164.08036484382782</v>
      </c>
      <c r="V134" s="83">
        <v>111.70506993806437</v>
      </c>
      <c r="W134" s="83">
        <v>177.01737850745442</v>
      </c>
      <c r="X134" s="83">
        <v>181.11581539275602</v>
      </c>
      <c r="Y134" s="83">
        <v>181.202207499065</v>
      </c>
      <c r="Z134" s="83">
        <v>182.42822522336607</v>
      </c>
      <c r="AA134" s="83">
        <v>105.45969882124783</v>
      </c>
      <c r="AB134" s="83">
        <v>105.70625473219023</v>
      </c>
      <c r="AC134" s="83">
        <v>109.12642597364396</v>
      </c>
      <c r="AD134" s="83">
        <v>114.91324477662573</v>
      </c>
      <c r="AE134" s="83">
        <v>135.77162143008275</v>
      </c>
      <c r="AF134" s="83">
        <v>132.60499560500227</v>
      </c>
      <c r="AG134" s="83">
        <v>133.63656528701472</v>
      </c>
      <c r="AH134" s="83">
        <v>132.56452334600891</v>
      </c>
      <c r="AI134" s="277">
        <v>134.47757874391053</v>
      </c>
      <c r="AJ134" s="277">
        <v>131.77649682354419</v>
      </c>
      <c r="AK134" s="277">
        <v>131.77649682354419</v>
      </c>
      <c r="AL134" s="277">
        <v>131.77649682354419</v>
      </c>
      <c r="AM134" s="277">
        <f t="shared" si="23"/>
        <v>154.51378450420358</v>
      </c>
      <c r="AN134" s="277">
        <v>177.25107218486298</v>
      </c>
      <c r="AO134" s="277">
        <f t="shared" si="23"/>
        <v>176.96581237220957</v>
      </c>
      <c r="AP134" s="277">
        <v>176.68055255955616</v>
      </c>
      <c r="AQ134" s="277">
        <v>173.51099908562938</v>
      </c>
      <c r="AR134" s="277">
        <v>170.3414456117026</v>
      </c>
    </row>
    <row r="135" spans="1:44">
      <c r="A135" s="91" t="s">
        <v>331</v>
      </c>
      <c r="B135" s="83">
        <v>176.81684128754387</v>
      </c>
      <c r="C135" s="83">
        <v>162.41002074259384</v>
      </c>
      <c r="D135" s="83">
        <v>172.83916904889301</v>
      </c>
      <c r="E135" s="83">
        <v>179.15282737902274</v>
      </c>
      <c r="F135" s="83">
        <v>175.24539479532422</v>
      </c>
      <c r="G135" s="83">
        <v>181.33875915308195</v>
      </c>
      <c r="H135" s="83">
        <v>181.40263206881912</v>
      </c>
      <c r="I135" s="83">
        <v>183.28221974736238</v>
      </c>
      <c r="J135" s="83">
        <v>183.79007514702707</v>
      </c>
      <c r="K135" s="83">
        <v>178.48244003102081</v>
      </c>
      <c r="L135" s="83">
        <v>166.79321239736109</v>
      </c>
      <c r="M135" s="83">
        <v>202.22403766128028</v>
      </c>
      <c r="N135" s="83">
        <v>200.80023765638776</v>
      </c>
      <c r="O135" s="83">
        <v>203.61780246071004</v>
      </c>
      <c r="P135" s="83">
        <v>206.50337483219468</v>
      </c>
      <c r="Q135" s="83">
        <v>162.61226845681782</v>
      </c>
      <c r="R135" s="83">
        <v>206.39951912680598</v>
      </c>
      <c r="S135" s="83">
        <v>237.3101959859963</v>
      </c>
      <c r="T135" s="83">
        <v>232.95217969653135</v>
      </c>
      <c r="U135" s="83">
        <v>224.98157154880363</v>
      </c>
      <c r="V135" s="83">
        <v>168.62886113350058</v>
      </c>
      <c r="W135" s="83">
        <v>212.11621758288206</v>
      </c>
      <c r="X135" s="83">
        <v>206.51914887600103</v>
      </c>
      <c r="Y135" s="83">
        <v>183.91891432989971</v>
      </c>
      <c r="Z135" s="83">
        <v>183.62063447940579</v>
      </c>
      <c r="AA135" s="83">
        <v>161.22381834557592</v>
      </c>
      <c r="AB135" s="83">
        <v>165.36346235305888</v>
      </c>
      <c r="AC135" s="83">
        <v>168.64354193018201</v>
      </c>
      <c r="AD135" s="83">
        <v>170.03137519350275</v>
      </c>
      <c r="AE135" s="83">
        <v>148.42957926456478</v>
      </c>
      <c r="AF135" s="83">
        <v>145.5630285166207</v>
      </c>
      <c r="AG135" s="83">
        <v>148.65431611700515</v>
      </c>
      <c r="AH135" s="83">
        <v>146.65899916515301</v>
      </c>
      <c r="AI135" s="277">
        <v>147.99243647446653</v>
      </c>
      <c r="AJ135" s="277">
        <v>143.00094383421026</v>
      </c>
      <c r="AK135" s="277">
        <v>143.00094383421026</v>
      </c>
      <c r="AL135" s="277">
        <v>143.00094383421026</v>
      </c>
      <c r="AM135" s="277">
        <f t="shared" si="23"/>
        <v>137.18897338305018</v>
      </c>
      <c r="AN135" s="277">
        <v>131.3770029318901</v>
      </c>
      <c r="AO135" s="277">
        <f t="shared" si="23"/>
        <v>131.2946864263921</v>
      </c>
      <c r="AP135" s="277">
        <v>131.21236992089413</v>
      </c>
      <c r="AQ135" s="277">
        <v>130.29774208202758</v>
      </c>
      <c r="AR135" s="277">
        <v>129.38311424316103</v>
      </c>
    </row>
    <row r="136" spans="1:44">
      <c r="A136" s="91" t="s">
        <v>87</v>
      </c>
      <c r="B136" s="83">
        <v>5.8695275268986471</v>
      </c>
      <c r="C136" s="83">
        <v>5.2517259396986464</v>
      </c>
      <c r="D136" s="83">
        <v>5.5031614596986458</v>
      </c>
      <c r="E136" s="83">
        <v>5.745404019698646</v>
      </c>
      <c r="F136" s="83">
        <v>5.9403915396986466</v>
      </c>
      <c r="G136" s="83">
        <v>5.905365555698646</v>
      </c>
      <c r="H136" s="83">
        <v>6.0337726596986458</v>
      </c>
      <c r="I136" s="83">
        <v>6.1073163396986452</v>
      </c>
      <c r="J136" s="83">
        <v>6.2060196996986461</v>
      </c>
      <c r="K136" s="83">
        <v>6.2279537796986464</v>
      </c>
      <c r="L136" s="83">
        <v>5.9070436740986461</v>
      </c>
      <c r="M136" s="83">
        <v>6.1596516996986468</v>
      </c>
      <c r="N136" s="83">
        <v>6.0446590596986454</v>
      </c>
      <c r="O136" s="83">
        <v>5.8957976196986461</v>
      </c>
      <c r="P136" s="83">
        <v>5.8428171396986457</v>
      </c>
      <c r="Q136" s="83">
        <v>5.1968560644986468</v>
      </c>
      <c r="R136" s="83">
        <v>5.8701540996986461</v>
      </c>
      <c r="S136" s="83">
        <v>5.8472523396986462</v>
      </c>
      <c r="T136" s="83">
        <v>5.8487844996986453</v>
      </c>
      <c r="U136" s="83">
        <v>7.4810745439552031</v>
      </c>
      <c r="V136" s="83">
        <v>7.3614862303552027</v>
      </c>
      <c r="W136" s="83">
        <v>8.0111212639552036</v>
      </c>
      <c r="X136" s="83">
        <v>8.3431967839552037</v>
      </c>
      <c r="Y136" s="83">
        <v>8.1973190239552025</v>
      </c>
      <c r="Z136" s="83">
        <v>8.2193337439552039</v>
      </c>
      <c r="AA136" s="83">
        <v>8.1768525919552033</v>
      </c>
      <c r="AB136" s="83">
        <v>8.5222483431127412</v>
      </c>
      <c r="AC136" s="83">
        <v>8.462904560712742</v>
      </c>
      <c r="AD136" s="83">
        <v>8.2990408551127413</v>
      </c>
      <c r="AE136" s="83">
        <v>8.3941904103127403</v>
      </c>
      <c r="AF136" s="83">
        <v>7.6990873191127402</v>
      </c>
      <c r="AG136" s="83">
        <v>7.3151554407127408</v>
      </c>
      <c r="AH136" s="83">
        <v>7.0687889511127411</v>
      </c>
      <c r="AI136" s="277">
        <v>6.7261584615127408</v>
      </c>
      <c r="AJ136" s="277">
        <v>6.449611645512741</v>
      </c>
      <c r="AK136" s="277">
        <v>6.449611645512741</v>
      </c>
      <c r="AL136" s="277">
        <v>6.449611645512741</v>
      </c>
      <c r="AM136" s="277">
        <f t="shared" si="23"/>
        <v>6.429137102913093</v>
      </c>
      <c r="AN136" s="277">
        <v>6.4086625603134451</v>
      </c>
      <c r="AO136" s="277">
        <f t="shared" si="23"/>
        <v>6.3674087933868622</v>
      </c>
      <c r="AP136" s="277">
        <v>6.3261550264602793</v>
      </c>
      <c r="AQ136" s="277">
        <v>5.8677798383871327</v>
      </c>
      <c r="AR136" s="277">
        <v>5.4094046503139834</v>
      </c>
    </row>
    <row r="137" spans="1:44">
      <c r="A137" s="91" t="s">
        <v>88</v>
      </c>
      <c r="B137" s="83">
        <v>43.294273090693906</v>
      </c>
      <c r="C137" s="83">
        <v>41.555176335493911</v>
      </c>
      <c r="D137" s="83">
        <v>40.860462735493904</v>
      </c>
      <c r="E137" s="83">
        <v>40.894654095493912</v>
      </c>
      <c r="F137" s="83">
        <v>41.320272015493913</v>
      </c>
      <c r="G137" s="83">
        <v>42.009228725893919</v>
      </c>
      <c r="H137" s="83">
        <v>43.665525135493908</v>
      </c>
      <c r="I137" s="83">
        <v>44.837466255493908</v>
      </c>
      <c r="J137" s="83">
        <v>46.017471375493905</v>
      </c>
      <c r="K137" s="83">
        <v>46.504053135493912</v>
      </c>
      <c r="L137" s="83">
        <v>41.589194319493913</v>
      </c>
      <c r="M137" s="83">
        <v>53.529490575493909</v>
      </c>
      <c r="N137" s="83">
        <v>53.258136975493912</v>
      </c>
      <c r="O137" s="83">
        <v>54.783039375493907</v>
      </c>
      <c r="P137" s="83">
        <v>54.801425295493914</v>
      </c>
      <c r="Q137" s="83">
        <v>41.971103746693906</v>
      </c>
      <c r="R137" s="83">
        <v>54.500396175493911</v>
      </c>
      <c r="S137" s="83">
        <v>57.163128975493912</v>
      </c>
      <c r="T137" s="83">
        <v>55.630404495493913</v>
      </c>
      <c r="U137" s="83">
        <v>55.288272016352231</v>
      </c>
      <c r="V137" s="83">
        <v>40.297694377952233</v>
      </c>
      <c r="W137" s="83">
        <v>50.543495056352242</v>
      </c>
      <c r="X137" s="83">
        <v>49.682259856352239</v>
      </c>
      <c r="Y137" s="83">
        <v>46.667775376352239</v>
      </c>
      <c r="Z137" s="83">
        <v>45.843150736352236</v>
      </c>
      <c r="AA137" s="83">
        <v>40.233199312352234</v>
      </c>
      <c r="AB137" s="83">
        <v>39.87091499545695</v>
      </c>
      <c r="AC137" s="83">
        <v>36.108927552256951</v>
      </c>
      <c r="AD137" s="83">
        <v>35.548300531456945</v>
      </c>
      <c r="AE137" s="83">
        <v>37.791977088256942</v>
      </c>
      <c r="AF137" s="83">
        <v>38.59137350425695</v>
      </c>
      <c r="AG137" s="83">
        <v>38.87206037785694</v>
      </c>
      <c r="AH137" s="83">
        <v>38.733157171456952</v>
      </c>
      <c r="AI137" s="277">
        <v>39.33888936985695</v>
      </c>
      <c r="AJ137" s="277">
        <v>41.611606003456949</v>
      </c>
      <c r="AK137" s="277">
        <v>41.611606003456949</v>
      </c>
      <c r="AL137" s="277">
        <v>41.611606003456949</v>
      </c>
      <c r="AM137" s="277">
        <f t="shared" si="23"/>
        <v>39.648184774452218</v>
      </c>
      <c r="AN137" s="277">
        <v>37.684763545447488</v>
      </c>
      <c r="AO137" s="277">
        <f t="shared" si="23"/>
        <v>37.490891067791537</v>
      </c>
      <c r="AP137" s="277">
        <v>37.297018590135593</v>
      </c>
      <c r="AQ137" s="277">
        <v>35.142879949513961</v>
      </c>
      <c r="AR137" s="277">
        <v>32.988741308892322</v>
      </c>
    </row>
    <row r="138" spans="1:44">
      <c r="A138" s="91" t="s">
        <v>332</v>
      </c>
      <c r="B138" s="83">
        <v>0.15254104319999998</v>
      </c>
      <c r="C138" s="83">
        <v>5.4028800000000002E-2</v>
      </c>
      <c r="D138" s="83">
        <v>8.4833280000000011E-2</v>
      </c>
      <c r="E138" s="83">
        <v>0.10628351999999999</v>
      </c>
      <c r="F138" s="83">
        <v>0.19313279999999999</v>
      </c>
      <c r="G138" s="83">
        <v>0.12756602879999998</v>
      </c>
      <c r="H138" s="83">
        <v>0.50101631999999996</v>
      </c>
      <c r="I138" s="83">
        <v>0.67536000000000007</v>
      </c>
      <c r="J138" s="83">
        <v>0.80188416000000007</v>
      </c>
      <c r="K138" s="83">
        <v>0.88349184000000003</v>
      </c>
      <c r="L138" s="83">
        <v>0.12451541760000001</v>
      </c>
      <c r="M138" s="83">
        <v>0.91010303999999997</v>
      </c>
      <c r="N138" s="83">
        <v>0.89187839999999996</v>
      </c>
      <c r="O138" s="83">
        <v>0.87752448000000016</v>
      </c>
      <c r="P138" s="83">
        <v>0.88421759999999983</v>
      </c>
      <c r="Q138" s="83">
        <v>4.5831743999999994E-2</v>
      </c>
      <c r="R138" s="83">
        <v>0.93356927999999995</v>
      </c>
      <c r="S138" s="83">
        <v>0.84994560000000008</v>
      </c>
      <c r="T138" s="83">
        <v>0.80172288000000014</v>
      </c>
      <c r="U138" s="83">
        <v>0.74850048000000002</v>
      </c>
      <c r="V138" s="83">
        <v>0.11880691200000003</v>
      </c>
      <c r="W138" s="83">
        <v>0.41303807999999997</v>
      </c>
      <c r="X138" s="83">
        <v>0.30578687999999998</v>
      </c>
      <c r="Y138" s="83">
        <v>0.22579199999999999</v>
      </c>
      <c r="Z138" s="83">
        <v>0.24691967999999997</v>
      </c>
      <c r="AA138" s="83">
        <v>0.1797393024</v>
      </c>
      <c r="AB138" s="83">
        <v>0.18394790400000002</v>
      </c>
      <c r="AC138" s="83">
        <v>0.19810828799999999</v>
      </c>
      <c r="AD138" s="83">
        <v>0.2206761984</v>
      </c>
      <c r="AE138" s="83">
        <v>0.40451443199999992</v>
      </c>
      <c r="AF138" s="83">
        <v>0.55658453760000004</v>
      </c>
      <c r="AG138" s="83">
        <v>0.6232713983999999</v>
      </c>
      <c r="AH138" s="83">
        <v>0.66771774719999988</v>
      </c>
      <c r="AI138" s="277">
        <v>0.67445441280000007</v>
      </c>
      <c r="AJ138" s="277">
        <v>0.67400444160000017</v>
      </c>
      <c r="AK138" s="277">
        <v>0.67400444160000017</v>
      </c>
      <c r="AL138" s="277">
        <v>0.67400444160000017</v>
      </c>
      <c r="AM138" s="277">
        <f t="shared" si="23"/>
        <v>0.35902651198690322</v>
      </c>
      <c r="AN138" s="277">
        <v>4.4048582373806287E-2</v>
      </c>
      <c r="AO138" s="277">
        <f t="shared" si="23"/>
        <v>4.4048582373806287E-2</v>
      </c>
      <c r="AP138" s="277">
        <v>4.4048582373806287E-2</v>
      </c>
      <c r="AQ138" s="277">
        <v>4.4048582373806287E-2</v>
      </c>
      <c r="AR138" s="277">
        <v>4.4048582373806287E-2</v>
      </c>
    </row>
    <row r="139" spans="1:44">
      <c r="A139" s="91" t="s">
        <v>170</v>
      </c>
      <c r="B139" s="83">
        <v>0</v>
      </c>
      <c r="C139" s="83">
        <v>0</v>
      </c>
      <c r="D139" s="83">
        <v>0</v>
      </c>
      <c r="E139" s="83">
        <v>0</v>
      </c>
      <c r="F139" s="83">
        <v>0</v>
      </c>
      <c r="G139" s="83">
        <v>0</v>
      </c>
      <c r="H139" s="83">
        <v>0</v>
      </c>
      <c r="I139" s="83">
        <v>0</v>
      </c>
      <c r="J139" s="83">
        <v>0</v>
      </c>
      <c r="K139" s="83">
        <v>0</v>
      </c>
      <c r="L139" s="83">
        <v>0</v>
      </c>
      <c r="M139" s="83">
        <v>0</v>
      </c>
      <c r="N139" s="83">
        <v>0</v>
      </c>
      <c r="O139" s="83">
        <v>0</v>
      </c>
      <c r="P139" s="83">
        <v>0</v>
      </c>
      <c r="Q139" s="83">
        <v>0</v>
      </c>
      <c r="R139" s="83">
        <v>0</v>
      </c>
      <c r="S139" s="83">
        <v>0</v>
      </c>
      <c r="T139" s="83">
        <v>0</v>
      </c>
      <c r="U139" s="83">
        <v>0</v>
      </c>
      <c r="V139" s="83">
        <v>0</v>
      </c>
      <c r="W139" s="83">
        <v>0</v>
      </c>
      <c r="X139" s="83">
        <v>0</v>
      </c>
      <c r="Y139" s="83">
        <v>0</v>
      </c>
      <c r="Z139" s="83">
        <v>0</v>
      </c>
      <c r="AA139" s="83">
        <v>0</v>
      </c>
      <c r="AB139" s="83">
        <v>0</v>
      </c>
      <c r="AC139" s="83">
        <v>0</v>
      </c>
      <c r="AD139" s="83">
        <v>0</v>
      </c>
      <c r="AE139" s="83">
        <v>0</v>
      </c>
      <c r="AF139" s="83">
        <v>0</v>
      </c>
      <c r="AG139" s="83">
        <v>0</v>
      </c>
      <c r="AH139" s="83">
        <v>0</v>
      </c>
      <c r="AI139" s="277">
        <v>0</v>
      </c>
      <c r="AJ139" s="277">
        <v>0</v>
      </c>
      <c r="AK139" s="277">
        <v>0</v>
      </c>
      <c r="AL139" s="277">
        <v>0</v>
      </c>
      <c r="AM139" s="277">
        <f t="shared" si="23"/>
        <v>0</v>
      </c>
      <c r="AN139" s="277">
        <v>0</v>
      </c>
      <c r="AO139" s="277">
        <f t="shared" si="23"/>
        <v>0</v>
      </c>
      <c r="AP139" s="277">
        <v>0</v>
      </c>
      <c r="AQ139" s="277">
        <v>0</v>
      </c>
      <c r="AR139" s="277">
        <v>0</v>
      </c>
    </row>
    <row r="140" spans="1:44">
      <c r="A140" s="91" t="s">
        <v>333</v>
      </c>
      <c r="B140" s="83">
        <v>0</v>
      </c>
      <c r="C140" s="83">
        <v>0</v>
      </c>
      <c r="D140" s="83">
        <v>0</v>
      </c>
      <c r="E140" s="83">
        <v>0</v>
      </c>
      <c r="F140" s="83">
        <v>2732.4266666666672</v>
      </c>
      <c r="G140" s="83">
        <v>3021.3119999999999</v>
      </c>
      <c r="H140" s="83">
        <v>2234.586666666667</v>
      </c>
      <c r="I140" s="83">
        <v>1670.704</v>
      </c>
      <c r="J140" s="83">
        <v>1266.5333333333335</v>
      </c>
      <c r="K140" s="83">
        <v>976.8266666666666</v>
      </c>
      <c r="L140" s="83">
        <v>769.1786666666668</v>
      </c>
      <c r="M140" s="83">
        <v>620.33066666666673</v>
      </c>
      <c r="N140" s="83">
        <v>513.66933333333327</v>
      </c>
      <c r="O140" s="83">
        <v>437.1733333333334</v>
      </c>
      <c r="P140" s="83">
        <v>382.36799999999999</v>
      </c>
      <c r="Q140" s="83">
        <v>343.09333333333342</v>
      </c>
      <c r="R140" s="83">
        <v>314.94399999999996</v>
      </c>
      <c r="S140" s="83">
        <v>294.74666666666656</v>
      </c>
      <c r="T140" s="83">
        <v>280.29866666666663</v>
      </c>
      <c r="U140" s="83">
        <v>269.92</v>
      </c>
      <c r="V140" s="83">
        <v>262.49066666666664</v>
      </c>
      <c r="W140" s="83">
        <v>257.15199999999999</v>
      </c>
      <c r="X140" s="83">
        <v>253.34399999999999</v>
      </c>
      <c r="Y140" s="83">
        <v>250.61866666666668</v>
      </c>
      <c r="Z140" s="83">
        <v>248.64000000000001</v>
      </c>
      <c r="AA140" s="83">
        <v>247.22133333333335</v>
      </c>
      <c r="AB140" s="83">
        <v>246.21333333333337</v>
      </c>
      <c r="AC140" s="83">
        <v>245.50400000000002</v>
      </c>
      <c r="AD140" s="83">
        <v>244.98133333333337</v>
      </c>
      <c r="AE140" s="83">
        <v>244.608</v>
      </c>
      <c r="AF140" s="83">
        <v>244.34666666666666</v>
      </c>
      <c r="AG140" s="83">
        <v>244.16000000000003</v>
      </c>
      <c r="AH140" s="83">
        <v>244.01066666666665</v>
      </c>
      <c r="AI140" s="277">
        <v>243.93599999999998</v>
      </c>
      <c r="AJ140" s="277">
        <v>243.86133333333333</v>
      </c>
      <c r="AK140" s="277">
        <v>243.86133333333333</v>
      </c>
      <c r="AL140" s="277">
        <v>243.86133333333333</v>
      </c>
      <c r="AM140" s="277">
        <f t="shared" si="23"/>
        <v>243.78666666666663</v>
      </c>
      <c r="AN140" s="277">
        <v>243.71199999999996</v>
      </c>
      <c r="AO140" s="277">
        <f t="shared" si="23"/>
        <v>243.71199999999996</v>
      </c>
      <c r="AP140" s="277">
        <v>243.71199999999996</v>
      </c>
      <c r="AQ140" s="277">
        <v>243.71199999999996</v>
      </c>
      <c r="AR140" s="277">
        <v>243.71199999999996</v>
      </c>
    </row>
    <row r="141" spans="1:44">
      <c r="A141" s="132" t="s">
        <v>334</v>
      </c>
      <c r="B141" s="133">
        <v>517.51515052641219</v>
      </c>
      <c r="C141" s="133">
        <v>497.5875733883309</v>
      </c>
      <c r="D141" s="133">
        <v>523.5846292774994</v>
      </c>
      <c r="E141" s="133">
        <v>530.59377816894869</v>
      </c>
      <c r="F141" s="133">
        <v>3262.0782150308833</v>
      </c>
      <c r="G141" s="133">
        <v>3466.9041276641456</v>
      </c>
      <c r="H141" s="133">
        <v>2746.674039238168</v>
      </c>
      <c r="I141" s="133">
        <v>2198.1900391500681</v>
      </c>
      <c r="J141" s="133">
        <v>1790.906464782875</v>
      </c>
      <c r="K141" s="133">
        <v>1484.9330911221709</v>
      </c>
      <c r="L141" s="133">
        <v>1198.3703757068129</v>
      </c>
      <c r="M141" s="133">
        <v>1134.3559725237478</v>
      </c>
      <c r="N141" s="133">
        <v>1047.9213963031884</v>
      </c>
      <c r="O141" s="133">
        <v>1027.1200041119669</v>
      </c>
      <c r="P141" s="133">
        <v>881.91217294289254</v>
      </c>
      <c r="Q141" s="133">
        <v>756.83526620718726</v>
      </c>
      <c r="R141" s="133">
        <v>803.55223422560925</v>
      </c>
      <c r="S141" s="133">
        <v>816.97299983432731</v>
      </c>
      <c r="T141" s="133">
        <v>793.49868836545147</v>
      </c>
      <c r="U141" s="133">
        <v>802.98365065936173</v>
      </c>
      <c r="V141" s="133">
        <v>659.17643960425869</v>
      </c>
      <c r="W141" s="133">
        <v>788.68627221409702</v>
      </c>
      <c r="X141" s="133">
        <v>780.96200116495811</v>
      </c>
      <c r="Y141" s="133">
        <v>720.16709915551394</v>
      </c>
      <c r="Z141" s="133">
        <v>740.79624643756745</v>
      </c>
      <c r="AA141" s="133">
        <v>628.70078820859749</v>
      </c>
      <c r="AB141" s="133">
        <v>643.71933101975765</v>
      </c>
      <c r="AC141" s="133">
        <v>653.03922345841079</v>
      </c>
      <c r="AD141" s="133">
        <v>632.63893954449759</v>
      </c>
      <c r="AE141" s="133">
        <v>655.69592156385056</v>
      </c>
      <c r="AF141" s="133">
        <v>638.05086336363195</v>
      </c>
      <c r="AG141" s="133">
        <v>643.43256494097704</v>
      </c>
      <c r="AH141" s="133">
        <v>750.32523786612751</v>
      </c>
      <c r="AI141" s="288">
        <v>636.90235948124109</v>
      </c>
      <c r="AJ141" s="288">
        <v>623.59075405563431</v>
      </c>
      <c r="AK141" s="288">
        <v>653.84938856781696</v>
      </c>
      <c r="AL141" s="288">
        <v>623.49724093313762</v>
      </c>
      <c r="AM141" s="288">
        <f>SUM(AM133:AM140)</f>
        <v>644.50472337404017</v>
      </c>
      <c r="AN141" s="288">
        <v>665.51220581494272</v>
      </c>
      <c r="AO141" s="288">
        <f>SUM(AO133:AO140)</f>
        <v>664.90950325220876</v>
      </c>
      <c r="AP141" s="288">
        <v>664.30680068947481</v>
      </c>
      <c r="AQ141" s="288">
        <v>657.61010554798679</v>
      </c>
      <c r="AR141" s="288">
        <v>650.91341040649866</v>
      </c>
    </row>
  </sheetData>
  <mergeCells count="13">
    <mergeCell ref="AK131:AR131"/>
    <mergeCell ref="A2:BG2"/>
    <mergeCell ref="A130:AB130"/>
    <mergeCell ref="A74:AB74"/>
    <mergeCell ref="AK88:AK89"/>
    <mergeCell ref="AK5:AR5"/>
    <mergeCell ref="AK23:AR23"/>
    <mergeCell ref="AK21:AR21"/>
    <mergeCell ref="AK36:AR36"/>
    <mergeCell ref="AK49:AR49"/>
    <mergeCell ref="AK57:AR57"/>
    <mergeCell ref="AK75:AR75"/>
    <mergeCell ref="AK93:AR9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G141"/>
  <sheetViews>
    <sheetView showGridLines="0" zoomScale="90" zoomScaleNormal="90" workbookViewId="0"/>
  </sheetViews>
  <sheetFormatPr baseColWidth="10" defaultColWidth="11.44140625" defaultRowHeight="14.4" outlineLevelCol="1"/>
  <cols>
    <col min="1" max="1" width="25.88671875" customWidth="1"/>
    <col min="3" max="6" width="0" hidden="1" customWidth="1" outlineLevel="1"/>
    <col min="7" max="7" width="11.5546875" collapsed="1"/>
    <col min="8" max="11" width="0" hidden="1" customWidth="1" outlineLevel="1"/>
    <col min="12" max="12" width="11.5546875" collapsed="1"/>
    <col min="13" max="16" width="0" hidden="1" customWidth="1" outlineLevel="1"/>
    <col min="17" max="17" width="11.5546875" collapsed="1"/>
    <col min="18" max="21" width="0" hidden="1" customWidth="1" outlineLevel="1"/>
    <col min="22" max="22" width="11.5546875" collapsed="1"/>
    <col min="23" max="25" width="0" hidden="1" customWidth="1" outlineLevel="1"/>
    <col min="26" max="26" width="5.5546875" hidden="1" customWidth="1" outlineLevel="1"/>
    <col min="27" max="27" width="11.5546875" collapsed="1"/>
  </cols>
  <sheetData>
    <row r="1" spans="1:59" ht="18">
      <c r="A1" s="56" t="s">
        <v>502</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t="s">
        <v>614</v>
      </c>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row>
    <row r="2" spans="1:59" ht="15">
      <c r="A2" s="498" t="s">
        <v>665</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499"/>
      <c r="AO2" s="499"/>
      <c r="AP2" s="499"/>
      <c r="AQ2" s="499"/>
      <c r="AR2" s="499"/>
      <c r="AS2" s="499"/>
      <c r="AT2" s="499"/>
      <c r="AU2" s="499"/>
      <c r="AV2" s="499"/>
      <c r="AW2" s="499"/>
      <c r="AX2" s="499"/>
      <c r="AY2" s="499"/>
      <c r="AZ2" s="499"/>
      <c r="BA2" s="499"/>
      <c r="BB2" s="499"/>
      <c r="BC2" s="499"/>
      <c r="BD2" s="499"/>
      <c r="BE2" s="499"/>
      <c r="BF2" s="499"/>
      <c r="BG2" s="499"/>
    </row>
    <row r="3" spans="1:59" ht="15">
      <c r="A3" s="59" t="s">
        <v>260</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row>
    <row r="4" spans="1:59" ht="22.2">
      <c r="A4" s="60"/>
      <c r="B4" s="61"/>
      <c r="C4" s="61"/>
      <c r="D4" s="61"/>
      <c r="E4" s="61"/>
      <c r="F4" s="61"/>
      <c r="G4" s="61"/>
      <c r="H4" s="61"/>
      <c r="I4" s="61"/>
      <c r="J4" s="61"/>
      <c r="K4" s="61"/>
      <c r="L4" s="61"/>
      <c r="M4" s="61"/>
      <c r="N4" s="61"/>
      <c r="O4" s="61"/>
      <c r="P4" s="61"/>
      <c r="Q4" s="61"/>
      <c r="R4" s="61"/>
      <c r="S4" s="61"/>
      <c r="T4" s="61"/>
      <c r="U4" s="61"/>
      <c r="V4" s="61"/>
      <c r="W4" s="61"/>
      <c r="X4" s="61"/>
      <c r="Y4" s="61"/>
      <c r="Z4" s="62"/>
      <c r="AA4" s="62"/>
      <c r="AB4" s="62"/>
      <c r="AC4" s="63"/>
      <c r="AD4" s="63"/>
      <c r="AE4" s="63"/>
      <c r="AF4" s="63"/>
      <c r="AG4" s="63"/>
      <c r="AH4" s="63"/>
    </row>
    <row r="5" spans="1:59" ht="18">
      <c r="A5" s="64" t="s">
        <v>261</v>
      </c>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496" t="s">
        <v>262</v>
      </c>
      <c r="AM5" s="496"/>
      <c r="AN5" s="496"/>
      <c r="AO5" s="496"/>
      <c r="AP5" s="496"/>
      <c r="AQ5" s="496"/>
      <c r="AR5" s="496"/>
    </row>
    <row r="6" spans="1:59" ht="52.8">
      <c r="A6" s="66" t="s">
        <v>613</v>
      </c>
      <c r="B6" s="393">
        <v>1990</v>
      </c>
      <c r="C6" s="393">
        <v>1991</v>
      </c>
      <c r="D6" s="393">
        <v>1992</v>
      </c>
      <c r="E6" s="393">
        <v>1993</v>
      </c>
      <c r="F6" s="393">
        <v>1994</v>
      </c>
      <c r="G6" s="393">
        <v>1995</v>
      </c>
      <c r="H6" s="393">
        <v>1996</v>
      </c>
      <c r="I6" s="393">
        <v>1997</v>
      </c>
      <c r="J6" s="393">
        <v>1998</v>
      </c>
      <c r="K6" s="393">
        <v>1999</v>
      </c>
      <c r="L6" s="393">
        <v>2000</v>
      </c>
      <c r="M6" s="393">
        <v>2001</v>
      </c>
      <c r="N6" s="393">
        <v>2002</v>
      </c>
      <c r="O6" s="393">
        <v>2003</v>
      </c>
      <c r="P6" s="393">
        <v>2004</v>
      </c>
      <c r="Q6" s="393">
        <v>2005</v>
      </c>
      <c r="R6" s="393">
        <v>2006</v>
      </c>
      <c r="S6" s="393">
        <v>2007</v>
      </c>
      <c r="T6" s="393">
        <v>2008</v>
      </c>
      <c r="U6" s="393">
        <v>2009</v>
      </c>
      <c r="V6" s="393">
        <v>2010</v>
      </c>
      <c r="W6" s="393">
        <v>2011</v>
      </c>
      <c r="X6" s="393">
        <v>2012</v>
      </c>
      <c r="Y6" s="393">
        <v>2013</v>
      </c>
      <c r="Z6" s="393">
        <v>2014</v>
      </c>
      <c r="AA6" s="393">
        <v>2015</v>
      </c>
      <c r="AB6" s="393">
        <v>2016</v>
      </c>
      <c r="AC6" s="393">
        <v>2017</v>
      </c>
      <c r="AD6" s="393">
        <v>2018</v>
      </c>
      <c r="AE6" s="393">
        <v>2019</v>
      </c>
      <c r="AF6" s="397">
        <v>2020</v>
      </c>
      <c r="AG6" s="397">
        <v>2021</v>
      </c>
      <c r="AH6" s="397">
        <v>2022</v>
      </c>
      <c r="AI6" s="393">
        <v>2023</v>
      </c>
      <c r="AJ6" s="394">
        <v>2024</v>
      </c>
      <c r="AK6" s="393">
        <v>2025</v>
      </c>
      <c r="AL6" s="394">
        <v>2026</v>
      </c>
      <c r="AM6" s="394">
        <v>2027</v>
      </c>
      <c r="AN6" s="393">
        <v>2028</v>
      </c>
      <c r="AO6" s="394">
        <v>2029</v>
      </c>
      <c r="AP6" s="393">
        <v>2030</v>
      </c>
      <c r="AQ6" s="393">
        <v>2040</v>
      </c>
      <c r="AR6" s="393">
        <v>2050</v>
      </c>
    </row>
    <row r="7" spans="1:59">
      <c r="A7" s="69" t="s">
        <v>264</v>
      </c>
      <c r="B7" s="70">
        <v>521.41815115928091</v>
      </c>
      <c r="C7" s="70">
        <v>524.67701460402657</v>
      </c>
      <c r="D7" s="70">
        <v>527.935878048772</v>
      </c>
      <c r="E7" s="70">
        <v>531.19474149351743</v>
      </c>
      <c r="F7" s="70">
        <v>534.45360493826286</v>
      </c>
      <c r="G7" s="70">
        <v>537.94258939301903</v>
      </c>
      <c r="H7" s="70">
        <v>517.96785814134307</v>
      </c>
      <c r="I7" s="70">
        <v>497.70208925943956</v>
      </c>
      <c r="J7" s="70">
        <v>477.14635343855264</v>
      </c>
      <c r="K7" s="70">
        <v>464.8838901511931</v>
      </c>
      <c r="L7" s="70">
        <v>452.62086683715762</v>
      </c>
      <c r="M7" s="70">
        <v>440.76862256059417</v>
      </c>
      <c r="N7" s="70">
        <v>428.80107766999868</v>
      </c>
      <c r="O7" s="70">
        <v>416.71693019254894</v>
      </c>
      <c r="P7" s="70">
        <v>404.38607540114452</v>
      </c>
      <c r="Q7" s="70">
        <v>392.15687722337168</v>
      </c>
      <c r="R7" s="70">
        <v>386.21681756758221</v>
      </c>
      <c r="S7" s="70">
        <v>378.05408798830166</v>
      </c>
      <c r="T7" s="70">
        <v>369.3780760912166</v>
      </c>
      <c r="U7" s="70">
        <v>359.53552260532371</v>
      </c>
      <c r="V7" s="70">
        <v>306.89336826354474</v>
      </c>
      <c r="W7" s="70">
        <v>258.9537382296495</v>
      </c>
      <c r="X7" s="70">
        <v>254.25356551277997</v>
      </c>
      <c r="Y7" s="70">
        <v>235.23030827349967</v>
      </c>
      <c r="Z7" s="70">
        <v>201.65302089767485</v>
      </c>
      <c r="AA7" s="70">
        <v>217.0144473531559</v>
      </c>
      <c r="AB7" s="70">
        <v>218.52704073743075</v>
      </c>
      <c r="AC7" s="70">
        <v>189.27096840185982</v>
      </c>
      <c r="AD7" s="70">
        <v>200.02201798252719</v>
      </c>
      <c r="AE7" s="70">
        <v>185.21133403042384</v>
      </c>
      <c r="AF7" s="70">
        <v>186.25565266966424</v>
      </c>
      <c r="AG7" s="70">
        <v>172.70941631742363</v>
      </c>
      <c r="AH7" s="70">
        <v>154.36157774301083</v>
      </c>
      <c r="AI7" s="134">
        <v>157.37096060771361</v>
      </c>
      <c r="AJ7" s="134">
        <v>85.726535284510632</v>
      </c>
      <c r="AK7" s="134">
        <v>85.726535284510632</v>
      </c>
      <c r="AL7" s="134">
        <v>86.218883348546029</v>
      </c>
      <c r="AM7" s="134">
        <f>AL7+(AN7-AL7)/2</f>
        <v>121.42909705900597</v>
      </c>
      <c r="AN7" s="134">
        <v>156.63931076946591</v>
      </c>
      <c r="AO7" s="134">
        <f>AN7+(AP7-AN7)/2</f>
        <v>156.51155012396117</v>
      </c>
      <c r="AP7" s="134">
        <v>156.38378947845646</v>
      </c>
      <c r="AQ7" s="134">
        <v>0.41482530041484611</v>
      </c>
      <c r="AR7" s="134">
        <v>0.34768890066972036</v>
      </c>
    </row>
    <row r="8" spans="1:59">
      <c r="A8" s="69" t="s">
        <v>265</v>
      </c>
      <c r="B8" s="70">
        <v>10478.752025733618</v>
      </c>
      <c r="C8" s="70">
        <v>10837.74084268636</v>
      </c>
      <c r="D8" s="70">
        <v>10241.154303386133</v>
      </c>
      <c r="E8" s="70">
        <v>8505.8431535559212</v>
      </c>
      <c r="F8" s="70">
        <v>7075.5129524252034</v>
      </c>
      <c r="G8" s="70">
        <v>5422.8311361087735</v>
      </c>
      <c r="H8" s="70">
        <v>5615.4887150322129</v>
      </c>
      <c r="I8" s="70">
        <v>5867.8230966453293</v>
      </c>
      <c r="J8" s="70">
        <v>6393.1627408817949</v>
      </c>
      <c r="K8" s="70">
        <v>7311.1173441531137</v>
      </c>
      <c r="L8" s="70">
        <v>6396.7432640255156</v>
      </c>
      <c r="M8" s="70">
        <v>6032.5868547219361</v>
      </c>
      <c r="N8" s="70">
        <v>7425.3754814858021</v>
      </c>
      <c r="O8" s="70">
        <v>7273.8143072821495</v>
      </c>
      <c r="P8" s="70">
        <v>6597.5160848282685</v>
      </c>
      <c r="Q8" s="70">
        <v>5848.2665821176106</v>
      </c>
      <c r="R8" s="70">
        <v>5671.3866055903354</v>
      </c>
      <c r="S8" s="70">
        <v>5202.5266506145426</v>
      </c>
      <c r="T8" s="70">
        <v>5140.4271710851881</v>
      </c>
      <c r="U8" s="70">
        <v>4701.0758177327079</v>
      </c>
      <c r="V8" s="70">
        <v>4768.0502750198721</v>
      </c>
      <c r="W8" s="70">
        <v>4975.1694289811157</v>
      </c>
      <c r="X8" s="70">
        <v>5076.3826619862921</v>
      </c>
      <c r="Y8" s="70">
        <v>4838.2265654906396</v>
      </c>
      <c r="Z8" s="70">
        <v>4634.2485651834186</v>
      </c>
      <c r="AA8" s="70">
        <v>4643.6314713332786</v>
      </c>
      <c r="AB8" s="70">
        <v>4680.9574683724122</v>
      </c>
      <c r="AC8" s="70">
        <v>4637.9645364226553</v>
      </c>
      <c r="AD8" s="70">
        <v>4191.3792443193051</v>
      </c>
      <c r="AE8" s="70">
        <v>3763.4461362751249</v>
      </c>
      <c r="AF8" s="70">
        <v>3377.9192948768564</v>
      </c>
      <c r="AG8" s="70">
        <v>2966.3656502440776</v>
      </c>
      <c r="AH8" s="70">
        <v>2586.2268973509617</v>
      </c>
      <c r="AI8" s="134">
        <v>2107.1073507377369</v>
      </c>
      <c r="AJ8" s="134">
        <v>1857.6833190223499</v>
      </c>
      <c r="AK8" s="134">
        <v>1681.1345067215539</v>
      </c>
      <c r="AL8" s="134">
        <v>1568.8225079206602</v>
      </c>
      <c r="AM8" s="134">
        <f t="shared" ref="AM8:AO15" si="0">AL8+(AN8-AL8)/2</f>
        <v>1403.9598167896334</v>
      </c>
      <c r="AN8" s="134">
        <v>1239.0971256586063</v>
      </c>
      <c r="AO8" s="134">
        <f t="shared" si="0"/>
        <v>1140.6941585032428</v>
      </c>
      <c r="AP8" s="134">
        <v>1042.291191347879</v>
      </c>
      <c r="AQ8" s="134">
        <v>550.98832148780332</v>
      </c>
      <c r="AR8" s="134">
        <v>423.20438193576621</v>
      </c>
    </row>
    <row r="9" spans="1:59">
      <c r="A9" s="69" t="s">
        <v>266</v>
      </c>
      <c r="B9" s="70">
        <v>0</v>
      </c>
      <c r="C9" s="70">
        <v>0</v>
      </c>
      <c r="D9" s="70">
        <v>0</v>
      </c>
      <c r="E9" s="70">
        <v>0</v>
      </c>
      <c r="F9" s="70">
        <v>0</v>
      </c>
      <c r="G9" s="70">
        <v>0</v>
      </c>
      <c r="H9" s="70">
        <v>0</v>
      </c>
      <c r="I9" s="70">
        <v>0</v>
      </c>
      <c r="J9" s="70">
        <v>0</v>
      </c>
      <c r="K9" s="70">
        <v>0</v>
      </c>
      <c r="L9" s="70">
        <v>0</v>
      </c>
      <c r="M9" s="70">
        <v>0</v>
      </c>
      <c r="N9" s="70">
        <v>0</v>
      </c>
      <c r="O9" s="70">
        <v>0</v>
      </c>
      <c r="P9" s="70">
        <v>0</v>
      </c>
      <c r="Q9" s="70">
        <v>0</v>
      </c>
      <c r="R9" s="70">
        <v>0</v>
      </c>
      <c r="S9" s="70">
        <v>0</v>
      </c>
      <c r="T9" s="70">
        <v>0</v>
      </c>
      <c r="U9" s="70">
        <v>0</v>
      </c>
      <c r="V9" s="70">
        <v>0</v>
      </c>
      <c r="W9" s="70">
        <v>0</v>
      </c>
      <c r="X9" s="70">
        <v>0</v>
      </c>
      <c r="Y9" s="70">
        <v>0</v>
      </c>
      <c r="Z9" s="70">
        <v>0</v>
      </c>
      <c r="AA9" s="70">
        <v>0</v>
      </c>
      <c r="AB9" s="70">
        <v>0</v>
      </c>
      <c r="AC9" s="70">
        <v>0</v>
      </c>
      <c r="AD9" s="70">
        <v>0</v>
      </c>
      <c r="AE9" s="70">
        <v>0</v>
      </c>
      <c r="AF9" s="70">
        <v>0</v>
      </c>
      <c r="AG9" s="70">
        <v>0</v>
      </c>
      <c r="AH9" s="70">
        <v>0</v>
      </c>
      <c r="AI9" s="134">
        <v>0</v>
      </c>
      <c r="AJ9" s="134">
        <v>0</v>
      </c>
      <c r="AK9" s="134">
        <v>0</v>
      </c>
      <c r="AL9" s="134">
        <v>0</v>
      </c>
      <c r="AM9" s="134">
        <f t="shared" si="0"/>
        <v>0</v>
      </c>
      <c r="AN9" s="134">
        <v>0</v>
      </c>
      <c r="AO9" s="134">
        <f t="shared" si="0"/>
        <v>0</v>
      </c>
      <c r="AP9" s="134">
        <v>0</v>
      </c>
      <c r="AQ9" s="134">
        <v>0</v>
      </c>
      <c r="AR9" s="134">
        <v>0</v>
      </c>
    </row>
    <row r="10" spans="1:59">
      <c r="A10" s="69" t="s">
        <v>267</v>
      </c>
      <c r="B10" s="70">
        <v>146.91718848912814</v>
      </c>
      <c r="C10" s="70">
        <v>147.39537731245835</v>
      </c>
      <c r="D10" s="70">
        <v>148.07955371755185</v>
      </c>
      <c r="E10" s="71">
        <v>149.44064918695256</v>
      </c>
      <c r="F10" s="71">
        <v>310.35015690689966</v>
      </c>
      <c r="G10" s="71">
        <v>807.1173933036456</v>
      </c>
      <c r="H10" s="71">
        <v>1463.144064772564</v>
      </c>
      <c r="I10" s="71">
        <v>1910.3126205355929</v>
      </c>
      <c r="J10" s="71">
        <v>2135.3668571255425</v>
      </c>
      <c r="K10" s="71">
        <v>2417.1928058756639</v>
      </c>
      <c r="L10" s="71">
        <v>3052.7633193742204</v>
      </c>
      <c r="M10" s="71">
        <v>3903.3812074376751</v>
      </c>
      <c r="N10" s="71">
        <v>4630.9752365135346</v>
      </c>
      <c r="O10" s="71">
        <v>5522.6760288277974</v>
      </c>
      <c r="P10" s="71">
        <v>6390.9338534367989</v>
      </c>
      <c r="Q10" s="71">
        <v>6998.6388898544337</v>
      </c>
      <c r="R10" s="71">
        <v>8024.3040049739448</v>
      </c>
      <c r="S10" s="71">
        <v>8789.8753982998605</v>
      </c>
      <c r="T10" s="71">
        <v>9452.1136132857337</v>
      </c>
      <c r="U10" s="71">
        <v>9714.0647765832837</v>
      </c>
      <c r="V10" s="71">
        <v>10128.211364781</v>
      </c>
      <c r="W10" s="71">
        <v>10696.679780752715</v>
      </c>
      <c r="X10" s="71">
        <v>10727.102463764644</v>
      </c>
      <c r="Y10" s="71">
        <v>10632.679174633467</v>
      </c>
      <c r="Z10" s="71">
        <v>10573.424959070777</v>
      </c>
      <c r="AA10" s="71">
        <v>10802.984437045076</v>
      </c>
      <c r="AB10" s="71">
        <v>10723.618765572559</v>
      </c>
      <c r="AC10" s="71">
        <v>10424.512972809471</v>
      </c>
      <c r="AD10" s="71">
        <v>9470.7609260312129</v>
      </c>
      <c r="AE10" s="71">
        <v>8142.7249774688944</v>
      </c>
      <c r="AF10" s="71">
        <v>7268.9118478383589</v>
      </c>
      <c r="AG10" s="71">
        <v>6640.9965052319913</v>
      </c>
      <c r="AH10" s="71">
        <v>6143.3474655585833</v>
      </c>
      <c r="AI10" s="134">
        <v>5736.0218353747869</v>
      </c>
      <c r="AJ10" s="134">
        <v>5374.3626296367875</v>
      </c>
      <c r="AK10" s="134">
        <v>4991.7671489912309</v>
      </c>
      <c r="AL10" s="134">
        <v>4739.4762535406262</v>
      </c>
      <c r="AM10" s="134">
        <f t="shared" si="0"/>
        <v>4141.4665418926934</v>
      </c>
      <c r="AN10" s="134">
        <v>3543.456830244761</v>
      </c>
      <c r="AO10" s="134">
        <f t="shared" si="0"/>
        <v>3276.2481233573958</v>
      </c>
      <c r="AP10" s="134">
        <v>3009.0394164700306</v>
      </c>
      <c r="AQ10" s="134">
        <v>1135.1826049888375</v>
      </c>
      <c r="AR10" s="134">
        <v>478.78076448521239</v>
      </c>
    </row>
    <row r="11" spans="1:59">
      <c r="A11" s="69" t="s">
        <v>268</v>
      </c>
      <c r="B11" s="70">
        <v>0</v>
      </c>
      <c r="C11" s="70">
        <v>0</v>
      </c>
      <c r="D11" s="70">
        <v>0</v>
      </c>
      <c r="E11" s="70">
        <v>0</v>
      </c>
      <c r="F11" s="70">
        <v>0</v>
      </c>
      <c r="G11" s="70">
        <v>0</v>
      </c>
      <c r="H11" s="70">
        <v>0</v>
      </c>
      <c r="I11" s="70">
        <v>0</v>
      </c>
      <c r="J11" s="70">
        <v>0</v>
      </c>
      <c r="K11" s="70">
        <v>0.43939614133729221</v>
      </c>
      <c r="L11" s="70">
        <v>3.0185413602463078</v>
      </c>
      <c r="M11" s="70">
        <v>4.5907838204070996</v>
      </c>
      <c r="N11" s="70">
        <v>8.4686082674222476</v>
      </c>
      <c r="O11" s="70">
        <v>9.4380267530107336</v>
      </c>
      <c r="P11" s="70">
        <v>9.5757081498966183</v>
      </c>
      <c r="Q11" s="70">
        <v>11.43360627490385</v>
      </c>
      <c r="R11" s="70">
        <v>10.752921060658661</v>
      </c>
      <c r="S11" s="70">
        <v>11.917089989918495</v>
      </c>
      <c r="T11" s="70">
        <v>15.115500608523709</v>
      </c>
      <c r="U11" s="70">
        <v>18.667165029846768</v>
      </c>
      <c r="V11" s="70">
        <v>21.985613715236493</v>
      </c>
      <c r="W11" s="70">
        <v>24.106689131287233</v>
      </c>
      <c r="X11" s="70">
        <v>24.000846379390154</v>
      </c>
      <c r="Y11" s="70">
        <v>23.442749326910924</v>
      </c>
      <c r="Z11" s="70">
        <v>24.575731297344479</v>
      </c>
      <c r="AA11" s="70">
        <v>24.490702212638578</v>
      </c>
      <c r="AB11" s="70">
        <v>25.172160534125116</v>
      </c>
      <c r="AC11" s="70">
        <v>29.043221421922517</v>
      </c>
      <c r="AD11" s="70">
        <v>29.586404856597959</v>
      </c>
      <c r="AE11" s="70">
        <v>28.089555017497371</v>
      </c>
      <c r="AF11" s="70">
        <v>28.580728929007361</v>
      </c>
      <c r="AG11" s="70">
        <v>25.819649081984103</v>
      </c>
      <c r="AH11" s="70">
        <v>23.123774116401311</v>
      </c>
      <c r="AI11" s="134">
        <v>21.71497604373528</v>
      </c>
      <c r="AJ11" s="134">
        <v>23.688991342396431</v>
      </c>
      <c r="AK11" s="134">
        <v>24.674388187187102</v>
      </c>
      <c r="AL11" s="134">
        <v>23.665964876513382</v>
      </c>
      <c r="AM11" s="134">
        <f t="shared" si="0"/>
        <v>38.018091102872496</v>
      </c>
      <c r="AN11" s="134">
        <v>52.370217329231615</v>
      </c>
      <c r="AO11" s="134">
        <f t="shared" si="0"/>
        <v>50.805901816166966</v>
      </c>
      <c r="AP11" s="134">
        <v>49.241586303102324</v>
      </c>
      <c r="AQ11" s="134">
        <v>33.030644946723413</v>
      </c>
      <c r="AR11" s="134">
        <v>11.514196058648256</v>
      </c>
    </row>
    <row r="12" spans="1:59">
      <c r="A12" s="69" t="s">
        <v>257</v>
      </c>
      <c r="B12" s="70">
        <v>0</v>
      </c>
      <c r="C12" s="70">
        <v>0</v>
      </c>
      <c r="D12" s="70">
        <v>0</v>
      </c>
      <c r="E12" s="70">
        <v>0.29076981072209074</v>
      </c>
      <c r="F12" s="70">
        <v>32.356095358755418</v>
      </c>
      <c r="G12" s="70">
        <v>114.42938344253784</v>
      </c>
      <c r="H12" s="70">
        <v>220.92583975844821</v>
      </c>
      <c r="I12" s="70">
        <v>342.28000844523092</v>
      </c>
      <c r="J12" s="70">
        <v>502.8109721992754</v>
      </c>
      <c r="K12" s="70">
        <v>753.91962085865089</v>
      </c>
      <c r="L12" s="70">
        <v>1040.9158068337249</v>
      </c>
      <c r="M12" s="70">
        <v>1293.6561025653889</v>
      </c>
      <c r="N12" s="70">
        <v>1552.4784655768115</v>
      </c>
      <c r="O12" s="70">
        <v>1844.8486874856972</v>
      </c>
      <c r="P12" s="70">
        <v>2135.5869283905249</v>
      </c>
      <c r="Q12" s="70">
        <v>2211.7629255532092</v>
      </c>
      <c r="R12" s="70">
        <v>2587.3625530377203</v>
      </c>
      <c r="S12" s="70">
        <v>2836.2251886185632</v>
      </c>
      <c r="T12" s="70">
        <v>3071.466906517097</v>
      </c>
      <c r="U12" s="70">
        <v>3079.547761843352</v>
      </c>
      <c r="V12" s="70">
        <v>3363.991902282537</v>
      </c>
      <c r="W12" s="70">
        <v>3373.7971591138148</v>
      </c>
      <c r="X12" s="70">
        <v>3461.3115886728242</v>
      </c>
      <c r="Y12" s="70">
        <v>3512.5550813140148</v>
      </c>
      <c r="Z12" s="70">
        <v>3511.6412167218164</v>
      </c>
      <c r="AA12" s="70">
        <v>3480.7251471015747</v>
      </c>
      <c r="AB12" s="70">
        <v>3442.2532025883806</v>
      </c>
      <c r="AC12" s="70">
        <v>3262.7300940352234</v>
      </c>
      <c r="AD12" s="70">
        <v>3002.6095940881592</v>
      </c>
      <c r="AE12" s="70">
        <v>2759.9471518019309</v>
      </c>
      <c r="AF12" s="70">
        <v>2481.6137833310745</v>
      </c>
      <c r="AG12" s="70">
        <v>2319.0797241562686</v>
      </c>
      <c r="AH12" s="70">
        <v>2146.9460691368149</v>
      </c>
      <c r="AI12" s="134">
        <v>1985.52449103304</v>
      </c>
      <c r="AJ12" s="134">
        <v>1710.1666250697015</v>
      </c>
      <c r="AK12" s="134">
        <v>1492.4649300397912</v>
      </c>
      <c r="AL12" s="134">
        <v>1353.9249900922935</v>
      </c>
      <c r="AM12" s="134">
        <f t="shared" si="0"/>
        <v>1100.2777432561409</v>
      </c>
      <c r="AN12" s="134">
        <v>846.63049641998839</v>
      </c>
      <c r="AO12" s="134">
        <f t="shared" si="0"/>
        <v>705.42720305265493</v>
      </c>
      <c r="AP12" s="134">
        <v>564.22390968532147</v>
      </c>
      <c r="AQ12" s="134">
        <v>86.213004124285632</v>
      </c>
      <c r="AR12" s="134">
        <v>11.676443309017664</v>
      </c>
    </row>
    <row r="13" spans="1:59">
      <c r="A13" s="72" t="s">
        <v>269</v>
      </c>
      <c r="B13" s="73">
        <v>0</v>
      </c>
      <c r="C13" s="73">
        <v>0</v>
      </c>
      <c r="D13" s="73">
        <v>0</v>
      </c>
      <c r="E13" s="73">
        <v>0</v>
      </c>
      <c r="F13" s="73">
        <v>5.0183898499784796</v>
      </c>
      <c r="G13" s="73">
        <v>37.392693354130749</v>
      </c>
      <c r="H13" s="73">
        <v>91.175529371462915</v>
      </c>
      <c r="I13" s="73">
        <v>117.33589730033827</v>
      </c>
      <c r="J13" s="73">
        <v>117.38466347017571</v>
      </c>
      <c r="K13" s="73">
        <v>117.42922775834766</v>
      </c>
      <c r="L13" s="73">
        <v>112.42408255404999</v>
      </c>
      <c r="M13" s="73">
        <v>107.70997314789784</v>
      </c>
      <c r="N13" s="73">
        <v>105.21805849695212</v>
      </c>
      <c r="O13" s="73">
        <v>110.47130225826318</v>
      </c>
      <c r="P13" s="73">
        <v>116.97031423577944</v>
      </c>
      <c r="Q13" s="73">
        <v>115.66192264040676</v>
      </c>
      <c r="R13" s="73">
        <v>114.21795616834657</v>
      </c>
      <c r="S13" s="73">
        <v>112.67470376419071</v>
      </c>
      <c r="T13" s="73">
        <v>111.22064610531619</v>
      </c>
      <c r="U13" s="73">
        <v>105.32481599553647</v>
      </c>
      <c r="V13" s="73">
        <v>108.41575121342416</v>
      </c>
      <c r="W13" s="73">
        <v>111.94750122576527</v>
      </c>
      <c r="X13" s="73">
        <v>99.515849902432223</v>
      </c>
      <c r="Y13" s="73">
        <v>91.315600305862574</v>
      </c>
      <c r="Z13" s="73">
        <v>91.585916653760108</v>
      </c>
      <c r="AA13" s="73">
        <v>91.028398642380495</v>
      </c>
      <c r="AB13" s="73">
        <v>89.725136854832684</v>
      </c>
      <c r="AC13" s="73">
        <v>89.235177831234566</v>
      </c>
      <c r="AD13" s="73">
        <v>48.680361808068177</v>
      </c>
      <c r="AE13" s="73">
        <v>5.4716254086865543</v>
      </c>
      <c r="AF13" s="73">
        <v>0.26751329045974032</v>
      </c>
      <c r="AG13" s="73">
        <v>0.61280219478636666</v>
      </c>
      <c r="AH13" s="73">
        <v>0.79972807170302618</v>
      </c>
      <c r="AI13" s="134">
        <v>0.47987449870413318</v>
      </c>
      <c r="AJ13" s="134">
        <v>0.15995766391100655</v>
      </c>
      <c r="AK13" s="134">
        <v>0.15995766391100649</v>
      </c>
      <c r="AL13" s="134">
        <v>0.15956726807303998</v>
      </c>
      <c r="AM13" s="134">
        <f t="shared" si="0"/>
        <v>0.31970592480937721</v>
      </c>
      <c r="AN13" s="134">
        <v>0.47984458154571452</v>
      </c>
      <c r="AO13" s="134">
        <f t="shared" si="0"/>
        <v>0.35989796990786688</v>
      </c>
      <c r="AP13" s="134">
        <v>0.23995135827001923</v>
      </c>
      <c r="AQ13" s="134">
        <v>0</v>
      </c>
      <c r="AR13" s="134">
        <v>0</v>
      </c>
    </row>
    <row r="14" spans="1:59">
      <c r="A14" s="74" t="s">
        <v>270</v>
      </c>
      <c r="B14" s="76">
        <v>11147.087365382027</v>
      </c>
      <c r="C14" s="76">
        <v>11509.813234602845</v>
      </c>
      <c r="D14" s="76">
        <v>10917.169735152458</v>
      </c>
      <c r="E14" s="76">
        <v>9186.7693140471129</v>
      </c>
      <c r="F14" s="76">
        <v>7952.6728096291217</v>
      </c>
      <c r="G14" s="76">
        <v>6882.320502247976</v>
      </c>
      <c r="H14" s="76">
        <v>7817.5264777045677</v>
      </c>
      <c r="I14" s="76">
        <v>8618.1178148855925</v>
      </c>
      <c r="J14" s="76">
        <v>9508.486923645165</v>
      </c>
      <c r="K14" s="76">
        <v>10947.553057179959</v>
      </c>
      <c r="L14" s="76">
        <v>10946.061798430866</v>
      </c>
      <c r="M14" s="76">
        <v>11674.983571106</v>
      </c>
      <c r="N14" s="76">
        <v>14046.098869513567</v>
      </c>
      <c r="O14" s="76">
        <v>15067.493980541203</v>
      </c>
      <c r="P14" s="76">
        <v>15537.998650206633</v>
      </c>
      <c r="Q14" s="76">
        <v>15462.258881023528</v>
      </c>
      <c r="R14" s="76">
        <v>16680.022902230241</v>
      </c>
      <c r="S14" s="76">
        <v>17218.598415511187</v>
      </c>
      <c r="T14" s="76">
        <v>18048.501267587759</v>
      </c>
      <c r="U14" s="76">
        <v>17872.891043794512</v>
      </c>
      <c r="V14" s="76">
        <v>18589.132524062192</v>
      </c>
      <c r="W14" s="76">
        <v>19328.706796208582</v>
      </c>
      <c r="X14" s="76">
        <v>19543.051126315928</v>
      </c>
      <c r="Y14" s="76">
        <v>19242.133879038531</v>
      </c>
      <c r="Z14" s="76">
        <v>18945.54349317103</v>
      </c>
      <c r="AA14" s="76">
        <v>19168.846205045724</v>
      </c>
      <c r="AB14" s="76">
        <v>19090.528637804906</v>
      </c>
      <c r="AC14" s="76">
        <v>18543.521793091131</v>
      </c>
      <c r="AD14" s="76">
        <v>16894.358187277801</v>
      </c>
      <c r="AE14" s="76">
        <v>14879.419154593872</v>
      </c>
      <c r="AF14" s="76">
        <v>13343.281307644962</v>
      </c>
      <c r="AG14" s="76">
        <v>12124.970945031746</v>
      </c>
      <c r="AH14" s="75">
        <v>11054.005783905772</v>
      </c>
      <c r="AI14" s="76">
        <v>10007.739613797012</v>
      </c>
      <c r="AJ14" s="76">
        <v>9051.6281003557451</v>
      </c>
      <c r="AK14" s="76">
        <v>8275.7675092242735</v>
      </c>
      <c r="AL14" s="76">
        <v>7772.1085997786395</v>
      </c>
      <c r="AM14" s="76">
        <f t="shared" si="0"/>
        <v>6805.1512901003462</v>
      </c>
      <c r="AN14" s="76">
        <v>5838.1939804220528</v>
      </c>
      <c r="AO14" s="76">
        <f t="shared" si="0"/>
        <v>5329.6869368534208</v>
      </c>
      <c r="AP14" s="76">
        <v>4821.1798932847887</v>
      </c>
      <c r="AQ14" s="76">
        <v>1805.8294008480648</v>
      </c>
      <c r="AR14" s="76">
        <v>925.52347468931418</v>
      </c>
    </row>
    <row r="15" spans="1:59">
      <c r="A15" s="69" t="s">
        <v>271</v>
      </c>
      <c r="B15" s="70">
        <v>0</v>
      </c>
      <c r="C15" s="70">
        <v>0</v>
      </c>
      <c r="D15" s="70">
        <v>0</v>
      </c>
      <c r="E15" s="70">
        <v>0</v>
      </c>
      <c r="F15" s="70">
        <v>0</v>
      </c>
      <c r="G15" s="70">
        <v>0</v>
      </c>
      <c r="H15" s="70">
        <v>0</v>
      </c>
      <c r="I15" s="70">
        <v>0</v>
      </c>
      <c r="J15" s="70">
        <v>0</v>
      </c>
      <c r="K15" s="70">
        <v>0</v>
      </c>
      <c r="L15" s="70">
        <v>0</v>
      </c>
      <c r="M15" s="70">
        <v>0</v>
      </c>
      <c r="N15" s="70">
        <v>0</v>
      </c>
      <c r="O15" s="70">
        <v>0</v>
      </c>
      <c r="P15" s="70">
        <v>0</v>
      </c>
      <c r="Q15" s="70">
        <v>0</v>
      </c>
      <c r="R15" s="70">
        <v>0</v>
      </c>
      <c r="S15" s="70">
        <v>0</v>
      </c>
      <c r="T15" s="70">
        <v>0</v>
      </c>
      <c r="U15" s="70">
        <v>0</v>
      </c>
      <c r="V15" s="70">
        <v>0</v>
      </c>
      <c r="W15" s="70">
        <v>0</v>
      </c>
      <c r="X15" s="70">
        <v>0</v>
      </c>
      <c r="Y15" s="70">
        <v>0</v>
      </c>
      <c r="Z15" s="70">
        <v>0</v>
      </c>
      <c r="AA15" s="70">
        <v>0</v>
      </c>
      <c r="AB15" s="70">
        <v>0</v>
      </c>
      <c r="AC15" s="70">
        <v>0</v>
      </c>
      <c r="AD15" s="70">
        <v>0</v>
      </c>
      <c r="AE15" s="70">
        <v>0</v>
      </c>
      <c r="AF15" s="70">
        <v>0</v>
      </c>
      <c r="AG15" s="70">
        <v>0</v>
      </c>
      <c r="AH15" s="70">
        <v>0</v>
      </c>
      <c r="AI15" s="135">
        <v>0</v>
      </c>
      <c r="AJ15" s="134">
        <v>0</v>
      </c>
      <c r="AK15" s="135">
        <v>0</v>
      </c>
      <c r="AL15" s="134">
        <v>0</v>
      </c>
      <c r="AM15" s="134">
        <f t="shared" si="0"/>
        <v>0</v>
      </c>
      <c r="AN15" s="134">
        <v>0</v>
      </c>
      <c r="AO15" s="134">
        <f t="shared" si="0"/>
        <v>0</v>
      </c>
      <c r="AP15" s="134">
        <v>0</v>
      </c>
      <c r="AQ15" s="134">
        <v>0</v>
      </c>
      <c r="AR15" s="134">
        <v>0</v>
      </c>
    </row>
    <row r="16" spans="1:59">
      <c r="A16" s="72" t="s">
        <v>272</v>
      </c>
      <c r="B16" s="73">
        <v>0</v>
      </c>
      <c r="C16" s="73">
        <v>0</v>
      </c>
      <c r="D16" s="73">
        <v>0</v>
      </c>
      <c r="E16" s="73">
        <v>0</v>
      </c>
      <c r="F16" s="73">
        <v>0</v>
      </c>
      <c r="G16" s="73">
        <v>0</v>
      </c>
      <c r="H16" s="73">
        <v>0</v>
      </c>
      <c r="I16" s="73">
        <v>0</v>
      </c>
      <c r="J16" s="73">
        <v>0</v>
      </c>
      <c r="K16" s="73">
        <v>0</v>
      </c>
      <c r="L16" s="73">
        <v>0</v>
      </c>
      <c r="M16" s="73">
        <v>0</v>
      </c>
      <c r="N16" s="73">
        <v>0</v>
      </c>
      <c r="O16" s="73">
        <v>0</v>
      </c>
      <c r="P16" s="73">
        <v>0</v>
      </c>
      <c r="Q16" s="73">
        <v>0</v>
      </c>
      <c r="R16" s="73">
        <v>0</v>
      </c>
      <c r="S16" s="73">
        <v>0</v>
      </c>
      <c r="T16" s="73">
        <v>0</v>
      </c>
      <c r="U16" s="73">
        <v>0</v>
      </c>
      <c r="V16" s="73">
        <v>0</v>
      </c>
      <c r="W16" s="73">
        <v>0</v>
      </c>
      <c r="X16" s="73">
        <v>0</v>
      </c>
      <c r="Y16" s="73">
        <v>0</v>
      </c>
      <c r="Z16" s="73">
        <v>0</v>
      </c>
      <c r="AA16" s="73">
        <v>0</v>
      </c>
      <c r="AB16" s="73">
        <v>0</v>
      </c>
      <c r="AC16" s="73">
        <v>0</v>
      </c>
      <c r="AD16" s="73">
        <v>0</v>
      </c>
      <c r="AE16" s="73">
        <v>0</v>
      </c>
      <c r="AF16" s="73">
        <v>0</v>
      </c>
      <c r="AG16" s="73">
        <v>0</v>
      </c>
      <c r="AH16" s="73">
        <v>0</v>
      </c>
      <c r="AI16" s="73">
        <v>0</v>
      </c>
      <c r="AJ16" s="73">
        <v>0</v>
      </c>
      <c r="AK16" s="73">
        <v>0</v>
      </c>
      <c r="AL16" s="271"/>
      <c r="AM16" s="271"/>
      <c r="AN16" s="271"/>
      <c r="AO16" s="271"/>
      <c r="AP16" s="271"/>
      <c r="AQ16" s="271"/>
      <c r="AR16" s="271"/>
    </row>
    <row r="17" spans="1:44">
      <c r="A17" s="74" t="s">
        <v>273</v>
      </c>
      <c r="B17" s="76">
        <v>11147.087365382027</v>
      </c>
      <c r="C17" s="76">
        <v>11509.813234602845</v>
      </c>
      <c r="D17" s="76">
        <v>10917.169735152458</v>
      </c>
      <c r="E17" s="76">
        <v>9186.7693140471129</v>
      </c>
      <c r="F17" s="76">
        <v>7952.6728096291217</v>
      </c>
      <c r="G17" s="76">
        <v>6882.320502247976</v>
      </c>
      <c r="H17" s="76">
        <v>7817.5264777045677</v>
      </c>
      <c r="I17" s="76">
        <v>8618.1178148855925</v>
      </c>
      <c r="J17" s="76">
        <v>9508.486923645165</v>
      </c>
      <c r="K17" s="76">
        <v>10947.553057179959</v>
      </c>
      <c r="L17" s="76">
        <v>10946.061798430866</v>
      </c>
      <c r="M17" s="76">
        <v>11674.983571106</v>
      </c>
      <c r="N17" s="76">
        <v>14046.098869513567</v>
      </c>
      <c r="O17" s="76">
        <v>15067.493980541203</v>
      </c>
      <c r="P17" s="76">
        <v>15537.998650206633</v>
      </c>
      <c r="Q17" s="76">
        <v>15462.258881023528</v>
      </c>
      <c r="R17" s="76">
        <v>16680.022902230241</v>
      </c>
      <c r="S17" s="76">
        <v>17218.598415511187</v>
      </c>
      <c r="T17" s="76">
        <v>18048.501267587759</v>
      </c>
      <c r="U17" s="76">
        <v>17872.891043794512</v>
      </c>
      <c r="V17" s="76">
        <v>18589.132524062192</v>
      </c>
      <c r="W17" s="76">
        <v>19328.706796208582</v>
      </c>
      <c r="X17" s="76">
        <v>19543.051126315928</v>
      </c>
      <c r="Y17" s="76">
        <v>19242.133879038531</v>
      </c>
      <c r="Z17" s="76">
        <v>18945.54349317103</v>
      </c>
      <c r="AA17" s="76">
        <v>19168.846205045724</v>
      </c>
      <c r="AB17" s="76">
        <v>19090.528637804906</v>
      </c>
      <c r="AC17" s="76">
        <v>18543.521793091131</v>
      </c>
      <c r="AD17" s="76">
        <v>16894.358187277801</v>
      </c>
      <c r="AE17" s="76">
        <v>14879.419154593872</v>
      </c>
      <c r="AF17" s="76">
        <v>13343.281307644962</v>
      </c>
      <c r="AG17" s="76">
        <v>12124.970945031746</v>
      </c>
      <c r="AH17" s="76">
        <v>11054.005783905772</v>
      </c>
      <c r="AI17" s="76">
        <v>10007.739613797012</v>
      </c>
      <c r="AJ17" s="76">
        <v>9051.6281003557451</v>
      </c>
      <c r="AK17" s="76">
        <v>8275.7675092242735</v>
      </c>
      <c r="AL17" s="76">
        <v>7772.1085997786395</v>
      </c>
      <c r="AM17" s="76">
        <f t="shared" ref="AM17" si="1">AM14+AM15</f>
        <v>6805.1512901003462</v>
      </c>
      <c r="AN17" s="76">
        <v>5838.1939804220528</v>
      </c>
      <c r="AO17" s="76">
        <f t="shared" ref="AO17" si="2">AO14+AO15</f>
        <v>5329.6869368534208</v>
      </c>
      <c r="AP17" s="76">
        <v>4821.1798932847887</v>
      </c>
      <c r="AQ17" s="76">
        <v>1805.8294008480648</v>
      </c>
      <c r="AR17" s="76">
        <v>925.52347468931418</v>
      </c>
    </row>
    <row r="18" spans="1:44">
      <c r="A18" s="72" t="s">
        <v>274</v>
      </c>
      <c r="B18" s="73">
        <v>0</v>
      </c>
      <c r="C18" s="73">
        <v>0</v>
      </c>
      <c r="D18" s="73">
        <v>0</v>
      </c>
      <c r="E18" s="73">
        <v>0</v>
      </c>
      <c r="F18" s="73">
        <v>5.0183898499784796</v>
      </c>
      <c r="G18" s="73">
        <v>37.392693354130749</v>
      </c>
      <c r="H18" s="73">
        <v>91.175529371462915</v>
      </c>
      <c r="I18" s="73">
        <v>117.33589730033827</v>
      </c>
      <c r="J18" s="73">
        <v>117.38466347017571</v>
      </c>
      <c r="K18" s="73">
        <v>117.42922775834766</v>
      </c>
      <c r="L18" s="73">
        <v>112.42408255404999</v>
      </c>
      <c r="M18" s="73">
        <v>107.70997314789784</v>
      </c>
      <c r="N18" s="73">
        <v>105.21805849695212</v>
      </c>
      <c r="O18" s="73">
        <v>110.47130225826318</v>
      </c>
      <c r="P18" s="73">
        <v>116.97031423577944</v>
      </c>
      <c r="Q18" s="73">
        <v>115.66192264040676</v>
      </c>
      <c r="R18" s="73">
        <v>114.21795616834657</v>
      </c>
      <c r="S18" s="73">
        <v>112.67470376419071</v>
      </c>
      <c r="T18" s="73">
        <v>111.22064610531619</v>
      </c>
      <c r="U18" s="73">
        <v>105.32481599553647</v>
      </c>
      <c r="V18" s="73">
        <v>108.41575121342416</v>
      </c>
      <c r="W18" s="73">
        <v>111.94750122576527</v>
      </c>
      <c r="X18" s="73">
        <v>99.515849902432223</v>
      </c>
      <c r="Y18" s="73">
        <v>91.315600305862574</v>
      </c>
      <c r="Z18" s="73">
        <v>91.585916653760108</v>
      </c>
      <c r="AA18" s="73">
        <v>91.028398642380495</v>
      </c>
      <c r="AB18" s="73">
        <v>89.725136854832684</v>
      </c>
      <c r="AC18" s="73">
        <v>89.235177831234566</v>
      </c>
      <c r="AD18" s="73">
        <v>48.680361808068177</v>
      </c>
      <c r="AE18" s="73">
        <v>5.4716254086865543</v>
      </c>
      <c r="AF18" s="73">
        <v>0.26751329045974032</v>
      </c>
      <c r="AG18" s="73">
        <v>0.61280219478636666</v>
      </c>
      <c r="AH18" s="73">
        <v>0.79972807170302618</v>
      </c>
      <c r="AI18" s="73">
        <v>0.47987449870413318</v>
      </c>
      <c r="AJ18" s="73">
        <v>0.15995766391100655</v>
      </c>
      <c r="AK18" s="73">
        <v>0.15995766391100649</v>
      </c>
      <c r="AL18" s="271"/>
      <c r="AM18" s="271"/>
      <c r="AN18" s="271"/>
      <c r="AO18" s="271"/>
      <c r="AP18" s="271"/>
      <c r="AQ18" s="271"/>
      <c r="AR18" s="271"/>
    </row>
    <row r="19" spans="1:44">
      <c r="A19" s="77"/>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7"/>
      <c r="AI19" s="272"/>
      <c r="AJ19" s="272"/>
      <c r="AK19" s="272"/>
      <c r="AL19" s="272"/>
      <c r="AM19" s="272"/>
      <c r="AN19" s="272"/>
      <c r="AO19" s="272"/>
      <c r="AP19" s="272"/>
    </row>
    <row r="20" spans="1:44">
      <c r="A20" s="77"/>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9"/>
      <c r="AE20" s="77"/>
      <c r="AF20" s="77"/>
      <c r="AG20" s="77"/>
      <c r="AH20" s="77"/>
    </row>
    <row r="21" spans="1:44" ht="18">
      <c r="A21" s="64" t="s">
        <v>275</v>
      </c>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510" t="s">
        <v>262</v>
      </c>
      <c r="AM21" s="510"/>
      <c r="AN21" s="510"/>
      <c r="AO21" s="510"/>
      <c r="AP21" s="510"/>
      <c r="AQ21" s="510"/>
      <c r="AR21" s="510"/>
    </row>
    <row r="22" spans="1:44">
      <c r="A22" s="77"/>
      <c r="B22" s="77"/>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row>
    <row r="23" spans="1:44">
      <c r="A23" s="80" t="s">
        <v>264</v>
      </c>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503" t="s">
        <v>262</v>
      </c>
      <c r="AM23" s="503"/>
      <c r="AN23" s="503"/>
      <c r="AO23" s="503"/>
      <c r="AP23" s="503"/>
      <c r="AQ23" s="503"/>
      <c r="AR23" s="503"/>
    </row>
    <row r="24" spans="1:44" ht="52.8">
      <c r="A24" s="66" t="s">
        <v>613</v>
      </c>
      <c r="B24" s="393">
        <v>1990</v>
      </c>
      <c r="C24" s="393">
        <v>1991</v>
      </c>
      <c r="D24" s="393">
        <v>1992</v>
      </c>
      <c r="E24" s="393">
        <v>1993</v>
      </c>
      <c r="F24" s="393">
        <v>1994</v>
      </c>
      <c r="G24" s="393">
        <v>1995</v>
      </c>
      <c r="H24" s="393">
        <v>1996</v>
      </c>
      <c r="I24" s="393">
        <v>1997</v>
      </c>
      <c r="J24" s="393">
        <v>1998</v>
      </c>
      <c r="K24" s="393">
        <v>1999</v>
      </c>
      <c r="L24" s="393">
        <v>2000</v>
      </c>
      <c r="M24" s="393">
        <v>2001</v>
      </c>
      <c r="N24" s="393">
        <v>2002</v>
      </c>
      <c r="O24" s="393">
        <v>2003</v>
      </c>
      <c r="P24" s="393">
        <v>2004</v>
      </c>
      <c r="Q24" s="393">
        <v>2005</v>
      </c>
      <c r="R24" s="393">
        <v>2006</v>
      </c>
      <c r="S24" s="393">
        <v>2007</v>
      </c>
      <c r="T24" s="393">
        <v>2008</v>
      </c>
      <c r="U24" s="393">
        <v>2009</v>
      </c>
      <c r="V24" s="393">
        <v>2010</v>
      </c>
      <c r="W24" s="393">
        <v>2011</v>
      </c>
      <c r="X24" s="393">
        <v>2012</v>
      </c>
      <c r="Y24" s="393">
        <v>2013</v>
      </c>
      <c r="Z24" s="393">
        <v>2014</v>
      </c>
      <c r="AA24" s="393">
        <v>2015</v>
      </c>
      <c r="AB24" s="393">
        <v>2016</v>
      </c>
      <c r="AC24" s="393">
        <v>2017</v>
      </c>
      <c r="AD24" s="393">
        <v>2018</v>
      </c>
      <c r="AE24" s="393">
        <v>2019</v>
      </c>
      <c r="AF24" s="393">
        <v>2020</v>
      </c>
      <c r="AG24" s="397">
        <v>2021</v>
      </c>
      <c r="AH24" s="397">
        <v>2022</v>
      </c>
      <c r="AI24" s="393">
        <v>2023</v>
      </c>
      <c r="AJ24" s="394">
        <v>2024</v>
      </c>
      <c r="AK24" s="393">
        <v>2025</v>
      </c>
      <c r="AL24" s="394">
        <v>2026</v>
      </c>
      <c r="AM24" s="394">
        <v>2027</v>
      </c>
      <c r="AN24" s="393">
        <v>2028</v>
      </c>
      <c r="AO24" s="394">
        <v>2029</v>
      </c>
      <c r="AP24" s="393">
        <v>2030</v>
      </c>
      <c r="AQ24" s="393">
        <v>2040</v>
      </c>
      <c r="AR24" s="393">
        <v>2050</v>
      </c>
    </row>
    <row r="25" spans="1:44">
      <c r="A25" s="82" t="s">
        <v>74</v>
      </c>
      <c r="B25" s="83">
        <v>521.41815115928091</v>
      </c>
      <c r="C25" s="83">
        <v>524.67701460402657</v>
      </c>
      <c r="D25" s="83">
        <v>527.935878048772</v>
      </c>
      <c r="E25" s="83">
        <v>531.19474149351743</v>
      </c>
      <c r="F25" s="83">
        <v>534.45360493826286</v>
      </c>
      <c r="G25" s="83">
        <v>537.94258939301903</v>
      </c>
      <c r="H25" s="83">
        <v>517.96785814134307</v>
      </c>
      <c r="I25" s="83">
        <v>497.70208925943956</v>
      </c>
      <c r="J25" s="83">
        <v>477.14635343855264</v>
      </c>
      <c r="K25" s="83">
        <v>464.8838901511931</v>
      </c>
      <c r="L25" s="83">
        <v>452.62086683715762</v>
      </c>
      <c r="M25" s="83">
        <v>440.76862256059417</v>
      </c>
      <c r="N25" s="83">
        <v>428.80107766999868</v>
      </c>
      <c r="O25" s="83">
        <v>416.71693019254894</v>
      </c>
      <c r="P25" s="83">
        <v>404.38607540114452</v>
      </c>
      <c r="Q25" s="83">
        <v>392.15687722337168</v>
      </c>
      <c r="R25" s="83">
        <v>386.21681756758221</v>
      </c>
      <c r="S25" s="83">
        <v>378.05408798830166</v>
      </c>
      <c r="T25" s="83">
        <v>369.3780760912166</v>
      </c>
      <c r="U25" s="83">
        <v>359.53552260532371</v>
      </c>
      <c r="V25" s="83">
        <v>306.89336826354474</v>
      </c>
      <c r="W25" s="83">
        <v>258.9537382296495</v>
      </c>
      <c r="X25" s="83">
        <v>254.25356551277997</v>
      </c>
      <c r="Y25" s="83">
        <v>235.23030827349967</v>
      </c>
      <c r="Z25" s="83">
        <v>201.65302089767485</v>
      </c>
      <c r="AA25" s="83">
        <v>217.0144473531559</v>
      </c>
      <c r="AB25" s="83">
        <v>218.52704073743075</v>
      </c>
      <c r="AC25" s="83">
        <v>189.27096840185982</v>
      </c>
      <c r="AD25" s="83">
        <v>200.02201798252719</v>
      </c>
      <c r="AE25" s="83">
        <v>185.21133403042384</v>
      </c>
      <c r="AF25" s="83">
        <v>186.25565266966424</v>
      </c>
      <c r="AG25" s="83">
        <v>172.70941631742363</v>
      </c>
      <c r="AH25" s="83">
        <v>154.36157774301083</v>
      </c>
      <c r="AI25" s="293">
        <v>157.37096060771361</v>
      </c>
      <c r="AJ25" s="279">
        <v>85.726535284510632</v>
      </c>
      <c r="AK25" s="293">
        <v>85.726535284510632</v>
      </c>
      <c r="AL25" s="293">
        <v>86.218883348546029</v>
      </c>
      <c r="AM25" s="293">
        <f>AL25+(AN25-AL25)/2</f>
        <v>121.42909705900597</v>
      </c>
      <c r="AN25" s="293">
        <v>156.63931076946591</v>
      </c>
      <c r="AO25" s="293">
        <f>AN25+(AP25-AN25)/2</f>
        <v>156.51155012396117</v>
      </c>
      <c r="AP25" s="293">
        <v>156.38378947845646</v>
      </c>
      <c r="AQ25" s="293">
        <v>0.41482530041484611</v>
      </c>
      <c r="AR25" s="293">
        <v>0.34768890066972036</v>
      </c>
    </row>
    <row r="26" spans="1:44">
      <c r="A26" s="82" t="s">
        <v>76</v>
      </c>
      <c r="B26" s="83">
        <v>0</v>
      </c>
      <c r="C26" s="83">
        <v>0</v>
      </c>
      <c r="D26" s="83">
        <v>0</v>
      </c>
      <c r="E26" s="83">
        <v>0</v>
      </c>
      <c r="F26" s="83">
        <v>0</v>
      </c>
      <c r="G26" s="83">
        <v>0</v>
      </c>
      <c r="H26" s="83">
        <v>0</v>
      </c>
      <c r="I26" s="83">
        <v>0</v>
      </c>
      <c r="J26" s="83">
        <v>0</v>
      </c>
      <c r="K26" s="83">
        <v>0</v>
      </c>
      <c r="L26" s="83">
        <v>0</v>
      </c>
      <c r="M26" s="83">
        <v>0</v>
      </c>
      <c r="N26" s="83">
        <v>0</v>
      </c>
      <c r="O26" s="83">
        <v>0</v>
      </c>
      <c r="P26" s="83">
        <v>0</v>
      </c>
      <c r="Q26" s="83">
        <v>0</v>
      </c>
      <c r="R26" s="83">
        <v>0</v>
      </c>
      <c r="S26" s="83">
        <v>0</v>
      </c>
      <c r="T26" s="83">
        <v>0</v>
      </c>
      <c r="U26" s="83">
        <v>0</v>
      </c>
      <c r="V26" s="83">
        <v>0</v>
      </c>
      <c r="W26" s="83">
        <v>0</v>
      </c>
      <c r="X26" s="83">
        <v>0</v>
      </c>
      <c r="Y26" s="83">
        <v>0</v>
      </c>
      <c r="Z26" s="83">
        <v>0</v>
      </c>
      <c r="AA26" s="83">
        <v>0</v>
      </c>
      <c r="AB26" s="83">
        <v>0</v>
      </c>
      <c r="AC26" s="83">
        <v>0</v>
      </c>
      <c r="AD26" s="83">
        <v>0</v>
      </c>
      <c r="AE26" s="83">
        <v>0</v>
      </c>
      <c r="AF26" s="83">
        <v>0</v>
      </c>
      <c r="AG26" s="83">
        <v>0</v>
      </c>
      <c r="AH26" s="83">
        <v>0</v>
      </c>
      <c r="AI26" s="293">
        <v>0</v>
      </c>
      <c r="AJ26" s="293">
        <v>0</v>
      </c>
      <c r="AK26" s="293">
        <v>0</v>
      </c>
      <c r="AL26" s="293">
        <v>0</v>
      </c>
      <c r="AM26" s="293">
        <v>0</v>
      </c>
      <c r="AN26" s="293">
        <v>0</v>
      </c>
      <c r="AO26" s="293">
        <v>0</v>
      </c>
      <c r="AP26" s="293">
        <v>0</v>
      </c>
      <c r="AQ26" s="293">
        <v>0</v>
      </c>
      <c r="AR26" s="293">
        <v>0</v>
      </c>
    </row>
    <row r="27" spans="1:44">
      <c r="A27" s="82" t="s">
        <v>78</v>
      </c>
      <c r="B27" s="83">
        <v>0</v>
      </c>
      <c r="C27" s="83">
        <v>0</v>
      </c>
      <c r="D27" s="83">
        <v>0</v>
      </c>
      <c r="E27" s="83">
        <v>0</v>
      </c>
      <c r="F27" s="83">
        <v>0</v>
      </c>
      <c r="G27" s="83">
        <v>0</v>
      </c>
      <c r="H27" s="83">
        <v>0</v>
      </c>
      <c r="I27" s="83">
        <v>0</v>
      </c>
      <c r="J27" s="83">
        <v>0</v>
      </c>
      <c r="K27" s="83">
        <v>0</v>
      </c>
      <c r="L27" s="83">
        <v>0</v>
      </c>
      <c r="M27" s="83">
        <v>0</v>
      </c>
      <c r="N27" s="83">
        <v>0</v>
      </c>
      <c r="O27" s="83">
        <v>0</v>
      </c>
      <c r="P27" s="83">
        <v>0</v>
      </c>
      <c r="Q27" s="83">
        <v>0</v>
      </c>
      <c r="R27" s="83">
        <v>0</v>
      </c>
      <c r="S27" s="83">
        <v>0</v>
      </c>
      <c r="T27" s="83">
        <v>0</v>
      </c>
      <c r="U27" s="83">
        <v>0</v>
      </c>
      <c r="V27" s="83">
        <v>0</v>
      </c>
      <c r="W27" s="83">
        <v>0</v>
      </c>
      <c r="X27" s="83">
        <v>0</v>
      </c>
      <c r="Y27" s="83">
        <v>0</v>
      </c>
      <c r="Z27" s="83">
        <v>0</v>
      </c>
      <c r="AA27" s="83">
        <v>0</v>
      </c>
      <c r="AB27" s="83">
        <v>0</v>
      </c>
      <c r="AC27" s="83">
        <v>0</v>
      </c>
      <c r="AD27" s="83">
        <v>0</v>
      </c>
      <c r="AE27" s="83">
        <v>0</v>
      </c>
      <c r="AF27" s="83">
        <v>0</v>
      </c>
      <c r="AG27" s="83">
        <v>0</v>
      </c>
      <c r="AH27" s="83">
        <v>0</v>
      </c>
      <c r="AI27" s="293">
        <v>0</v>
      </c>
      <c r="AJ27" s="293">
        <v>0</v>
      </c>
      <c r="AK27" s="293">
        <v>0</v>
      </c>
      <c r="AL27" s="293">
        <v>0</v>
      </c>
      <c r="AM27" s="293">
        <v>0</v>
      </c>
      <c r="AN27" s="293">
        <v>0</v>
      </c>
      <c r="AO27" s="293">
        <v>0</v>
      </c>
      <c r="AP27" s="293">
        <v>0</v>
      </c>
      <c r="AQ27" s="293">
        <v>0</v>
      </c>
      <c r="AR27" s="293">
        <v>0</v>
      </c>
    </row>
    <row r="28" spans="1:44" ht="24">
      <c r="A28" s="82" t="s">
        <v>80</v>
      </c>
      <c r="B28" s="83">
        <v>0</v>
      </c>
      <c r="C28" s="83">
        <v>0</v>
      </c>
      <c r="D28" s="83">
        <v>0</v>
      </c>
      <c r="E28" s="83">
        <v>0</v>
      </c>
      <c r="F28" s="83">
        <v>0</v>
      </c>
      <c r="G28" s="83">
        <v>0</v>
      </c>
      <c r="H28" s="83">
        <v>0</v>
      </c>
      <c r="I28" s="83">
        <v>0</v>
      </c>
      <c r="J28" s="83">
        <v>0</v>
      </c>
      <c r="K28" s="83">
        <v>0</v>
      </c>
      <c r="L28" s="83">
        <v>0</v>
      </c>
      <c r="M28" s="83">
        <v>0</v>
      </c>
      <c r="N28" s="83">
        <v>0</v>
      </c>
      <c r="O28" s="83">
        <v>0</v>
      </c>
      <c r="P28" s="83">
        <v>0</v>
      </c>
      <c r="Q28" s="83">
        <v>0</v>
      </c>
      <c r="R28" s="83">
        <v>0</v>
      </c>
      <c r="S28" s="83">
        <v>0</v>
      </c>
      <c r="T28" s="83">
        <v>0</v>
      </c>
      <c r="U28" s="83">
        <v>0</v>
      </c>
      <c r="V28" s="83">
        <v>0</v>
      </c>
      <c r="W28" s="83">
        <v>0</v>
      </c>
      <c r="X28" s="83">
        <v>0</v>
      </c>
      <c r="Y28" s="83">
        <v>0</v>
      </c>
      <c r="Z28" s="83">
        <v>0</v>
      </c>
      <c r="AA28" s="83">
        <v>0</v>
      </c>
      <c r="AB28" s="83">
        <v>0</v>
      </c>
      <c r="AC28" s="83">
        <v>0</v>
      </c>
      <c r="AD28" s="83">
        <v>0</v>
      </c>
      <c r="AE28" s="83">
        <v>0</v>
      </c>
      <c r="AF28" s="83">
        <v>0</v>
      </c>
      <c r="AG28" s="83">
        <v>0</v>
      </c>
      <c r="AH28" s="83">
        <v>0</v>
      </c>
      <c r="AI28" s="293">
        <v>0</v>
      </c>
      <c r="AJ28" s="293">
        <v>0</v>
      </c>
      <c r="AK28" s="293">
        <v>0</v>
      </c>
      <c r="AL28" s="293">
        <v>0</v>
      </c>
      <c r="AM28" s="293">
        <v>0</v>
      </c>
      <c r="AN28" s="293">
        <v>0</v>
      </c>
      <c r="AO28" s="293">
        <v>0</v>
      </c>
      <c r="AP28" s="293">
        <v>0</v>
      </c>
      <c r="AQ28" s="293">
        <v>0</v>
      </c>
      <c r="AR28" s="293">
        <v>0</v>
      </c>
    </row>
    <row r="29" spans="1:44" ht="24">
      <c r="A29" s="82" t="s">
        <v>244</v>
      </c>
      <c r="B29" s="83">
        <v>0</v>
      </c>
      <c r="C29" s="83">
        <v>0</v>
      </c>
      <c r="D29" s="83">
        <v>0</v>
      </c>
      <c r="E29" s="83">
        <v>0</v>
      </c>
      <c r="F29" s="83">
        <v>0</v>
      </c>
      <c r="G29" s="83">
        <v>0</v>
      </c>
      <c r="H29" s="83">
        <v>0</v>
      </c>
      <c r="I29" s="83">
        <v>0</v>
      </c>
      <c r="J29" s="83">
        <v>0</v>
      </c>
      <c r="K29" s="83">
        <v>0</v>
      </c>
      <c r="L29" s="83">
        <v>0</v>
      </c>
      <c r="M29" s="83">
        <v>0</v>
      </c>
      <c r="N29" s="83">
        <v>0</v>
      </c>
      <c r="O29" s="83">
        <v>0</v>
      </c>
      <c r="P29" s="83">
        <v>0</v>
      </c>
      <c r="Q29" s="83">
        <v>0</v>
      </c>
      <c r="R29" s="83">
        <v>0</v>
      </c>
      <c r="S29" s="83">
        <v>0</v>
      </c>
      <c r="T29" s="83">
        <v>0</v>
      </c>
      <c r="U29" s="83">
        <v>0</v>
      </c>
      <c r="V29" s="83">
        <v>0</v>
      </c>
      <c r="W29" s="83">
        <v>0</v>
      </c>
      <c r="X29" s="83">
        <v>0</v>
      </c>
      <c r="Y29" s="83">
        <v>0</v>
      </c>
      <c r="Z29" s="83">
        <v>0</v>
      </c>
      <c r="AA29" s="83">
        <v>0</v>
      </c>
      <c r="AB29" s="83">
        <v>0</v>
      </c>
      <c r="AC29" s="83">
        <v>0</v>
      </c>
      <c r="AD29" s="83">
        <v>0</v>
      </c>
      <c r="AE29" s="83">
        <v>0</v>
      </c>
      <c r="AF29" s="83">
        <v>0</v>
      </c>
      <c r="AG29" s="83">
        <v>0</v>
      </c>
      <c r="AH29" s="83">
        <v>0</v>
      </c>
      <c r="AI29" s="293">
        <v>0</v>
      </c>
      <c r="AJ29" s="293">
        <v>0</v>
      </c>
      <c r="AK29" s="293">
        <v>0</v>
      </c>
      <c r="AL29" s="293">
        <v>0</v>
      </c>
      <c r="AM29" s="293">
        <v>0</v>
      </c>
      <c r="AN29" s="293">
        <v>0</v>
      </c>
      <c r="AO29" s="293">
        <v>0</v>
      </c>
      <c r="AP29" s="293">
        <v>0</v>
      </c>
      <c r="AQ29" s="293">
        <v>0</v>
      </c>
      <c r="AR29" s="293">
        <v>0</v>
      </c>
    </row>
    <row r="30" spans="1:44" ht="24">
      <c r="A30" s="82" t="s">
        <v>245</v>
      </c>
      <c r="B30" s="83">
        <v>0</v>
      </c>
      <c r="C30" s="83">
        <v>0</v>
      </c>
      <c r="D30" s="83">
        <v>0</v>
      </c>
      <c r="E30" s="83">
        <v>0</v>
      </c>
      <c r="F30" s="83">
        <v>0</v>
      </c>
      <c r="G30" s="83">
        <v>0</v>
      </c>
      <c r="H30" s="83">
        <v>0</v>
      </c>
      <c r="I30" s="83">
        <v>0</v>
      </c>
      <c r="J30" s="83">
        <v>0</v>
      </c>
      <c r="K30" s="83">
        <v>0</v>
      </c>
      <c r="L30" s="83">
        <v>0</v>
      </c>
      <c r="M30" s="83">
        <v>0</v>
      </c>
      <c r="N30" s="83">
        <v>0</v>
      </c>
      <c r="O30" s="83">
        <v>0</v>
      </c>
      <c r="P30" s="83">
        <v>0</v>
      </c>
      <c r="Q30" s="83">
        <v>0</v>
      </c>
      <c r="R30" s="83">
        <v>0</v>
      </c>
      <c r="S30" s="83">
        <v>0</v>
      </c>
      <c r="T30" s="83">
        <v>0</v>
      </c>
      <c r="U30" s="83">
        <v>0</v>
      </c>
      <c r="V30" s="83">
        <v>0</v>
      </c>
      <c r="W30" s="83">
        <v>0</v>
      </c>
      <c r="X30" s="83">
        <v>0</v>
      </c>
      <c r="Y30" s="83">
        <v>0</v>
      </c>
      <c r="Z30" s="83">
        <v>0</v>
      </c>
      <c r="AA30" s="83">
        <v>0</v>
      </c>
      <c r="AB30" s="83">
        <v>0</v>
      </c>
      <c r="AC30" s="83">
        <v>0</v>
      </c>
      <c r="AD30" s="83">
        <v>0</v>
      </c>
      <c r="AE30" s="83">
        <v>0</v>
      </c>
      <c r="AF30" s="83">
        <v>0</v>
      </c>
      <c r="AG30" s="83">
        <v>0</v>
      </c>
      <c r="AH30" s="83">
        <v>0</v>
      </c>
      <c r="AI30" s="293">
        <v>0</v>
      </c>
      <c r="AJ30" s="293">
        <v>0</v>
      </c>
      <c r="AK30" s="293">
        <v>0</v>
      </c>
      <c r="AL30" s="293">
        <v>0</v>
      </c>
      <c r="AM30" s="293">
        <v>0</v>
      </c>
      <c r="AN30" s="293">
        <v>0</v>
      </c>
      <c r="AO30" s="293">
        <v>0</v>
      </c>
      <c r="AP30" s="293">
        <v>0</v>
      </c>
      <c r="AQ30" s="293">
        <v>0</v>
      </c>
      <c r="AR30" s="293">
        <v>0</v>
      </c>
    </row>
    <row r="31" spans="1:44" ht="24">
      <c r="A31" s="82" t="s">
        <v>246</v>
      </c>
      <c r="B31" s="83">
        <v>0</v>
      </c>
      <c r="C31" s="83">
        <v>0</v>
      </c>
      <c r="D31" s="83">
        <v>0</v>
      </c>
      <c r="E31" s="83">
        <v>0</v>
      </c>
      <c r="F31" s="83">
        <v>0</v>
      </c>
      <c r="G31" s="83">
        <v>0</v>
      </c>
      <c r="H31" s="83">
        <v>0</v>
      </c>
      <c r="I31" s="83">
        <v>0</v>
      </c>
      <c r="J31" s="83">
        <v>0</v>
      </c>
      <c r="K31" s="83">
        <v>0</v>
      </c>
      <c r="L31" s="83">
        <v>0</v>
      </c>
      <c r="M31" s="83">
        <v>0</v>
      </c>
      <c r="N31" s="83">
        <v>0</v>
      </c>
      <c r="O31" s="83">
        <v>0</v>
      </c>
      <c r="P31" s="83">
        <v>0</v>
      </c>
      <c r="Q31" s="83">
        <v>0</v>
      </c>
      <c r="R31" s="83">
        <v>0</v>
      </c>
      <c r="S31" s="83">
        <v>0</v>
      </c>
      <c r="T31" s="83">
        <v>0</v>
      </c>
      <c r="U31" s="83">
        <v>0</v>
      </c>
      <c r="V31" s="83">
        <v>0</v>
      </c>
      <c r="W31" s="83">
        <v>0</v>
      </c>
      <c r="X31" s="83">
        <v>0</v>
      </c>
      <c r="Y31" s="83">
        <v>0</v>
      </c>
      <c r="Z31" s="83">
        <v>0</v>
      </c>
      <c r="AA31" s="83">
        <v>0</v>
      </c>
      <c r="AB31" s="83">
        <v>0</v>
      </c>
      <c r="AC31" s="83">
        <v>0</v>
      </c>
      <c r="AD31" s="83">
        <v>0</v>
      </c>
      <c r="AE31" s="83">
        <v>0</v>
      </c>
      <c r="AF31" s="83">
        <v>0</v>
      </c>
      <c r="AG31" s="83">
        <v>0</v>
      </c>
      <c r="AH31" s="83">
        <v>0</v>
      </c>
      <c r="AI31" s="293">
        <v>0</v>
      </c>
      <c r="AJ31" s="293">
        <v>0</v>
      </c>
      <c r="AK31" s="293">
        <v>0</v>
      </c>
      <c r="AL31" s="293">
        <v>0</v>
      </c>
      <c r="AM31" s="293">
        <v>0</v>
      </c>
      <c r="AN31" s="293">
        <v>0</v>
      </c>
      <c r="AO31" s="293">
        <v>0</v>
      </c>
      <c r="AP31" s="293">
        <v>0</v>
      </c>
      <c r="AQ31" s="293">
        <v>0</v>
      </c>
      <c r="AR31" s="293">
        <v>0</v>
      </c>
    </row>
    <row r="32" spans="1:44" ht="24">
      <c r="A32" s="82" t="s">
        <v>276</v>
      </c>
      <c r="B32" s="83">
        <v>0</v>
      </c>
      <c r="C32" s="83">
        <v>0</v>
      </c>
      <c r="D32" s="83">
        <v>0</v>
      </c>
      <c r="E32" s="83">
        <v>0</v>
      </c>
      <c r="F32" s="83">
        <v>0</v>
      </c>
      <c r="G32" s="83">
        <v>0</v>
      </c>
      <c r="H32" s="83">
        <v>0</v>
      </c>
      <c r="I32" s="83">
        <v>0</v>
      </c>
      <c r="J32" s="83">
        <v>0</v>
      </c>
      <c r="K32" s="83">
        <v>0</v>
      </c>
      <c r="L32" s="83">
        <v>0</v>
      </c>
      <c r="M32" s="83">
        <v>0</v>
      </c>
      <c r="N32" s="83">
        <v>0</v>
      </c>
      <c r="O32" s="83">
        <v>0</v>
      </c>
      <c r="P32" s="83">
        <v>0</v>
      </c>
      <c r="Q32" s="83">
        <v>0</v>
      </c>
      <c r="R32" s="83">
        <v>0</v>
      </c>
      <c r="S32" s="83">
        <v>0</v>
      </c>
      <c r="T32" s="83">
        <v>0</v>
      </c>
      <c r="U32" s="83">
        <v>0</v>
      </c>
      <c r="V32" s="83">
        <v>0</v>
      </c>
      <c r="W32" s="83">
        <v>0</v>
      </c>
      <c r="X32" s="83">
        <v>0</v>
      </c>
      <c r="Y32" s="83">
        <v>0</v>
      </c>
      <c r="Z32" s="83">
        <v>0</v>
      </c>
      <c r="AA32" s="83">
        <v>0</v>
      </c>
      <c r="AB32" s="83">
        <v>0</v>
      </c>
      <c r="AC32" s="83">
        <v>0</v>
      </c>
      <c r="AD32" s="83">
        <v>0</v>
      </c>
      <c r="AE32" s="83">
        <v>0</v>
      </c>
      <c r="AF32" s="83">
        <v>0</v>
      </c>
      <c r="AG32" s="83">
        <v>0</v>
      </c>
      <c r="AH32" s="83">
        <v>0</v>
      </c>
      <c r="AI32" s="293">
        <v>0</v>
      </c>
      <c r="AJ32" s="293">
        <v>0</v>
      </c>
      <c r="AK32" s="293">
        <v>0</v>
      </c>
      <c r="AL32" s="293">
        <v>0</v>
      </c>
      <c r="AM32" s="293">
        <v>0</v>
      </c>
      <c r="AN32" s="293">
        <v>0</v>
      </c>
      <c r="AO32" s="293">
        <v>0</v>
      </c>
      <c r="AP32" s="293">
        <v>0</v>
      </c>
      <c r="AQ32" s="293">
        <v>0</v>
      </c>
      <c r="AR32" s="293">
        <v>0</v>
      </c>
    </row>
    <row r="33" spans="1:46">
      <c r="A33" s="82" t="s">
        <v>83</v>
      </c>
      <c r="B33" s="83">
        <v>0</v>
      </c>
      <c r="C33" s="83">
        <v>0</v>
      </c>
      <c r="D33" s="83">
        <v>0</v>
      </c>
      <c r="E33" s="83">
        <v>0</v>
      </c>
      <c r="F33" s="83">
        <v>0</v>
      </c>
      <c r="G33" s="83">
        <v>0</v>
      </c>
      <c r="H33" s="83">
        <v>0</v>
      </c>
      <c r="I33" s="83">
        <v>0</v>
      </c>
      <c r="J33" s="83">
        <v>0</v>
      </c>
      <c r="K33" s="83">
        <v>0</v>
      </c>
      <c r="L33" s="83">
        <v>0</v>
      </c>
      <c r="M33" s="83">
        <v>0</v>
      </c>
      <c r="N33" s="83">
        <v>0</v>
      </c>
      <c r="O33" s="83">
        <v>0</v>
      </c>
      <c r="P33" s="83">
        <v>0</v>
      </c>
      <c r="Q33" s="83">
        <v>0</v>
      </c>
      <c r="R33" s="83">
        <v>0</v>
      </c>
      <c r="S33" s="83">
        <v>0</v>
      </c>
      <c r="T33" s="83">
        <v>0</v>
      </c>
      <c r="U33" s="83">
        <v>0</v>
      </c>
      <c r="V33" s="83">
        <v>0</v>
      </c>
      <c r="W33" s="83">
        <v>0</v>
      </c>
      <c r="X33" s="83">
        <v>0</v>
      </c>
      <c r="Y33" s="83">
        <v>0</v>
      </c>
      <c r="Z33" s="83">
        <v>0</v>
      </c>
      <c r="AA33" s="83">
        <v>0</v>
      </c>
      <c r="AB33" s="83">
        <v>0</v>
      </c>
      <c r="AC33" s="83">
        <v>0</v>
      </c>
      <c r="AD33" s="83">
        <v>0</v>
      </c>
      <c r="AE33" s="83">
        <v>0</v>
      </c>
      <c r="AF33" s="83">
        <v>0</v>
      </c>
      <c r="AG33" s="83">
        <v>0</v>
      </c>
      <c r="AH33" s="83">
        <v>0</v>
      </c>
      <c r="AI33" s="293">
        <v>0</v>
      </c>
      <c r="AJ33" s="293">
        <v>0</v>
      </c>
      <c r="AK33" s="293">
        <v>0</v>
      </c>
      <c r="AL33" s="293">
        <v>0</v>
      </c>
      <c r="AM33" s="293">
        <v>0</v>
      </c>
      <c r="AN33" s="293">
        <v>0</v>
      </c>
      <c r="AO33" s="293">
        <v>0</v>
      </c>
      <c r="AP33" s="293">
        <v>0</v>
      </c>
      <c r="AQ33" s="293">
        <v>0</v>
      </c>
      <c r="AR33" s="293">
        <v>0</v>
      </c>
      <c r="AT33" s="425"/>
    </row>
    <row r="34" spans="1:46">
      <c r="A34" s="84" t="s">
        <v>277</v>
      </c>
      <c r="B34" s="85">
        <v>521.41815115928091</v>
      </c>
      <c r="C34" s="85">
        <v>524.67701460402657</v>
      </c>
      <c r="D34" s="85">
        <v>527.935878048772</v>
      </c>
      <c r="E34" s="85">
        <v>531.19474149351743</v>
      </c>
      <c r="F34" s="85">
        <v>534.45360493826286</v>
      </c>
      <c r="G34" s="85">
        <v>537.94258939301903</v>
      </c>
      <c r="H34" s="85">
        <v>517.96785814134307</v>
      </c>
      <c r="I34" s="85">
        <v>497.70208925943956</v>
      </c>
      <c r="J34" s="85">
        <v>477.14635343855264</v>
      </c>
      <c r="K34" s="85">
        <v>464.8838901511931</v>
      </c>
      <c r="L34" s="85">
        <v>452.62086683715762</v>
      </c>
      <c r="M34" s="85">
        <v>440.76862256059417</v>
      </c>
      <c r="N34" s="85">
        <v>428.80107766999868</v>
      </c>
      <c r="O34" s="85">
        <v>416.71693019254894</v>
      </c>
      <c r="P34" s="85">
        <v>404.38607540114452</v>
      </c>
      <c r="Q34" s="85">
        <v>392.15687722337168</v>
      </c>
      <c r="R34" s="85">
        <v>386.21681756758221</v>
      </c>
      <c r="S34" s="85">
        <v>378.05408798830166</v>
      </c>
      <c r="T34" s="85">
        <v>369.3780760912166</v>
      </c>
      <c r="U34" s="85">
        <v>359.53552260532371</v>
      </c>
      <c r="V34" s="85">
        <v>306.89336826354474</v>
      </c>
      <c r="W34" s="85">
        <v>258.9537382296495</v>
      </c>
      <c r="X34" s="85">
        <v>254.25356551277997</v>
      </c>
      <c r="Y34" s="85">
        <v>235.23030827349967</v>
      </c>
      <c r="Z34" s="85">
        <v>201.65302089767485</v>
      </c>
      <c r="AA34" s="85">
        <v>217.0144473531559</v>
      </c>
      <c r="AB34" s="85">
        <v>218.52704073743075</v>
      </c>
      <c r="AC34" s="85">
        <v>189.27096840185982</v>
      </c>
      <c r="AD34" s="85">
        <v>200.02201798252719</v>
      </c>
      <c r="AE34" s="85">
        <v>185.21133403042384</v>
      </c>
      <c r="AF34" s="85">
        <v>186.25565266966424</v>
      </c>
      <c r="AG34" s="85">
        <v>172.70941631742363</v>
      </c>
      <c r="AH34" s="85">
        <v>154.36157774301083</v>
      </c>
      <c r="AI34" s="85">
        <v>157.37096060771361</v>
      </c>
      <c r="AJ34" s="85">
        <v>85.726535284510632</v>
      </c>
      <c r="AK34" s="85">
        <v>85.726535284510632</v>
      </c>
      <c r="AL34" s="276">
        <v>86.218883348546029</v>
      </c>
      <c r="AM34" s="276">
        <f t="shared" ref="AM34" si="3">SUM(AM25:AM33)</f>
        <v>121.42909705900597</v>
      </c>
      <c r="AN34" s="276">
        <f>SUM(AN25:AN33)</f>
        <v>156.63931076946591</v>
      </c>
      <c r="AO34" s="276">
        <f t="shared" ref="AO34:AR34" si="4">SUM(AO25:AO33)</f>
        <v>156.51155012396117</v>
      </c>
      <c r="AP34" s="276">
        <f t="shared" si="4"/>
        <v>156.38378947845646</v>
      </c>
      <c r="AQ34" s="276">
        <f t="shared" si="4"/>
        <v>0.41482530041484611</v>
      </c>
      <c r="AR34" s="276">
        <f t="shared" si="4"/>
        <v>0.34768890066972036</v>
      </c>
    </row>
    <row r="35" spans="1:46" ht="15">
      <c r="A35" s="86"/>
      <c r="B35" s="87"/>
      <c r="C35" s="87"/>
      <c r="D35" s="87"/>
      <c r="E35" s="87"/>
      <c r="F35" s="87"/>
      <c r="G35" s="87"/>
      <c r="H35" s="87"/>
      <c r="I35" s="87"/>
      <c r="J35" s="87"/>
      <c r="K35" s="61"/>
      <c r="L35" s="61"/>
      <c r="M35" s="61"/>
      <c r="N35" s="61"/>
      <c r="O35" s="61"/>
      <c r="P35" s="61"/>
      <c r="Q35" s="61"/>
      <c r="R35" s="61"/>
      <c r="S35" s="61"/>
      <c r="T35" s="61"/>
      <c r="U35" s="61"/>
      <c r="V35" s="61"/>
      <c r="W35" s="61"/>
      <c r="X35" s="61"/>
      <c r="Y35" s="61"/>
      <c r="Z35" s="61"/>
      <c r="AA35" s="61"/>
      <c r="AB35" s="61"/>
      <c r="AC35" s="61"/>
      <c r="AD35" s="61"/>
      <c r="AE35" s="61"/>
      <c r="AF35" s="61"/>
      <c r="AG35" s="88"/>
      <c r="AH35" s="61"/>
      <c r="AJ35" s="143"/>
    </row>
    <row r="36" spans="1:46">
      <c r="A36" s="89" t="s">
        <v>265</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496" t="s">
        <v>262</v>
      </c>
      <c r="AM36" s="496"/>
      <c r="AN36" s="496"/>
      <c r="AO36" s="496"/>
      <c r="AP36" s="496"/>
      <c r="AQ36" s="496"/>
      <c r="AR36" s="496"/>
    </row>
    <row r="37" spans="1:46" ht="52.8">
      <c r="A37" s="66" t="s">
        <v>613</v>
      </c>
      <c r="B37" s="393">
        <v>1990</v>
      </c>
      <c r="C37" s="393">
        <v>1991</v>
      </c>
      <c r="D37" s="393">
        <v>1992</v>
      </c>
      <c r="E37" s="393">
        <v>1993</v>
      </c>
      <c r="F37" s="393">
        <v>1994</v>
      </c>
      <c r="G37" s="393">
        <v>1995</v>
      </c>
      <c r="H37" s="393">
        <v>1996</v>
      </c>
      <c r="I37" s="393">
        <v>1997</v>
      </c>
      <c r="J37" s="393">
        <v>1998</v>
      </c>
      <c r="K37" s="393">
        <v>1999</v>
      </c>
      <c r="L37" s="393">
        <v>2000</v>
      </c>
      <c r="M37" s="393">
        <v>2001</v>
      </c>
      <c r="N37" s="393">
        <v>2002</v>
      </c>
      <c r="O37" s="393">
        <v>2003</v>
      </c>
      <c r="P37" s="393">
        <v>2004</v>
      </c>
      <c r="Q37" s="393">
        <v>2005</v>
      </c>
      <c r="R37" s="393">
        <v>2006</v>
      </c>
      <c r="S37" s="393">
        <v>2007</v>
      </c>
      <c r="T37" s="393">
        <v>2008</v>
      </c>
      <c r="U37" s="393">
        <v>2009</v>
      </c>
      <c r="V37" s="393">
        <v>2010</v>
      </c>
      <c r="W37" s="393">
        <v>2011</v>
      </c>
      <c r="X37" s="393">
        <v>2012</v>
      </c>
      <c r="Y37" s="393">
        <v>2013</v>
      </c>
      <c r="Z37" s="393">
        <v>2014</v>
      </c>
      <c r="AA37" s="393">
        <v>2015</v>
      </c>
      <c r="AB37" s="393">
        <v>2016</v>
      </c>
      <c r="AC37" s="393">
        <v>2017</v>
      </c>
      <c r="AD37" s="393">
        <v>2018</v>
      </c>
      <c r="AE37" s="393">
        <v>2019</v>
      </c>
      <c r="AF37" s="393">
        <v>2020</v>
      </c>
      <c r="AG37" s="397">
        <v>2021</v>
      </c>
      <c r="AH37" s="397">
        <v>2022</v>
      </c>
      <c r="AI37" s="393">
        <v>2023</v>
      </c>
      <c r="AJ37" s="394">
        <v>2024</v>
      </c>
      <c r="AK37" s="393">
        <v>2025</v>
      </c>
      <c r="AL37" s="394">
        <v>2026</v>
      </c>
      <c r="AM37" s="394">
        <v>2027</v>
      </c>
      <c r="AN37" s="393">
        <v>2028</v>
      </c>
      <c r="AO37" s="394">
        <v>2029</v>
      </c>
      <c r="AP37" s="393">
        <v>2030</v>
      </c>
      <c r="AQ37" s="393">
        <v>2040</v>
      </c>
      <c r="AR37" s="393">
        <v>2050</v>
      </c>
    </row>
    <row r="38" spans="1:46">
      <c r="A38" s="91" t="s">
        <v>100</v>
      </c>
      <c r="B38" s="83">
        <v>5428.6882025139284</v>
      </c>
      <c r="C38" s="83">
        <v>6074.070388618703</v>
      </c>
      <c r="D38" s="83">
        <v>5232.8000551545119</v>
      </c>
      <c r="E38" s="83">
        <v>3780.1908123980038</v>
      </c>
      <c r="F38" s="83">
        <v>2641.8654441846516</v>
      </c>
      <c r="G38" s="83">
        <v>1068.6988841539237</v>
      </c>
      <c r="H38" s="83">
        <v>1208.2795120540814</v>
      </c>
      <c r="I38" s="83">
        <v>1289.5199097830141</v>
      </c>
      <c r="J38" s="83">
        <v>1117.4167020930086</v>
      </c>
      <c r="K38" s="83">
        <v>1466.4159672938654</v>
      </c>
      <c r="L38" s="83">
        <v>1389.5165996998771</v>
      </c>
      <c r="M38" s="83">
        <v>1557.6630054940372</v>
      </c>
      <c r="N38" s="83">
        <v>1598.1048046905712</v>
      </c>
      <c r="O38" s="83">
        <v>1754.1001888920478</v>
      </c>
      <c r="P38" s="83">
        <v>1801.2593143200202</v>
      </c>
      <c r="Q38" s="83">
        <v>1794.3364096292446</v>
      </c>
      <c r="R38" s="83">
        <v>1822.9347491036674</v>
      </c>
      <c r="S38" s="83">
        <v>1590.6257177224109</v>
      </c>
      <c r="T38" s="83">
        <v>1672.8261140141908</v>
      </c>
      <c r="U38" s="83">
        <v>1532.6504224928719</v>
      </c>
      <c r="V38" s="83">
        <v>1508.8549081120693</v>
      </c>
      <c r="W38" s="83">
        <v>1611.1949876642382</v>
      </c>
      <c r="X38" s="83">
        <v>1725.4399319466661</v>
      </c>
      <c r="Y38" s="83">
        <v>1711.0096677686543</v>
      </c>
      <c r="Z38" s="83">
        <v>1662.8955719005858</v>
      </c>
      <c r="AA38" s="83">
        <v>1726.071778476025</v>
      </c>
      <c r="AB38" s="83">
        <v>1710.6492373585049</v>
      </c>
      <c r="AC38" s="83">
        <v>1723.1402155434434</v>
      </c>
      <c r="AD38" s="83">
        <v>1574.8146783987363</v>
      </c>
      <c r="AE38" s="83">
        <v>1469.2156811531072</v>
      </c>
      <c r="AF38" s="83">
        <v>1387.4820078184712</v>
      </c>
      <c r="AG38" s="83">
        <v>1231.3540040973219</v>
      </c>
      <c r="AH38" s="83">
        <v>1062.676126146534</v>
      </c>
      <c r="AI38" s="277">
        <v>872.75293811976792</v>
      </c>
      <c r="AJ38" s="277">
        <v>742.71357398807572</v>
      </c>
      <c r="AK38" s="277">
        <v>666.00251123901865</v>
      </c>
      <c r="AL38" s="277">
        <v>615.80089133534432</v>
      </c>
      <c r="AM38" s="277">
        <f>AL38+(AN38-AL38)/2</f>
        <v>551.08569835240144</v>
      </c>
      <c r="AN38" s="277">
        <v>486.3705053694585</v>
      </c>
      <c r="AO38" s="277">
        <f>AN38+(AP38-AN38)/2</f>
        <v>452.60865705868105</v>
      </c>
      <c r="AP38" s="277">
        <v>418.84680874790365</v>
      </c>
      <c r="AQ38" s="277">
        <v>254.40623836462473</v>
      </c>
      <c r="AR38" s="277">
        <v>187.41637570054993</v>
      </c>
    </row>
    <row r="39" spans="1:46">
      <c r="A39" s="91" t="s">
        <v>16</v>
      </c>
      <c r="B39" s="83">
        <v>0</v>
      </c>
      <c r="C39" s="83">
        <v>0</v>
      </c>
      <c r="D39" s="83">
        <v>0</v>
      </c>
      <c r="E39" s="83">
        <v>0</v>
      </c>
      <c r="F39" s="83">
        <v>0</v>
      </c>
      <c r="G39" s="83">
        <v>0</v>
      </c>
      <c r="H39" s="83">
        <v>0</v>
      </c>
      <c r="I39" s="83">
        <v>0</v>
      </c>
      <c r="J39" s="83">
        <v>0</v>
      </c>
      <c r="K39" s="83">
        <v>0</v>
      </c>
      <c r="L39" s="83">
        <v>0</v>
      </c>
      <c r="M39" s="83">
        <v>0</v>
      </c>
      <c r="N39" s="83">
        <v>0</v>
      </c>
      <c r="O39" s="83">
        <v>0</v>
      </c>
      <c r="P39" s="83">
        <v>0</v>
      </c>
      <c r="Q39" s="83">
        <v>0</v>
      </c>
      <c r="R39" s="83">
        <v>0</v>
      </c>
      <c r="S39" s="83">
        <v>0</v>
      </c>
      <c r="T39" s="83">
        <v>0</v>
      </c>
      <c r="U39" s="83">
        <v>0</v>
      </c>
      <c r="V39" s="83">
        <v>0</v>
      </c>
      <c r="W39" s="83">
        <v>0</v>
      </c>
      <c r="X39" s="83">
        <v>0</v>
      </c>
      <c r="Y39" s="83">
        <v>0</v>
      </c>
      <c r="Z39" s="83">
        <v>0</v>
      </c>
      <c r="AA39" s="83">
        <v>0</v>
      </c>
      <c r="AB39" s="83">
        <v>0</v>
      </c>
      <c r="AC39" s="83">
        <v>0</v>
      </c>
      <c r="AD39" s="83">
        <v>0</v>
      </c>
      <c r="AE39" s="83">
        <v>0</v>
      </c>
      <c r="AF39" s="83">
        <v>0</v>
      </c>
      <c r="AG39" s="83">
        <v>0</v>
      </c>
      <c r="AH39" s="83">
        <v>0</v>
      </c>
      <c r="AI39" s="277">
        <v>0</v>
      </c>
      <c r="AJ39" s="277">
        <v>0</v>
      </c>
      <c r="AK39" s="277">
        <v>0</v>
      </c>
      <c r="AL39" s="277">
        <v>0</v>
      </c>
      <c r="AM39" s="277">
        <f t="shared" ref="AM39:AO46" si="5">AL39+(AN39-AL39)/2</f>
        <v>0</v>
      </c>
      <c r="AN39" s="277">
        <v>0</v>
      </c>
      <c r="AO39" s="277">
        <f t="shared" si="5"/>
        <v>0</v>
      </c>
      <c r="AP39" s="277">
        <v>0</v>
      </c>
      <c r="AQ39" s="277">
        <v>0</v>
      </c>
      <c r="AR39" s="277">
        <v>0</v>
      </c>
    </row>
    <row r="40" spans="1:46" ht="24">
      <c r="A40" s="91" t="s">
        <v>101</v>
      </c>
      <c r="B40" s="83">
        <v>1072.6148120382877</v>
      </c>
      <c r="C40" s="83">
        <v>1155.1571609097841</v>
      </c>
      <c r="D40" s="83">
        <v>1203.4529979129525</v>
      </c>
      <c r="E40" s="83">
        <v>1285.4566804494646</v>
      </c>
      <c r="F40" s="83">
        <v>1322.6272367898869</v>
      </c>
      <c r="G40" s="83">
        <v>1418.7313421013312</v>
      </c>
      <c r="H40" s="83">
        <v>1563.6876387749539</v>
      </c>
      <c r="I40" s="83">
        <v>1548.3545511167167</v>
      </c>
      <c r="J40" s="83">
        <v>1483.8597121958114</v>
      </c>
      <c r="K40" s="83">
        <v>1435.0821241904519</v>
      </c>
      <c r="L40" s="83">
        <v>1560.8212403956472</v>
      </c>
      <c r="M40" s="83">
        <v>1584.1071224674995</v>
      </c>
      <c r="N40" s="83">
        <v>1595.0630119830512</v>
      </c>
      <c r="O40" s="83">
        <v>1526.4799359406268</v>
      </c>
      <c r="P40" s="83">
        <v>1524.7993864376492</v>
      </c>
      <c r="Q40" s="83">
        <v>1399.3376056801239</v>
      </c>
      <c r="R40" s="83">
        <v>1320.9056315510629</v>
      </c>
      <c r="S40" s="83">
        <v>1201.5322243487603</v>
      </c>
      <c r="T40" s="83">
        <v>1268.463953722842</v>
      </c>
      <c r="U40" s="83">
        <v>993.18614093337885</v>
      </c>
      <c r="V40" s="83">
        <v>1010.4594988738484</v>
      </c>
      <c r="W40" s="83">
        <v>1065.5038831803613</v>
      </c>
      <c r="X40" s="83">
        <v>1008.3088826178537</v>
      </c>
      <c r="Y40" s="83">
        <v>868.35257106969902</v>
      </c>
      <c r="Z40" s="83">
        <v>783.85896929740977</v>
      </c>
      <c r="AA40" s="83">
        <v>761.11395664495262</v>
      </c>
      <c r="AB40" s="83">
        <v>803.09402326765814</v>
      </c>
      <c r="AC40" s="83">
        <v>891.18511032932372</v>
      </c>
      <c r="AD40" s="83">
        <v>781.0662743041056</v>
      </c>
      <c r="AE40" s="83">
        <v>703.59606585821507</v>
      </c>
      <c r="AF40" s="83">
        <v>612.7245729653813</v>
      </c>
      <c r="AG40" s="83">
        <v>568.15366787257744</v>
      </c>
      <c r="AH40" s="83">
        <v>519.97979020910736</v>
      </c>
      <c r="AI40" s="277">
        <v>374.44308057482391</v>
      </c>
      <c r="AJ40" s="277">
        <v>370.04689907177243</v>
      </c>
      <c r="AK40" s="277">
        <v>365.5592113092265</v>
      </c>
      <c r="AL40" s="277">
        <v>348.38159053884431</v>
      </c>
      <c r="AM40" s="277">
        <f t="shared" si="5"/>
        <v>315.82390732860358</v>
      </c>
      <c r="AN40" s="277">
        <v>283.2662241183628</v>
      </c>
      <c r="AO40" s="277">
        <f t="shared" si="5"/>
        <v>257.60311931288561</v>
      </c>
      <c r="AP40" s="277">
        <v>231.94001450740836</v>
      </c>
      <c r="AQ40" s="277">
        <v>98.716204818837852</v>
      </c>
      <c r="AR40" s="277">
        <v>88.380190068287646</v>
      </c>
    </row>
    <row r="41" spans="1:46">
      <c r="A41" s="91" t="s">
        <v>232</v>
      </c>
      <c r="B41" s="83">
        <v>8.3196005139288669</v>
      </c>
      <c r="C41" s="83">
        <v>8.3307326187034221</v>
      </c>
      <c r="D41" s="83">
        <v>8.5222531545113274</v>
      </c>
      <c r="E41" s="83">
        <v>9.2975283980033243</v>
      </c>
      <c r="F41" s="83">
        <v>14.12747818465194</v>
      </c>
      <c r="G41" s="83">
        <v>54.578417844532076</v>
      </c>
      <c r="H41" s="83">
        <v>93.316509798921032</v>
      </c>
      <c r="I41" s="83">
        <v>145.55290396886326</v>
      </c>
      <c r="J41" s="83">
        <v>242.35110427136649</v>
      </c>
      <c r="K41" s="83">
        <v>339.2124670539888</v>
      </c>
      <c r="L41" s="83">
        <v>608.4243302362861</v>
      </c>
      <c r="M41" s="83">
        <v>683.19487736000508</v>
      </c>
      <c r="N41" s="83">
        <v>774.38927714963779</v>
      </c>
      <c r="O41" s="83">
        <v>906.79246333316939</v>
      </c>
      <c r="P41" s="83">
        <v>1041.357010556741</v>
      </c>
      <c r="Q41" s="83">
        <v>1183.442059143043</v>
      </c>
      <c r="R41" s="83">
        <v>1239.6656223756052</v>
      </c>
      <c r="S41" s="83">
        <v>1294.6296250011844</v>
      </c>
      <c r="T41" s="83">
        <v>1490.5084725282659</v>
      </c>
      <c r="U41" s="83">
        <v>1585.8107299248479</v>
      </c>
      <c r="V41" s="83">
        <v>1675.4082807031671</v>
      </c>
      <c r="W41" s="83">
        <v>1777.8792940954868</v>
      </c>
      <c r="X41" s="83">
        <v>1774.2353488732633</v>
      </c>
      <c r="Y41" s="83">
        <v>1752.5602996583809</v>
      </c>
      <c r="Z41" s="83">
        <v>1726.3387499026483</v>
      </c>
      <c r="AA41" s="83">
        <v>1704.0067823713853</v>
      </c>
      <c r="AB41" s="83">
        <v>1630.3901429923906</v>
      </c>
      <c r="AC41" s="83">
        <v>1559.859226605073</v>
      </c>
      <c r="AD41" s="83">
        <v>1430.0586867883378</v>
      </c>
      <c r="AE41" s="83">
        <v>1278.7443721458162</v>
      </c>
      <c r="AF41" s="83">
        <v>1128.8848367766266</v>
      </c>
      <c r="AG41" s="83">
        <v>947.25763027463836</v>
      </c>
      <c r="AH41" s="83">
        <v>805.08838705452763</v>
      </c>
      <c r="AI41" s="277">
        <v>707.14322357663855</v>
      </c>
      <c r="AJ41" s="277">
        <v>597.56182162319374</v>
      </c>
      <c r="AK41" s="277">
        <v>506.10185746126791</v>
      </c>
      <c r="AL41" s="277">
        <v>463.52633418799189</v>
      </c>
      <c r="AM41" s="277">
        <f t="shared" si="5"/>
        <v>398.69197581023013</v>
      </c>
      <c r="AN41" s="277">
        <v>333.85761743246837</v>
      </c>
      <c r="AO41" s="277">
        <f t="shared" si="5"/>
        <v>300.48821121919622</v>
      </c>
      <c r="AP41" s="277">
        <v>267.11880500592406</v>
      </c>
      <c r="AQ41" s="277">
        <v>104.1354709216301</v>
      </c>
      <c r="AR41" s="277">
        <v>71.407626498327673</v>
      </c>
    </row>
    <row r="42" spans="1:46" ht="24">
      <c r="A42" s="91" t="s">
        <v>234</v>
      </c>
      <c r="B42" s="83">
        <v>1.7811367639288676</v>
      </c>
      <c r="C42" s="83">
        <v>1.7922688687034227</v>
      </c>
      <c r="D42" s="83">
        <v>1.8034009734779786</v>
      </c>
      <c r="E42" s="83">
        <v>1.8145330782525333</v>
      </c>
      <c r="F42" s="83">
        <v>1.8256651830270889</v>
      </c>
      <c r="G42" s="83">
        <v>1.8367972878016445</v>
      </c>
      <c r="H42" s="83">
        <v>1.7657991973505913</v>
      </c>
      <c r="I42" s="83">
        <v>1.6938115864751331</v>
      </c>
      <c r="J42" s="83">
        <v>1.6208344551752696</v>
      </c>
      <c r="K42" s="83">
        <v>1.576181391351041</v>
      </c>
      <c r="L42" s="83">
        <v>1.5315283275268123</v>
      </c>
      <c r="M42" s="83">
        <v>1.4868752637025837</v>
      </c>
      <c r="N42" s="83">
        <v>1.4422221998783553</v>
      </c>
      <c r="O42" s="83">
        <v>1.3975691360541267</v>
      </c>
      <c r="P42" s="83">
        <v>1.3529160722298978</v>
      </c>
      <c r="Q42" s="83">
        <v>1.3082630084056697</v>
      </c>
      <c r="R42" s="83">
        <v>1.2815645081263025</v>
      </c>
      <c r="S42" s="83">
        <v>1.2548660078469351</v>
      </c>
      <c r="T42" s="83">
        <v>1.2267368708180253</v>
      </c>
      <c r="U42" s="83">
        <v>1.1942256739312025</v>
      </c>
      <c r="V42" s="83">
        <v>1.0153086461655048</v>
      </c>
      <c r="W42" s="83">
        <v>0.84772148371302902</v>
      </c>
      <c r="X42" s="83">
        <v>0.94626267279717258</v>
      </c>
      <c r="Y42" s="83">
        <v>1.0816202295752242</v>
      </c>
      <c r="Z42" s="83">
        <v>1.152298692351247</v>
      </c>
      <c r="AA42" s="83">
        <v>1.2250544066817539</v>
      </c>
      <c r="AB42" s="83">
        <v>1.2437774679903737</v>
      </c>
      <c r="AC42" s="83">
        <v>1.2885964395208325</v>
      </c>
      <c r="AD42" s="83">
        <v>1.307833737319571</v>
      </c>
      <c r="AE42" s="83">
        <v>1.3992518590079841</v>
      </c>
      <c r="AF42" s="83">
        <v>1.4368085926854894</v>
      </c>
      <c r="AG42" s="83">
        <v>1.5676539325743644</v>
      </c>
      <c r="AH42" s="83">
        <v>1.6415696819264225</v>
      </c>
      <c r="AI42" s="277">
        <v>1.6673879328820713</v>
      </c>
      <c r="AJ42" s="277">
        <v>1.3319169040683145</v>
      </c>
      <c r="AK42" s="277">
        <v>1.3319169040683145</v>
      </c>
      <c r="AL42" s="277">
        <v>1.3647689443357303</v>
      </c>
      <c r="AM42" s="277">
        <f t="shared" si="5"/>
        <v>1.6107947684341291</v>
      </c>
      <c r="AN42" s="277">
        <v>1.8568205925325281</v>
      </c>
      <c r="AO42" s="277">
        <f t="shared" si="5"/>
        <v>1.8307736640627938</v>
      </c>
      <c r="AP42" s="277">
        <v>1.8047267355930596</v>
      </c>
      <c r="AQ42" s="277">
        <v>0.98051053267157584</v>
      </c>
      <c r="AR42" s="277">
        <v>0.72586588182832135</v>
      </c>
    </row>
    <row r="43" spans="1:46">
      <c r="A43" s="91" t="s">
        <v>29</v>
      </c>
      <c r="B43" s="83">
        <v>3955.4663998617552</v>
      </c>
      <c r="C43" s="83">
        <v>3586.4750213143561</v>
      </c>
      <c r="D43" s="83">
        <v>3782.5868432017387</v>
      </c>
      <c r="E43" s="83">
        <v>3410.2399020456432</v>
      </c>
      <c r="F43" s="83">
        <v>3059.0670748025923</v>
      </c>
      <c r="G43" s="83">
        <v>2723.7285371247581</v>
      </c>
      <c r="H43" s="83">
        <v>2464.6234575125677</v>
      </c>
      <c r="I43" s="83">
        <v>2574.3167700647364</v>
      </c>
      <c r="J43" s="83">
        <v>3226.0345153247404</v>
      </c>
      <c r="K43" s="83">
        <v>3731.3021683478719</v>
      </c>
      <c r="L43" s="83">
        <v>2494.2150763845916</v>
      </c>
      <c r="M43" s="83">
        <v>1843.5410918126156</v>
      </c>
      <c r="N43" s="83">
        <v>3051.6670700440818</v>
      </c>
      <c r="O43" s="83">
        <v>2647.4632047972864</v>
      </c>
      <c r="P43" s="83">
        <v>1842.1455986809256</v>
      </c>
      <c r="Q43" s="83">
        <v>1103.3399024609985</v>
      </c>
      <c r="R43" s="83">
        <v>923.37060939794537</v>
      </c>
      <c r="S43" s="83">
        <v>795.25192358070944</v>
      </c>
      <c r="T43" s="83">
        <v>366.91522891513455</v>
      </c>
      <c r="U43" s="83">
        <v>238.83058190648623</v>
      </c>
      <c r="V43" s="83">
        <v>245.33135734399048</v>
      </c>
      <c r="W43" s="83">
        <v>173.50261279080507</v>
      </c>
      <c r="X43" s="83">
        <v>222.92142478096403</v>
      </c>
      <c r="Y43" s="83">
        <v>179.02430788636579</v>
      </c>
      <c r="Z43" s="83">
        <v>127.14115782106968</v>
      </c>
      <c r="AA43" s="83">
        <v>95.773276069890656</v>
      </c>
      <c r="AB43" s="83">
        <v>161.30371776327326</v>
      </c>
      <c r="AC43" s="83">
        <v>93.203966368599851</v>
      </c>
      <c r="AD43" s="83">
        <v>118.17975763931939</v>
      </c>
      <c r="AE43" s="83">
        <v>92.432753939934244</v>
      </c>
      <c r="AF43" s="83">
        <v>63.605625933971993</v>
      </c>
      <c r="AG43" s="83">
        <v>46.860073398682388</v>
      </c>
      <c r="AH43" s="83">
        <v>37.143984799663308</v>
      </c>
      <c r="AI43" s="277">
        <v>28.255550685622673</v>
      </c>
      <c r="AJ43" s="277">
        <v>30.736772020246008</v>
      </c>
      <c r="AK43" s="277">
        <v>29.214937842176454</v>
      </c>
      <c r="AL43" s="277">
        <v>32.230852125085399</v>
      </c>
      <c r="AM43" s="277">
        <f t="shared" si="5"/>
        <v>38.177063500031444</v>
      </c>
      <c r="AN43" s="277">
        <v>44.12327487497749</v>
      </c>
      <c r="AO43" s="277">
        <f t="shared" si="5"/>
        <v>44.561700335442161</v>
      </c>
      <c r="AP43" s="277">
        <v>45.000125795906833</v>
      </c>
      <c r="AQ43" s="277">
        <v>44.123139872072244</v>
      </c>
      <c r="AR43" s="277">
        <v>41.945583364232618</v>
      </c>
    </row>
    <row r="44" spans="1:46" ht="24">
      <c r="A44" s="91" t="s">
        <v>31</v>
      </c>
      <c r="B44" s="83">
        <v>1.7811367639288676</v>
      </c>
      <c r="C44" s="83">
        <v>1.7922688687034227</v>
      </c>
      <c r="D44" s="83">
        <v>1.8034009734779786</v>
      </c>
      <c r="E44" s="83">
        <v>1.8145330782525333</v>
      </c>
      <c r="F44" s="83">
        <v>1.8256651830270889</v>
      </c>
      <c r="G44" s="83">
        <v>1.8367972878016445</v>
      </c>
      <c r="H44" s="83">
        <v>1.7657991973505913</v>
      </c>
      <c r="I44" s="83">
        <v>1.6938115864751331</v>
      </c>
      <c r="J44" s="83">
        <v>1.6208344551752696</v>
      </c>
      <c r="K44" s="83">
        <v>1.576181391351041</v>
      </c>
      <c r="L44" s="83">
        <v>1.5315283275268123</v>
      </c>
      <c r="M44" s="83">
        <v>1.4868752637025837</v>
      </c>
      <c r="N44" s="83">
        <v>1.4422221998783553</v>
      </c>
      <c r="O44" s="83">
        <v>1.3975691360541267</v>
      </c>
      <c r="P44" s="83">
        <v>1.3529160722298978</v>
      </c>
      <c r="Q44" s="83">
        <v>1.3082630084056697</v>
      </c>
      <c r="R44" s="83">
        <v>1.2815645081263025</v>
      </c>
      <c r="S44" s="83">
        <v>1.2548660078469351</v>
      </c>
      <c r="T44" s="83">
        <v>1.2267368708180253</v>
      </c>
      <c r="U44" s="83">
        <v>1.1942256739312025</v>
      </c>
      <c r="V44" s="83">
        <v>1.0153086461655048</v>
      </c>
      <c r="W44" s="83">
        <v>0.84772148371302902</v>
      </c>
      <c r="X44" s="83">
        <v>0.83338316319717254</v>
      </c>
      <c r="Y44" s="83">
        <v>0.76991092995922417</v>
      </c>
      <c r="Z44" s="83">
        <v>0.66024176471988705</v>
      </c>
      <c r="AA44" s="83">
        <v>0.71628433215564824</v>
      </c>
      <c r="AB44" s="83">
        <v>0.72347579004531226</v>
      </c>
      <c r="AC44" s="83">
        <v>0.62624881909357344</v>
      </c>
      <c r="AD44" s="83">
        <v>0.66721390970940231</v>
      </c>
      <c r="AE44" s="83">
        <v>0.61970053650222223</v>
      </c>
      <c r="AF44" s="83">
        <v>0.62489116307995785</v>
      </c>
      <c r="AG44" s="83">
        <v>0.58084552015305413</v>
      </c>
      <c r="AH44" s="83">
        <v>0.51926712600196467</v>
      </c>
      <c r="AI44" s="277">
        <v>0.52982412879459173</v>
      </c>
      <c r="AJ44" s="277">
        <v>0.28621236254433413</v>
      </c>
      <c r="AK44" s="277">
        <v>0.28621236254433413</v>
      </c>
      <c r="AL44" s="277">
        <v>0.28721545398923676</v>
      </c>
      <c r="AM44" s="277">
        <f t="shared" si="5"/>
        <v>0.40899245164373338</v>
      </c>
      <c r="AN44" s="277">
        <v>0.53076944929823</v>
      </c>
      <c r="AO44" s="277">
        <f t="shared" si="5"/>
        <v>0.53076944929823</v>
      </c>
      <c r="AP44" s="277">
        <v>0.53076944929823</v>
      </c>
      <c r="AQ44" s="277">
        <v>0</v>
      </c>
      <c r="AR44" s="277">
        <v>0</v>
      </c>
    </row>
    <row r="45" spans="1:46">
      <c r="A45" s="91" t="s">
        <v>34</v>
      </c>
      <c r="B45" s="83">
        <v>1.7811367639288676</v>
      </c>
      <c r="C45" s="83">
        <v>1.7922688687034227</v>
      </c>
      <c r="D45" s="83">
        <v>1.8034009734779786</v>
      </c>
      <c r="E45" s="83">
        <v>1.8145330782525333</v>
      </c>
      <c r="F45" s="83">
        <v>1.8256651830270889</v>
      </c>
      <c r="G45" s="83">
        <v>1.8367972878016445</v>
      </c>
      <c r="H45" s="83">
        <v>1.7657991973505913</v>
      </c>
      <c r="I45" s="83">
        <v>1.6938115864751331</v>
      </c>
      <c r="J45" s="83">
        <v>1.6208344551752696</v>
      </c>
      <c r="K45" s="83">
        <v>1.576181391351041</v>
      </c>
      <c r="L45" s="83">
        <v>1.5315283275268123</v>
      </c>
      <c r="M45" s="83">
        <v>1.4868752637025837</v>
      </c>
      <c r="N45" s="83">
        <v>1.4422221998783553</v>
      </c>
      <c r="O45" s="83">
        <v>1.3975691360541267</v>
      </c>
      <c r="P45" s="83">
        <v>1.3529160722298978</v>
      </c>
      <c r="Q45" s="83">
        <v>1.3082630084056697</v>
      </c>
      <c r="R45" s="83">
        <v>1.2815645081263025</v>
      </c>
      <c r="S45" s="83">
        <v>1.2548660078469351</v>
      </c>
      <c r="T45" s="83">
        <v>1.2267368708180253</v>
      </c>
      <c r="U45" s="83">
        <v>1.1942256739312025</v>
      </c>
      <c r="V45" s="83">
        <v>1.0153086461655048</v>
      </c>
      <c r="W45" s="83">
        <v>0.84772148371302902</v>
      </c>
      <c r="X45" s="83">
        <v>0.83338316319717254</v>
      </c>
      <c r="Y45" s="83">
        <v>0.76991092995922417</v>
      </c>
      <c r="Z45" s="83">
        <v>0.66024176471988705</v>
      </c>
      <c r="AA45" s="83">
        <v>0.71628433215564824</v>
      </c>
      <c r="AB45" s="83">
        <v>0.72347579004531226</v>
      </c>
      <c r="AC45" s="83">
        <v>0.62624881909357344</v>
      </c>
      <c r="AD45" s="83">
        <v>0.66721390970940231</v>
      </c>
      <c r="AE45" s="83">
        <v>0.61970053650222223</v>
      </c>
      <c r="AF45" s="83">
        <v>0.62489116307995785</v>
      </c>
      <c r="AG45" s="83">
        <v>0.58084552015305413</v>
      </c>
      <c r="AH45" s="83">
        <v>0.51926712600196467</v>
      </c>
      <c r="AI45" s="277">
        <v>0.52982412879459173</v>
      </c>
      <c r="AJ45" s="277">
        <v>0.28621236254433413</v>
      </c>
      <c r="AK45" s="277">
        <v>0.28621236254433413</v>
      </c>
      <c r="AL45" s="277">
        <v>0.28797685858528865</v>
      </c>
      <c r="AM45" s="277">
        <f t="shared" si="5"/>
        <v>0.40937315394175933</v>
      </c>
      <c r="AN45" s="277">
        <v>0.53076944929823</v>
      </c>
      <c r="AO45" s="277">
        <f t="shared" si="5"/>
        <v>0.53076944929823</v>
      </c>
      <c r="AP45" s="277">
        <v>0.53076944929823</v>
      </c>
      <c r="AQ45" s="277">
        <v>0</v>
      </c>
      <c r="AR45" s="277">
        <v>0</v>
      </c>
    </row>
    <row r="46" spans="1:46">
      <c r="A46" s="91" t="s">
        <v>35</v>
      </c>
      <c r="B46" s="83">
        <v>8.3196005139288669</v>
      </c>
      <c r="C46" s="83">
        <v>8.3307326187034221</v>
      </c>
      <c r="D46" s="83">
        <v>8.3819510419831662</v>
      </c>
      <c r="E46" s="83">
        <v>15.214631030050281</v>
      </c>
      <c r="F46" s="83">
        <v>32.348722914339959</v>
      </c>
      <c r="G46" s="83">
        <v>151.58356302082444</v>
      </c>
      <c r="H46" s="83">
        <v>280.2841992996361</v>
      </c>
      <c r="I46" s="83">
        <v>304.99752695257428</v>
      </c>
      <c r="J46" s="83">
        <v>318.63820363134278</v>
      </c>
      <c r="K46" s="83">
        <v>334.37607309288268</v>
      </c>
      <c r="L46" s="83">
        <v>339.17143232653314</v>
      </c>
      <c r="M46" s="83">
        <v>359.62013179667133</v>
      </c>
      <c r="N46" s="83">
        <v>401.82465101882491</v>
      </c>
      <c r="O46" s="83">
        <v>434.78580691085756</v>
      </c>
      <c r="P46" s="83">
        <v>383.89602661624292</v>
      </c>
      <c r="Q46" s="83">
        <v>363.8858161789849</v>
      </c>
      <c r="R46" s="83">
        <v>360.66529963767499</v>
      </c>
      <c r="S46" s="83">
        <v>316.72256193793618</v>
      </c>
      <c r="T46" s="83">
        <v>338.03319129230158</v>
      </c>
      <c r="U46" s="83">
        <v>347.01526545332973</v>
      </c>
      <c r="V46" s="83">
        <v>324.95030404830152</v>
      </c>
      <c r="W46" s="83">
        <v>344.54548679908459</v>
      </c>
      <c r="X46" s="83">
        <v>342.86404476835412</v>
      </c>
      <c r="Y46" s="83">
        <v>324.65827701804534</v>
      </c>
      <c r="Z46" s="83">
        <v>331.54133403991329</v>
      </c>
      <c r="AA46" s="83">
        <v>354.00805470003127</v>
      </c>
      <c r="AB46" s="83">
        <v>372.82961794250554</v>
      </c>
      <c r="AC46" s="83">
        <v>368.03492349850785</v>
      </c>
      <c r="AD46" s="83">
        <v>284.61758563206763</v>
      </c>
      <c r="AE46" s="83">
        <v>216.81861024604049</v>
      </c>
      <c r="AF46" s="83">
        <v>182.53566046355957</v>
      </c>
      <c r="AG46" s="83">
        <v>170.01092962797699</v>
      </c>
      <c r="AH46" s="83">
        <v>158.65850520719928</v>
      </c>
      <c r="AI46" s="277">
        <v>121.7855215904126</v>
      </c>
      <c r="AJ46" s="277">
        <v>114.71991068990506</v>
      </c>
      <c r="AK46" s="277">
        <v>112.35164724070756</v>
      </c>
      <c r="AL46" s="277">
        <v>106.94287847648413</v>
      </c>
      <c r="AM46" s="277">
        <f t="shared" si="5"/>
        <v>97.752011424347202</v>
      </c>
      <c r="AN46" s="277">
        <v>88.561144372210279</v>
      </c>
      <c r="AO46" s="277">
        <f t="shared" si="5"/>
        <v>82.540158014378363</v>
      </c>
      <c r="AP46" s="277">
        <v>76.519171656546447</v>
      </c>
      <c r="AQ46" s="277">
        <v>48.626756977966849</v>
      </c>
      <c r="AR46" s="277">
        <v>33.328740422540044</v>
      </c>
    </row>
    <row r="47" spans="1:46">
      <c r="A47" s="92" t="s">
        <v>278</v>
      </c>
      <c r="B47" s="93">
        <v>10478.752025733618</v>
      </c>
      <c r="C47" s="93">
        <v>10837.74084268636</v>
      </c>
      <c r="D47" s="93">
        <v>10241.154303386133</v>
      </c>
      <c r="E47" s="93">
        <v>8505.8431535559212</v>
      </c>
      <c r="F47" s="93">
        <v>7075.5129524252034</v>
      </c>
      <c r="G47" s="93">
        <v>5422.8311361087735</v>
      </c>
      <c r="H47" s="93">
        <v>5615.4887150322129</v>
      </c>
      <c r="I47" s="93">
        <v>5867.8230966453293</v>
      </c>
      <c r="J47" s="93">
        <v>6393.1627408817949</v>
      </c>
      <c r="K47" s="93">
        <v>7311.1173441531137</v>
      </c>
      <c r="L47" s="93">
        <v>6396.7432640255156</v>
      </c>
      <c r="M47" s="93">
        <v>6032.5868547219361</v>
      </c>
      <c r="N47" s="93">
        <v>7425.3754814858021</v>
      </c>
      <c r="O47" s="93">
        <v>7273.8143072821495</v>
      </c>
      <c r="P47" s="93">
        <v>6597.5160848282685</v>
      </c>
      <c r="Q47" s="93">
        <v>5848.2665821176106</v>
      </c>
      <c r="R47" s="93">
        <v>5671.3866055903354</v>
      </c>
      <c r="S47" s="93">
        <v>5202.5266506145426</v>
      </c>
      <c r="T47" s="93">
        <v>5140.4271710851881</v>
      </c>
      <c r="U47" s="93">
        <v>4701.0758177327079</v>
      </c>
      <c r="V47" s="93">
        <v>4768.0502750198721</v>
      </c>
      <c r="W47" s="93">
        <v>4975.1694289811157</v>
      </c>
      <c r="X47" s="93">
        <v>5076.3826619862921</v>
      </c>
      <c r="Y47" s="93">
        <v>4838.2265654906396</v>
      </c>
      <c r="Z47" s="93">
        <v>4634.2485651834186</v>
      </c>
      <c r="AA47" s="93">
        <v>4643.6314713332786</v>
      </c>
      <c r="AB47" s="93">
        <v>4680.9574683724122</v>
      </c>
      <c r="AC47" s="93">
        <v>4637.9645364226553</v>
      </c>
      <c r="AD47" s="93">
        <v>4191.3792443193051</v>
      </c>
      <c r="AE47" s="93">
        <v>3763.4461362751249</v>
      </c>
      <c r="AF47" s="93">
        <v>3377.9192948768564</v>
      </c>
      <c r="AG47" s="93">
        <v>2966.3656502440776</v>
      </c>
      <c r="AH47" s="93">
        <v>2586.2268973509617</v>
      </c>
      <c r="AI47" s="93">
        <v>2107.1073507377369</v>
      </c>
      <c r="AJ47" s="93">
        <v>1857.6833190223499</v>
      </c>
      <c r="AK47" s="93">
        <v>1681.1345067215539</v>
      </c>
      <c r="AL47" s="294">
        <v>1568.8225079206602</v>
      </c>
      <c r="AM47" s="294">
        <f>AM38+AM39+AM40+AM41+AM42+AM43+AM44+AM45+AM46</f>
        <v>1403.9598167896336</v>
      </c>
      <c r="AN47" s="294">
        <v>1239.0971256586063</v>
      </c>
      <c r="AO47" s="294">
        <f>AO38+AO39+AO40+AO41+AO42+AO43+AO44+AO45+AO46</f>
        <v>1140.694158503243</v>
      </c>
      <c r="AP47" s="294">
        <v>1042.291191347879</v>
      </c>
      <c r="AQ47" s="294">
        <v>550.98832148780332</v>
      </c>
      <c r="AR47" s="294">
        <v>423.20438193576621</v>
      </c>
    </row>
    <row r="48" spans="1:46" ht="15">
      <c r="A48" s="94"/>
      <c r="B48" s="87"/>
      <c r="C48" s="87"/>
      <c r="D48" s="87"/>
      <c r="E48" s="87"/>
      <c r="F48" s="87"/>
      <c r="G48" s="87"/>
      <c r="H48" s="87"/>
      <c r="I48" s="87"/>
      <c r="J48" s="87"/>
      <c r="K48" s="61"/>
      <c r="L48" s="61"/>
      <c r="M48" s="61"/>
      <c r="N48" s="61"/>
      <c r="O48" s="61"/>
      <c r="P48" s="61"/>
      <c r="Q48" s="61"/>
      <c r="R48" s="61"/>
      <c r="S48" s="61"/>
      <c r="T48" s="61"/>
      <c r="U48" s="61"/>
      <c r="V48" s="61"/>
      <c r="W48" s="61"/>
      <c r="X48" s="61"/>
      <c r="Y48" s="61"/>
      <c r="Z48" s="61"/>
      <c r="AA48" s="61"/>
      <c r="AB48" s="61"/>
      <c r="AC48" s="61"/>
      <c r="AD48" s="61"/>
      <c r="AE48" s="61"/>
      <c r="AF48" s="61"/>
      <c r="AG48" s="61"/>
      <c r="AH48" s="61"/>
    </row>
    <row r="49" spans="1:45">
      <c r="A49" s="95" t="s">
        <v>266</v>
      </c>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494" t="s">
        <v>262</v>
      </c>
      <c r="AM49" s="494"/>
      <c r="AN49" s="494"/>
      <c r="AO49" s="494"/>
      <c r="AP49" s="494"/>
      <c r="AQ49" s="494"/>
      <c r="AR49" s="494"/>
    </row>
    <row r="50" spans="1:45" ht="52.8">
      <c r="A50" s="66" t="s">
        <v>613</v>
      </c>
      <c r="B50" s="393">
        <v>1990</v>
      </c>
      <c r="C50" s="393">
        <v>1991</v>
      </c>
      <c r="D50" s="393">
        <v>1992</v>
      </c>
      <c r="E50" s="393">
        <v>1993</v>
      </c>
      <c r="F50" s="393">
        <v>1994</v>
      </c>
      <c r="G50" s="393">
        <v>1995</v>
      </c>
      <c r="H50" s="393">
        <v>1996</v>
      </c>
      <c r="I50" s="393">
        <v>1997</v>
      </c>
      <c r="J50" s="393">
        <v>1998</v>
      </c>
      <c r="K50" s="393">
        <v>1999</v>
      </c>
      <c r="L50" s="393">
        <v>2000</v>
      </c>
      <c r="M50" s="393">
        <v>2001</v>
      </c>
      <c r="N50" s="393">
        <v>2002</v>
      </c>
      <c r="O50" s="393">
        <v>2003</v>
      </c>
      <c r="P50" s="393">
        <v>2004</v>
      </c>
      <c r="Q50" s="393">
        <v>2005</v>
      </c>
      <c r="R50" s="393">
        <v>2006</v>
      </c>
      <c r="S50" s="393">
        <v>2007</v>
      </c>
      <c r="T50" s="393">
        <v>2008</v>
      </c>
      <c r="U50" s="393">
        <v>2009</v>
      </c>
      <c r="V50" s="393">
        <v>2010</v>
      </c>
      <c r="W50" s="393">
        <v>2011</v>
      </c>
      <c r="X50" s="393">
        <v>2012</v>
      </c>
      <c r="Y50" s="393">
        <v>2013</v>
      </c>
      <c r="Z50" s="393">
        <v>2014</v>
      </c>
      <c r="AA50" s="393">
        <v>2015</v>
      </c>
      <c r="AB50" s="393">
        <v>2016</v>
      </c>
      <c r="AC50" s="393">
        <v>2017</v>
      </c>
      <c r="AD50" s="393">
        <v>2018</v>
      </c>
      <c r="AE50" s="393">
        <v>2019</v>
      </c>
      <c r="AF50" s="393">
        <v>2020</v>
      </c>
      <c r="AG50" s="397">
        <v>2021</v>
      </c>
      <c r="AH50" s="397">
        <v>2022</v>
      </c>
      <c r="AI50" s="393">
        <v>2023</v>
      </c>
      <c r="AJ50" s="394">
        <v>2024</v>
      </c>
      <c r="AK50" s="393">
        <v>2025</v>
      </c>
      <c r="AL50" s="394">
        <v>2026</v>
      </c>
      <c r="AM50" s="394">
        <v>2027</v>
      </c>
      <c r="AN50" s="393">
        <v>2028</v>
      </c>
      <c r="AO50" s="394">
        <v>2029</v>
      </c>
      <c r="AP50" s="393">
        <v>2030</v>
      </c>
      <c r="AQ50" s="393">
        <v>2040</v>
      </c>
      <c r="AR50" s="393">
        <v>2050</v>
      </c>
    </row>
    <row r="51" spans="1:45">
      <c r="A51" s="91" t="s">
        <v>67</v>
      </c>
      <c r="B51" s="83">
        <v>0</v>
      </c>
      <c r="C51" s="83">
        <v>0</v>
      </c>
      <c r="D51" s="83">
        <v>0</v>
      </c>
      <c r="E51" s="83">
        <v>0</v>
      </c>
      <c r="F51" s="83">
        <v>0</v>
      </c>
      <c r="G51" s="83">
        <v>0</v>
      </c>
      <c r="H51" s="83">
        <v>0</v>
      </c>
      <c r="I51" s="83">
        <v>0</v>
      </c>
      <c r="J51" s="83">
        <v>0</v>
      </c>
      <c r="K51" s="83">
        <v>0</v>
      </c>
      <c r="L51" s="83">
        <v>0</v>
      </c>
      <c r="M51" s="83">
        <v>0</v>
      </c>
      <c r="N51" s="83">
        <v>0</v>
      </c>
      <c r="O51" s="83">
        <v>0</v>
      </c>
      <c r="P51" s="83">
        <v>0</v>
      </c>
      <c r="Q51" s="83">
        <v>0</v>
      </c>
      <c r="R51" s="83">
        <v>0</v>
      </c>
      <c r="S51" s="83">
        <v>0</v>
      </c>
      <c r="T51" s="83">
        <v>0</v>
      </c>
      <c r="U51" s="83">
        <v>0</v>
      </c>
      <c r="V51" s="83">
        <v>0</v>
      </c>
      <c r="W51" s="83">
        <v>0</v>
      </c>
      <c r="X51" s="83">
        <v>0</v>
      </c>
      <c r="Y51" s="83">
        <v>0</v>
      </c>
      <c r="Z51" s="83">
        <v>0</v>
      </c>
      <c r="AA51" s="83">
        <v>0</v>
      </c>
      <c r="AB51" s="83">
        <v>0</v>
      </c>
      <c r="AC51" s="83">
        <v>0</v>
      </c>
      <c r="AD51" s="83">
        <v>0</v>
      </c>
      <c r="AE51" s="83">
        <v>0</v>
      </c>
      <c r="AF51" s="83">
        <v>0</v>
      </c>
      <c r="AG51" s="83">
        <v>0</v>
      </c>
      <c r="AH51" s="83">
        <v>0</v>
      </c>
      <c r="AI51" s="83">
        <v>0</v>
      </c>
      <c r="AJ51" s="83">
        <v>0</v>
      </c>
      <c r="AK51" s="83">
        <v>0</v>
      </c>
      <c r="AL51" s="83">
        <v>0</v>
      </c>
      <c r="AM51" s="83">
        <v>0</v>
      </c>
      <c r="AN51" s="83">
        <v>0</v>
      </c>
      <c r="AO51" s="83">
        <v>0</v>
      </c>
      <c r="AP51" s="83">
        <v>0</v>
      </c>
      <c r="AQ51" s="83">
        <v>0</v>
      </c>
      <c r="AR51" s="83">
        <v>0</v>
      </c>
    </row>
    <row r="52" spans="1:45" ht="24">
      <c r="A52" s="91" t="s">
        <v>68</v>
      </c>
      <c r="B52" s="83">
        <v>0</v>
      </c>
      <c r="C52" s="83">
        <v>0</v>
      </c>
      <c r="D52" s="83">
        <v>0</v>
      </c>
      <c r="E52" s="83">
        <v>0</v>
      </c>
      <c r="F52" s="83">
        <v>0</v>
      </c>
      <c r="G52" s="83">
        <v>0</v>
      </c>
      <c r="H52" s="83">
        <v>0</v>
      </c>
      <c r="I52" s="83">
        <v>0</v>
      </c>
      <c r="J52" s="83">
        <v>0</v>
      </c>
      <c r="K52" s="83">
        <v>0</v>
      </c>
      <c r="L52" s="83">
        <v>0</v>
      </c>
      <c r="M52" s="83">
        <v>0</v>
      </c>
      <c r="N52" s="83">
        <v>0</v>
      </c>
      <c r="O52" s="83">
        <v>0</v>
      </c>
      <c r="P52" s="83">
        <v>0</v>
      </c>
      <c r="Q52" s="83">
        <v>0</v>
      </c>
      <c r="R52" s="83">
        <v>0</v>
      </c>
      <c r="S52" s="83">
        <v>0</v>
      </c>
      <c r="T52" s="83">
        <v>0</v>
      </c>
      <c r="U52" s="83">
        <v>0</v>
      </c>
      <c r="V52" s="83">
        <v>0</v>
      </c>
      <c r="W52" s="83">
        <v>0</v>
      </c>
      <c r="X52" s="83">
        <v>0</v>
      </c>
      <c r="Y52" s="83">
        <v>0</v>
      </c>
      <c r="Z52" s="83">
        <v>0</v>
      </c>
      <c r="AA52" s="83">
        <v>0</v>
      </c>
      <c r="AB52" s="83">
        <v>0</v>
      </c>
      <c r="AC52" s="83">
        <v>0</v>
      </c>
      <c r="AD52" s="83">
        <v>0</v>
      </c>
      <c r="AE52" s="83">
        <v>0</v>
      </c>
      <c r="AF52" s="83">
        <v>0</v>
      </c>
      <c r="AG52" s="83">
        <v>0</v>
      </c>
      <c r="AH52" s="83">
        <v>0</v>
      </c>
      <c r="AI52" s="83">
        <v>0</v>
      </c>
      <c r="AJ52" s="83">
        <v>0</v>
      </c>
      <c r="AK52" s="83">
        <v>0</v>
      </c>
      <c r="AL52" s="83">
        <v>0</v>
      </c>
      <c r="AM52" s="83">
        <v>0</v>
      </c>
      <c r="AN52" s="83">
        <v>0</v>
      </c>
      <c r="AO52" s="83">
        <v>0</v>
      </c>
      <c r="AP52" s="83">
        <v>0</v>
      </c>
      <c r="AQ52" s="83">
        <v>0</v>
      </c>
      <c r="AR52" s="83">
        <v>0</v>
      </c>
    </row>
    <row r="53" spans="1:45" ht="24">
      <c r="A53" s="91" t="s">
        <v>69</v>
      </c>
      <c r="B53" s="83">
        <v>0</v>
      </c>
      <c r="C53" s="83">
        <v>0</v>
      </c>
      <c r="D53" s="83">
        <v>0</v>
      </c>
      <c r="E53" s="83">
        <v>0</v>
      </c>
      <c r="F53" s="83">
        <v>0</v>
      </c>
      <c r="G53" s="83">
        <v>0</v>
      </c>
      <c r="H53" s="83">
        <v>0</v>
      </c>
      <c r="I53" s="83">
        <v>0</v>
      </c>
      <c r="J53" s="83">
        <v>0</v>
      </c>
      <c r="K53" s="83">
        <v>0</v>
      </c>
      <c r="L53" s="83">
        <v>0</v>
      </c>
      <c r="M53" s="83">
        <v>0</v>
      </c>
      <c r="N53" s="83">
        <v>0</v>
      </c>
      <c r="O53" s="83">
        <v>0</v>
      </c>
      <c r="P53" s="83">
        <v>0</v>
      </c>
      <c r="Q53" s="83">
        <v>0</v>
      </c>
      <c r="R53" s="83">
        <v>0</v>
      </c>
      <c r="S53" s="83">
        <v>0</v>
      </c>
      <c r="T53" s="83">
        <v>0</v>
      </c>
      <c r="U53" s="83">
        <v>0</v>
      </c>
      <c r="V53" s="83">
        <v>0</v>
      </c>
      <c r="W53" s="83">
        <v>0</v>
      </c>
      <c r="X53" s="83">
        <v>0</v>
      </c>
      <c r="Y53" s="83">
        <v>0</v>
      </c>
      <c r="Z53" s="83">
        <v>0</v>
      </c>
      <c r="AA53" s="83">
        <v>0</v>
      </c>
      <c r="AB53" s="83">
        <v>0</v>
      </c>
      <c r="AC53" s="83">
        <v>0</v>
      </c>
      <c r="AD53" s="83">
        <v>0</v>
      </c>
      <c r="AE53" s="83">
        <v>0</v>
      </c>
      <c r="AF53" s="83">
        <v>0</v>
      </c>
      <c r="AG53" s="83">
        <v>0</v>
      </c>
      <c r="AH53" s="83">
        <v>0</v>
      </c>
      <c r="AI53" s="83">
        <v>0</v>
      </c>
      <c r="AJ53" s="83">
        <v>0</v>
      </c>
      <c r="AK53" s="83">
        <v>0</v>
      </c>
      <c r="AL53" s="83">
        <v>0</v>
      </c>
      <c r="AM53" s="83">
        <v>0</v>
      </c>
      <c r="AN53" s="83">
        <v>0</v>
      </c>
      <c r="AO53" s="83">
        <v>0</v>
      </c>
      <c r="AP53" s="83">
        <v>0</v>
      </c>
      <c r="AQ53" s="83">
        <v>0</v>
      </c>
      <c r="AR53" s="83">
        <v>0</v>
      </c>
    </row>
    <row r="54" spans="1:45">
      <c r="A54" s="91" t="s">
        <v>70</v>
      </c>
      <c r="B54" s="83">
        <v>0</v>
      </c>
      <c r="C54" s="83">
        <v>0</v>
      </c>
      <c r="D54" s="83">
        <v>0</v>
      </c>
      <c r="E54" s="83">
        <v>0</v>
      </c>
      <c r="F54" s="83">
        <v>0</v>
      </c>
      <c r="G54" s="83">
        <v>0</v>
      </c>
      <c r="H54" s="83">
        <v>0</v>
      </c>
      <c r="I54" s="83">
        <v>0</v>
      </c>
      <c r="J54" s="83">
        <v>0</v>
      </c>
      <c r="K54" s="83">
        <v>0</v>
      </c>
      <c r="L54" s="83">
        <v>0</v>
      </c>
      <c r="M54" s="83">
        <v>0</v>
      </c>
      <c r="N54" s="83">
        <v>0</v>
      </c>
      <c r="O54" s="83">
        <v>0</v>
      </c>
      <c r="P54" s="83">
        <v>0</v>
      </c>
      <c r="Q54" s="83">
        <v>0</v>
      </c>
      <c r="R54" s="83">
        <v>0</v>
      </c>
      <c r="S54" s="83">
        <v>0</v>
      </c>
      <c r="T54" s="83">
        <v>0</v>
      </c>
      <c r="U54" s="83">
        <v>0</v>
      </c>
      <c r="V54" s="83">
        <v>0</v>
      </c>
      <c r="W54" s="83">
        <v>0</v>
      </c>
      <c r="X54" s="83">
        <v>0</v>
      </c>
      <c r="Y54" s="83">
        <v>0</v>
      </c>
      <c r="Z54" s="83">
        <v>0</v>
      </c>
      <c r="AA54" s="83">
        <v>0</v>
      </c>
      <c r="AB54" s="83">
        <v>0</v>
      </c>
      <c r="AC54" s="83">
        <v>0</v>
      </c>
      <c r="AD54" s="83">
        <v>0</v>
      </c>
      <c r="AE54" s="83">
        <v>0</v>
      </c>
      <c r="AF54" s="83">
        <v>0</v>
      </c>
      <c r="AG54" s="83">
        <v>0</v>
      </c>
      <c r="AH54" s="83">
        <v>0</v>
      </c>
      <c r="AI54" s="83">
        <v>0</v>
      </c>
      <c r="AJ54" s="83">
        <v>0</v>
      </c>
      <c r="AK54" s="83">
        <v>0</v>
      </c>
      <c r="AL54" s="83">
        <v>0</v>
      </c>
      <c r="AM54" s="83">
        <v>0</v>
      </c>
      <c r="AN54" s="83">
        <v>0</v>
      </c>
      <c r="AO54" s="83">
        <v>0</v>
      </c>
      <c r="AP54" s="83">
        <v>0</v>
      </c>
      <c r="AQ54" s="83">
        <v>0</v>
      </c>
      <c r="AR54" s="83">
        <v>0</v>
      </c>
    </row>
    <row r="55" spans="1:45">
      <c r="A55" s="97" t="s">
        <v>279</v>
      </c>
      <c r="B55" s="98">
        <v>0</v>
      </c>
      <c r="C55" s="98">
        <v>0</v>
      </c>
      <c r="D55" s="98">
        <v>0</v>
      </c>
      <c r="E55" s="98">
        <v>0</v>
      </c>
      <c r="F55" s="98">
        <v>0</v>
      </c>
      <c r="G55" s="98">
        <v>0</v>
      </c>
      <c r="H55" s="98">
        <v>0</v>
      </c>
      <c r="I55" s="98">
        <v>0</v>
      </c>
      <c r="J55" s="98">
        <v>0</v>
      </c>
      <c r="K55" s="98">
        <v>0</v>
      </c>
      <c r="L55" s="98">
        <v>0</v>
      </c>
      <c r="M55" s="98">
        <v>0</v>
      </c>
      <c r="N55" s="98">
        <v>0</v>
      </c>
      <c r="O55" s="98">
        <v>0</v>
      </c>
      <c r="P55" s="98">
        <v>0</v>
      </c>
      <c r="Q55" s="98">
        <v>0</v>
      </c>
      <c r="R55" s="98">
        <v>0</v>
      </c>
      <c r="S55" s="98">
        <v>0</v>
      </c>
      <c r="T55" s="98">
        <v>0</v>
      </c>
      <c r="U55" s="98">
        <v>0</v>
      </c>
      <c r="V55" s="98">
        <v>0</v>
      </c>
      <c r="W55" s="98">
        <v>0</v>
      </c>
      <c r="X55" s="98">
        <v>0</v>
      </c>
      <c r="Y55" s="98">
        <v>0</v>
      </c>
      <c r="Z55" s="98">
        <v>0</v>
      </c>
      <c r="AA55" s="98">
        <v>0</v>
      </c>
      <c r="AB55" s="98">
        <v>0</v>
      </c>
      <c r="AC55" s="98">
        <v>0</v>
      </c>
      <c r="AD55" s="98">
        <v>0</v>
      </c>
      <c r="AE55" s="98">
        <v>0</v>
      </c>
      <c r="AF55" s="98">
        <v>0</v>
      </c>
      <c r="AG55" s="98">
        <v>0</v>
      </c>
      <c r="AH55" s="98">
        <v>0</v>
      </c>
      <c r="AI55" s="98">
        <v>0</v>
      </c>
      <c r="AJ55" s="98">
        <v>0</v>
      </c>
      <c r="AK55" s="98">
        <v>0</v>
      </c>
      <c r="AL55" s="98">
        <v>0</v>
      </c>
      <c r="AM55" s="98">
        <v>0</v>
      </c>
      <c r="AN55" s="98">
        <v>0</v>
      </c>
      <c r="AO55" s="98">
        <v>0</v>
      </c>
      <c r="AP55" s="98">
        <v>0</v>
      </c>
      <c r="AQ55" s="98">
        <v>0</v>
      </c>
      <c r="AR55" s="98">
        <v>0</v>
      </c>
    </row>
    <row r="56" spans="1:45" ht="15">
      <c r="A56" s="86"/>
      <c r="B56" s="87"/>
      <c r="C56" s="87"/>
      <c r="D56" s="87"/>
      <c r="E56" s="87"/>
      <c r="F56" s="87"/>
      <c r="G56" s="87"/>
      <c r="H56" s="87"/>
      <c r="I56" s="87"/>
      <c r="J56" s="87"/>
      <c r="K56" s="61"/>
      <c r="L56" s="61"/>
      <c r="M56" s="61"/>
      <c r="N56" s="61"/>
      <c r="O56" s="61"/>
      <c r="P56" s="61"/>
      <c r="Q56" s="61"/>
      <c r="R56" s="61"/>
      <c r="S56" s="61"/>
      <c r="T56" s="61"/>
      <c r="U56" s="61"/>
      <c r="V56" s="61"/>
      <c r="W56" s="61"/>
      <c r="X56" s="61"/>
      <c r="Y56" s="61"/>
      <c r="Z56" s="61"/>
      <c r="AA56" s="61"/>
      <c r="AB56" s="61"/>
      <c r="AC56" s="61"/>
      <c r="AD56" s="61"/>
      <c r="AE56" s="61"/>
      <c r="AF56" s="61"/>
      <c r="AG56" s="61"/>
      <c r="AH56" s="61"/>
    </row>
    <row r="57" spans="1:45">
      <c r="A57" s="99" t="s">
        <v>267</v>
      </c>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493" t="s">
        <v>262</v>
      </c>
      <c r="AM57" s="493"/>
      <c r="AN57" s="493"/>
      <c r="AO57" s="493"/>
      <c r="AP57" s="493"/>
      <c r="AQ57" s="493"/>
      <c r="AR57" s="493"/>
    </row>
    <row r="58" spans="1:45" ht="52.8">
      <c r="A58" s="66" t="s">
        <v>613</v>
      </c>
      <c r="B58" s="393">
        <v>1990</v>
      </c>
      <c r="C58" s="393">
        <v>1991</v>
      </c>
      <c r="D58" s="393">
        <v>1992</v>
      </c>
      <c r="E58" s="393">
        <v>1993</v>
      </c>
      <c r="F58" s="393">
        <v>1994</v>
      </c>
      <c r="G58" s="393">
        <v>1995</v>
      </c>
      <c r="H58" s="393">
        <v>1996</v>
      </c>
      <c r="I58" s="393">
        <v>1997</v>
      </c>
      <c r="J58" s="393">
        <v>1998</v>
      </c>
      <c r="K58" s="393">
        <v>1999</v>
      </c>
      <c r="L58" s="393">
        <v>2000</v>
      </c>
      <c r="M58" s="393">
        <v>2001</v>
      </c>
      <c r="N58" s="393">
        <v>2002</v>
      </c>
      <c r="O58" s="393">
        <v>2003</v>
      </c>
      <c r="P58" s="393">
        <v>2004</v>
      </c>
      <c r="Q58" s="393">
        <v>2005</v>
      </c>
      <c r="R58" s="393">
        <v>2006</v>
      </c>
      <c r="S58" s="393">
        <v>2007</v>
      </c>
      <c r="T58" s="393">
        <v>2008</v>
      </c>
      <c r="U58" s="393">
        <v>2009</v>
      </c>
      <c r="V58" s="393">
        <v>2010</v>
      </c>
      <c r="W58" s="393">
        <v>2011</v>
      </c>
      <c r="X58" s="393">
        <v>2012</v>
      </c>
      <c r="Y58" s="393">
        <v>2013</v>
      </c>
      <c r="Z58" s="393">
        <v>2014</v>
      </c>
      <c r="AA58" s="393">
        <v>2015</v>
      </c>
      <c r="AB58" s="393">
        <v>2016</v>
      </c>
      <c r="AC58" s="393">
        <v>2017</v>
      </c>
      <c r="AD58" s="393">
        <v>2018</v>
      </c>
      <c r="AE58" s="393">
        <v>2019</v>
      </c>
      <c r="AF58" s="393">
        <v>2020</v>
      </c>
      <c r="AG58" s="397">
        <v>2021</v>
      </c>
      <c r="AH58" s="397">
        <v>2022</v>
      </c>
      <c r="AI58" s="393">
        <v>2023</v>
      </c>
      <c r="AJ58" s="394">
        <v>2024</v>
      </c>
      <c r="AK58" s="393">
        <v>2025</v>
      </c>
      <c r="AL58" s="394">
        <v>2026</v>
      </c>
      <c r="AM58" s="394">
        <v>2027</v>
      </c>
      <c r="AN58" s="393">
        <v>2028</v>
      </c>
      <c r="AO58" s="394">
        <v>2029</v>
      </c>
      <c r="AP58" s="393">
        <v>2030</v>
      </c>
      <c r="AQ58" s="393">
        <v>2040</v>
      </c>
      <c r="AR58" s="393">
        <v>2050</v>
      </c>
    </row>
    <row r="59" spans="1:45" ht="24">
      <c r="A59" s="82" t="s">
        <v>176</v>
      </c>
      <c r="B59" s="83">
        <v>0</v>
      </c>
      <c r="C59" s="83">
        <v>0</v>
      </c>
      <c r="D59" s="83">
        <v>0</v>
      </c>
      <c r="E59" s="83">
        <v>0</v>
      </c>
      <c r="F59" s="83">
        <v>0</v>
      </c>
      <c r="G59" s="83">
        <v>0</v>
      </c>
      <c r="H59" s="83">
        <v>0</v>
      </c>
      <c r="I59" s="83">
        <v>0</v>
      </c>
      <c r="J59" s="83">
        <v>0</v>
      </c>
      <c r="K59" s="83">
        <v>0</v>
      </c>
      <c r="L59" s="83">
        <v>0</v>
      </c>
      <c r="M59" s="83">
        <v>0</v>
      </c>
      <c r="N59" s="83">
        <v>0</v>
      </c>
      <c r="O59" s="83">
        <v>0</v>
      </c>
      <c r="P59" s="83">
        <v>0</v>
      </c>
      <c r="Q59" s="83">
        <v>18.580805921096161</v>
      </c>
      <c r="R59" s="83">
        <v>0</v>
      </c>
      <c r="S59" s="83">
        <v>0</v>
      </c>
      <c r="T59" s="83">
        <v>0</v>
      </c>
      <c r="U59" s="83">
        <v>0</v>
      </c>
      <c r="V59" s="83">
        <v>115.21213779993533</v>
      </c>
      <c r="W59" s="83">
        <v>0</v>
      </c>
      <c r="X59" s="83">
        <v>0</v>
      </c>
      <c r="Y59" s="83">
        <v>0</v>
      </c>
      <c r="Z59" s="83">
        <v>0</v>
      </c>
      <c r="AA59" s="83">
        <v>166.22189564294774</v>
      </c>
      <c r="AB59" s="83">
        <v>192.82886764364346</v>
      </c>
      <c r="AC59" s="83">
        <v>219.69514231556752</v>
      </c>
      <c r="AD59" s="83">
        <v>255.92285491402518</v>
      </c>
      <c r="AE59" s="83">
        <v>271.52789900321585</v>
      </c>
      <c r="AF59" s="83">
        <v>265.93912991840091</v>
      </c>
      <c r="AG59" s="83">
        <v>261.55500770148376</v>
      </c>
      <c r="AH59" s="83">
        <v>267.1460503641261</v>
      </c>
      <c r="AI59" s="277">
        <v>269.08947858705727</v>
      </c>
      <c r="AJ59" s="277">
        <v>265.53526615906054</v>
      </c>
      <c r="AK59" s="277">
        <v>261.94950291591192</v>
      </c>
      <c r="AL59" s="277">
        <v>261.94950291591192</v>
      </c>
      <c r="AM59" s="83">
        <f>AL59+(AN59-AL59)/2</f>
        <v>130.97475145795596</v>
      </c>
      <c r="AN59" s="83">
        <v>0</v>
      </c>
      <c r="AO59" s="83">
        <f>AN59+(AP59-AN59)/2</f>
        <v>0</v>
      </c>
      <c r="AP59" s="83">
        <v>0</v>
      </c>
      <c r="AQ59" s="83">
        <v>0</v>
      </c>
      <c r="AR59" s="83">
        <v>0</v>
      </c>
      <c r="AS59" s="390"/>
    </row>
    <row r="60" spans="1:45">
      <c r="A60" s="82" t="s">
        <v>177</v>
      </c>
      <c r="B60" s="83">
        <v>0</v>
      </c>
      <c r="C60" s="83">
        <v>0</v>
      </c>
      <c r="D60" s="83">
        <v>0</v>
      </c>
      <c r="E60" s="83">
        <v>0</v>
      </c>
      <c r="F60" s="83">
        <v>0</v>
      </c>
      <c r="G60" s="83">
        <v>2.1070731289163317E-2</v>
      </c>
      <c r="H60" s="83">
        <v>0</v>
      </c>
      <c r="I60" s="83">
        <v>0</v>
      </c>
      <c r="J60" s="83">
        <v>0</v>
      </c>
      <c r="K60" s="83">
        <v>0</v>
      </c>
      <c r="L60" s="83">
        <v>0.59450563361949893</v>
      </c>
      <c r="M60" s="83">
        <v>2.1511625372072372</v>
      </c>
      <c r="N60" s="83">
        <v>5.048764313174841</v>
      </c>
      <c r="O60" s="83">
        <v>43.758912556504512</v>
      </c>
      <c r="P60" s="83">
        <v>106.0492230661404</v>
      </c>
      <c r="Q60" s="83">
        <v>151.24173348306078</v>
      </c>
      <c r="R60" s="83">
        <v>219.66689105629499</v>
      </c>
      <c r="S60" s="83">
        <v>287.10515682271358</v>
      </c>
      <c r="T60" s="83">
        <v>352.1902901868815</v>
      </c>
      <c r="U60" s="83">
        <v>417.78296083518632</v>
      </c>
      <c r="V60" s="83">
        <v>397.51046459092606</v>
      </c>
      <c r="W60" s="83">
        <v>526.47793455325871</v>
      </c>
      <c r="X60" s="83">
        <v>584.76040887633087</v>
      </c>
      <c r="Y60" s="83">
        <v>674.81619877351932</v>
      </c>
      <c r="Z60" s="83">
        <v>782.12264276223516</v>
      </c>
      <c r="AA60" s="83">
        <v>767.0001859752681</v>
      </c>
      <c r="AB60" s="83">
        <v>829.97110255305768</v>
      </c>
      <c r="AC60" s="83">
        <v>874.53676648365206</v>
      </c>
      <c r="AD60" s="83">
        <v>898.25527878367996</v>
      </c>
      <c r="AE60" s="83">
        <v>899.36854052059414</v>
      </c>
      <c r="AF60" s="83">
        <v>883.76497510177467</v>
      </c>
      <c r="AG60" s="83">
        <v>859.96378978458119</v>
      </c>
      <c r="AH60" s="83">
        <v>867.44395485501184</v>
      </c>
      <c r="AI60" s="277">
        <v>863.73826006952675</v>
      </c>
      <c r="AJ60" s="277">
        <v>845.66203812347305</v>
      </c>
      <c r="AK60" s="277">
        <v>826.55172610237742</v>
      </c>
      <c r="AL60" s="277">
        <v>799.13265786422369</v>
      </c>
      <c r="AM60" s="277">
        <f t="shared" ref="AM60:AO62" si="6">AL60+(AN60-AL60)/2</f>
        <v>773.31963829847825</v>
      </c>
      <c r="AN60" s="277">
        <v>747.50661873273282</v>
      </c>
      <c r="AO60" s="277">
        <f t="shared" si="6"/>
        <v>702.18985523275751</v>
      </c>
      <c r="AP60" s="277">
        <v>656.8730917327822</v>
      </c>
      <c r="AQ60" s="277">
        <v>179.31004867502136</v>
      </c>
      <c r="AR60" s="277">
        <v>15.001384826129534</v>
      </c>
    </row>
    <row r="61" spans="1:45">
      <c r="A61" s="82" t="s">
        <v>280</v>
      </c>
      <c r="B61" s="83">
        <v>0</v>
      </c>
      <c r="C61" s="83">
        <v>0</v>
      </c>
      <c r="D61" s="83">
        <v>0</v>
      </c>
      <c r="E61" s="83">
        <v>0</v>
      </c>
      <c r="F61" s="83">
        <v>2.2254227952597575E-2</v>
      </c>
      <c r="G61" s="83">
        <v>6.2150656083059697E-2</v>
      </c>
      <c r="H61" s="83">
        <v>9.847679089985488E-2</v>
      </c>
      <c r="I61" s="83">
        <v>0.13429564925726312</v>
      </c>
      <c r="J61" s="83">
        <v>0.16822957953768652</v>
      </c>
      <c r="K61" s="83">
        <v>0.2003038398115391</v>
      </c>
      <c r="L61" s="83">
        <v>0.23167235770826491</v>
      </c>
      <c r="M61" s="83">
        <v>0.25820390072745392</v>
      </c>
      <c r="N61" s="83">
        <v>0.28083506859463386</v>
      </c>
      <c r="O61" s="83">
        <v>0.30327816450104533</v>
      </c>
      <c r="P61" s="83">
        <v>20.440180137588701</v>
      </c>
      <c r="Q61" s="83">
        <v>52.373655740781587</v>
      </c>
      <c r="R61" s="83">
        <v>73.024612473454013</v>
      </c>
      <c r="S61" s="83">
        <v>73.966013860178407</v>
      </c>
      <c r="T61" s="83">
        <v>88.225421485371257</v>
      </c>
      <c r="U61" s="83">
        <v>99.529825349761168</v>
      </c>
      <c r="V61" s="83">
        <v>145.81912051382895</v>
      </c>
      <c r="W61" s="83">
        <v>147.20212110199355</v>
      </c>
      <c r="X61" s="83">
        <v>158.66265762815857</v>
      </c>
      <c r="Y61" s="83">
        <v>152.51605139764519</v>
      </c>
      <c r="Z61" s="83">
        <v>156.89569673400285</v>
      </c>
      <c r="AA61" s="83">
        <v>130.35045271636938</v>
      </c>
      <c r="AB61" s="83">
        <v>138.82034324354174</v>
      </c>
      <c r="AC61" s="83">
        <v>101.38814772382801</v>
      </c>
      <c r="AD61" s="83">
        <v>89.331337110410843</v>
      </c>
      <c r="AE61" s="83">
        <v>89.713315664270453</v>
      </c>
      <c r="AF61" s="83">
        <v>100.06936685972977</v>
      </c>
      <c r="AG61" s="83">
        <v>91.648985493540138</v>
      </c>
      <c r="AH61" s="83">
        <v>86.464692942199818</v>
      </c>
      <c r="AI61" s="277">
        <v>81.266876481162981</v>
      </c>
      <c r="AJ61" s="277">
        <v>76.562717793875848</v>
      </c>
      <c r="AK61" s="277">
        <v>73.634272465643647</v>
      </c>
      <c r="AL61" s="277">
        <v>68.941903539054977</v>
      </c>
      <c r="AM61" s="277">
        <f t="shared" si="6"/>
        <v>61.303603935243835</v>
      </c>
      <c r="AN61" s="277">
        <v>53.665304331432694</v>
      </c>
      <c r="AO61" s="277">
        <f t="shared" si="6"/>
        <v>45.81253168870024</v>
      </c>
      <c r="AP61" s="277">
        <v>37.959759045967786</v>
      </c>
      <c r="AQ61" s="277">
        <v>0</v>
      </c>
      <c r="AR61" s="277">
        <v>0</v>
      </c>
    </row>
    <row r="62" spans="1:45" ht="24">
      <c r="A62" s="82" t="s">
        <v>178</v>
      </c>
      <c r="B62" s="83">
        <v>115.86058371727269</v>
      </c>
      <c r="C62" s="83">
        <v>115.89329903573982</v>
      </c>
      <c r="D62" s="83">
        <v>115.93157034792426</v>
      </c>
      <c r="E62" s="83">
        <v>115.97391371593794</v>
      </c>
      <c r="F62" s="83">
        <v>150.18985550849976</v>
      </c>
      <c r="G62" s="83">
        <v>370.67940447373684</v>
      </c>
      <c r="H62" s="83">
        <v>736.94504754045204</v>
      </c>
      <c r="I62" s="83">
        <v>920.75345894027839</v>
      </c>
      <c r="J62" s="83">
        <v>913.0244429923481</v>
      </c>
      <c r="K62" s="83">
        <v>884.82170813758728</v>
      </c>
      <c r="L62" s="83">
        <v>1117.4653150602503</v>
      </c>
      <c r="M62" s="83">
        <v>1077.170011331259</v>
      </c>
      <c r="N62" s="83">
        <v>1107.9671174041973</v>
      </c>
      <c r="O62" s="83">
        <v>1217.9436764794314</v>
      </c>
      <c r="P62" s="83">
        <v>1322.1936335610335</v>
      </c>
      <c r="Q62" s="83">
        <v>1365.8627761719738</v>
      </c>
      <c r="R62" s="83">
        <v>1379.4155029765229</v>
      </c>
      <c r="S62" s="83">
        <v>1392.2713580936718</v>
      </c>
      <c r="T62" s="83">
        <v>1402.7769327072501</v>
      </c>
      <c r="U62" s="83">
        <v>1029.3096543137904</v>
      </c>
      <c r="V62" s="83">
        <v>1076.2257757933871</v>
      </c>
      <c r="W62" s="83">
        <v>1121.4936764897614</v>
      </c>
      <c r="X62" s="83">
        <v>1057.4014995150862</v>
      </c>
      <c r="Y62" s="83">
        <v>1014.3796917731238</v>
      </c>
      <c r="Z62" s="83">
        <v>1027.9186658870767</v>
      </c>
      <c r="AA62" s="83">
        <v>1054.7572865701627</v>
      </c>
      <c r="AB62" s="83">
        <v>1071.5143909268845</v>
      </c>
      <c r="AC62" s="83">
        <v>1066.5367826231725</v>
      </c>
      <c r="AD62" s="83">
        <v>809.90021488844673</v>
      </c>
      <c r="AE62" s="83">
        <v>514.23324387512457</v>
      </c>
      <c r="AF62" s="83">
        <v>459.78572205749975</v>
      </c>
      <c r="AG62" s="83">
        <v>456.87566693397179</v>
      </c>
      <c r="AH62" s="83">
        <v>463.45781164221449</v>
      </c>
      <c r="AI62" s="277">
        <v>500.31337799177351</v>
      </c>
      <c r="AJ62" s="277">
        <v>531.31092393903157</v>
      </c>
      <c r="AK62" s="277">
        <v>531.31092393903157</v>
      </c>
      <c r="AL62" s="277">
        <v>528.94516833536318</v>
      </c>
      <c r="AM62" s="277">
        <f t="shared" si="6"/>
        <v>506.93934401110999</v>
      </c>
      <c r="AN62" s="277">
        <v>484.93351968685681</v>
      </c>
      <c r="AO62" s="277">
        <f t="shared" si="6"/>
        <v>476.4370521524645</v>
      </c>
      <c r="AP62" s="277">
        <v>467.94058461807219</v>
      </c>
      <c r="AQ62" s="277">
        <v>450.7537938819396</v>
      </c>
      <c r="AR62" s="277">
        <v>447.84530973993429</v>
      </c>
    </row>
    <row r="63" spans="1:45">
      <c r="A63" s="82" t="s">
        <v>281</v>
      </c>
      <c r="B63" s="83">
        <v>0</v>
      </c>
      <c r="C63" s="83">
        <v>0</v>
      </c>
      <c r="D63" s="83">
        <v>0</v>
      </c>
      <c r="E63" s="83">
        <v>0</v>
      </c>
      <c r="F63" s="83">
        <v>0</v>
      </c>
      <c r="G63" s="83">
        <v>0</v>
      </c>
      <c r="H63" s="83">
        <v>0</v>
      </c>
      <c r="I63" s="83">
        <v>0</v>
      </c>
      <c r="J63" s="83">
        <v>0</v>
      </c>
      <c r="K63" s="83">
        <v>0</v>
      </c>
      <c r="L63" s="83">
        <v>0</v>
      </c>
      <c r="M63" s="83">
        <v>0</v>
      </c>
      <c r="N63" s="83">
        <v>0</v>
      </c>
      <c r="O63" s="83">
        <v>0</v>
      </c>
      <c r="P63" s="83">
        <v>0</v>
      </c>
      <c r="Q63" s="83">
        <v>0</v>
      </c>
      <c r="R63" s="83">
        <v>0</v>
      </c>
      <c r="S63" s="83">
        <v>0</v>
      </c>
      <c r="T63" s="83">
        <v>0</v>
      </c>
      <c r="U63" s="83">
        <v>0</v>
      </c>
      <c r="V63" s="83">
        <v>0</v>
      </c>
      <c r="W63" s="83">
        <v>0</v>
      </c>
      <c r="X63" s="83">
        <v>0</v>
      </c>
      <c r="Y63" s="83">
        <v>0</v>
      </c>
      <c r="Z63" s="83">
        <v>0</v>
      </c>
      <c r="AA63" s="83">
        <v>0</v>
      </c>
      <c r="AB63" s="83">
        <v>0</v>
      </c>
      <c r="AC63" s="83">
        <v>0</v>
      </c>
      <c r="AD63" s="83">
        <v>0</v>
      </c>
      <c r="AE63" s="83">
        <v>0</v>
      </c>
      <c r="AF63" s="83">
        <v>0</v>
      </c>
      <c r="AG63" s="83">
        <v>0</v>
      </c>
      <c r="AH63" s="83">
        <v>0</v>
      </c>
      <c r="AI63" s="83">
        <v>0</v>
      </c>
      <c r="AJ63" s="83">
        <v>0</v>
      </c>
      <c r="AK63" s="83">
        <v>0</v>
      </c>
      <c r="AL63" s="83">
        <v>0</v>
      </c>
      <c r="AM63" s="83">
        <v>0</v>
      </c>
      <c r="AN63" s="83">
        <v>0</v>
      </c>
      <c r="AO63" s="83">
        <v>0</v>
      </c>
      <c r="AP63" s="83">
        <v>0</v>
      </c>
      <c r="AQ63" s="83">
        <v>0</v>
      </c>
      <c r="AR63" s="83">
        <v>0</v>
      </c>
    </row>
    <row r="64" spans="1:45" ht="24">
      <c r="A64" s="82" t="s">
        <v>282</v>
      </c>
      <c r="B64" s="83">
        <v>0</v>
      </c>
      <c r="C64" s="83">
        <v>0</v>
      </c>
      <c r="D64" s="83">
        <v>0</v>
      </c>
      <c r="E64" s="83">
        <v>0</v>
      </c>
      <c r="F64" s="83">
        <v>0</v>
      </c>
      <c r="G64" s="83">
        <v>0</v>
      </c>
      <c r="H64" s="83">
        <v>0</v>
      </c>
      <c r="I64" s="83">
        <v>0</v>
      </c>
      <c r="J64" s="83">
        <v>0</v>
      </c>
      <c r="K64" s="83">
        <v>0</v>
      </c>
      <c r="L64" s="83">
        <v>0</v>
      </c>
      <c r="M64" s="83">
        <v>0</v>
      </c>
      <c r="N64" s="83">
        <v>0</v>
      </c>
      <c r="O64" s="83">
        <v>0</v>
      </c>
      <c r="P64" s="83">
        <v>0</v>
      </c>
      <c r="Q64" s="83">
        <v>0</v>
      </c>
      <c r="R64" s="83">
        <v>0</v>
      </c>
      <c r="S64" s="83">
        <v>0</v>
      </c>
      <c r="T64" s="83">
        <v>0</v>
      </c>
      <c r="U64" s="83">
        <v>0</v>
      </c>
      <c r="V64" s="83">
        <v>0</v>
      </c>
      <c r="W64" s="83">
        <v>0</v>
      </c>
      <c r="X64" s="83">
        <v>0</v>
      </c>
      <c r="Y64" s="83">
        <v>0</v>
      </c>
      <c r="Z64" s="83">
        <v>0</v>
      </c>
      <c r="AA64" s="83">
        <v>0</v>
      </c>
      <c r="AB64" s="83">
        <v>0</v>
      </c>
      <c r="AC64" s="83">
        <v>0</v>
      </c>
      <c r="AD64" s="83">
        <v>0</v>
      </c>
      <c r="AE64" s="83">
        <v>0</v>
      </c>
      <c r="AF64" s="83">
        <v>0</v>
      </c>
      <c r="AG64" s="83">
        <v>0</v>
      </c>
      <c r="AH64" s="83">
        <v>0</v>
      </c>
      <c r="AI64" s="83">
        <v>0</v>
      </c>
      <c r="AJ64" s="83">
        <v>0</v>
      </c>
      <c r="AK64" s="83">
        <v>0</v>
      </c>
      <c r="AL64" s="83">
        <v>0</v>
      </c>
      <c r="AM64" s="83">
        <v>0</v>
      </c>
      <c r="AN64" s="83">
        <v>0</v>
      </c>
      <c r="AO64" s="83">
        <v>0</v>
      </c>
      <c r="AP64" s="83">
        <v>0</v>
      </c>
      <c r="AQ64" s="83">
        <v>0</v>
      </c>
      <c r="AR64" s="83">
        <v>0</v>
      </c>
    </row>
    <row r="65" spans="1:45" ht="24">
      <c r="A65" s="82" t="s">
        <v>283</v>
      </c>
      <c r="B65" s="83">
        <v>0</v>
      </c>
      <c r="C65" s="83">
        <v>0</v>
      </c>
      <c r="D65" s="83">
        <v>0</v>
      </c>
      <c r="E65" s="83">
        <v>0</v>
      </c>
      <c r="F65" s="83">
        <v>0</v>
      </c>
      <c r="G65" s="83">
        <v>0</v>
      </c>
      <c r="H65" s="83">
        <v>0</v>
      </c>
      <c r="I65" s="83">
        <v>0</v>
      </c>
      <c r="J65" s="83">
        <v>0</v>
      </c>
      <c r="K65" s="83">
        <v>0</v>
      </c>
      <c r="L65" s="83">
        <v>0</v>
      </c>
      <c r="M65" s="83">
        <v>0</v>
      </c>
      <c r="N65" s="83">
        <v>0</v>
      </c>
      <c r="O65" s="83">
        <v>0</v>
      </c>
      <c r="P65" s="83">
        <v>0</v>
      </c>
      <c r="Q65" s="83">
        <v>0</v>
      </c>
      <c r="R65" s="83">
        <v>0</v>
      </c>
      <c r="S65" s="83">
        <v>0</v>
      </c>
      <c r="T65" s="83">
        <v>0</v>
      </c>
      <c r="U65" s="83">
        <v>0</v>
      </c>
      <c r="V65" s="83">
        <v>0</v>
      </c>
      <c r="W65" s="83">
        <v>0</v>
      </c>
      <c r="X65" s="83">
        <v>0</v>
      </c>
      <c r="Y65" s="83">
        <v>0</v>
      </c>
      <c r="Z65" s="83">
        <v>0</v>
      </c>
      <c r="AA65" s="83">
        <v>0</v>
      </c>
      <c r="AB65" s="83">
        <v>0</v>
      </c>
      <c r="AC65" s="83">
        <v>0</v>
      </c>
      <c r="AD65" s="83">
        <v>0</v>
      </c>
      <c r="AE65" s="83">
        <v>0</v>
      </c>
      <c r="AF65" s="83">
        <v>0</v>
      </c>
      <c r="AG65" s="83">
        <v>0</v>
      </c>
      <c r="AH65" s="83">
        <v>0</v>
      </c>
      <c r="AI65" s="83">
        <v>0</v>
      </c>
      <c r="AJ65" s="83">
        <v>0</v>
      </c>
      <c r="AK65" s="83">
        <v>0</v>
      </c>
      <c r="AL65" s="83">
        <v>0</v>
      </c>
      <c r="AM65" s="83">
        <v>0</v>
      </c>
      <c r="AN65" s="83">
        <v>0</v>
      </c>
      <c r="AO65" s="83">
        <v>0</v>
      </c>
      <c r="AP65" s="83">
        <v>0</v>
      </c>
      <c r="AQ65" s="83">
        <v>0</v>
      </c>
      <c r="AR65" s="83">
        <v>0</v>
      </c>
    </row>
    <row r="66" spans="1:45" ht="36">
      <c r="A66" s="101" t="s">
        <v>284</v>
      </c>
      <c r="B66" s="102">
        <v>115.86058371727269</v>
      </c>
      <c r="C66" s="102">
        <v>115.89329903573982</v>
      </c>
      <c r="D66" s="102">
        <v>115.93157034792426</v>
      </c>
      <c r="E66" s="102">
        <v>115.97391371593794</v>
      </c>
      <c r="F66" s="102">
        <v>150.21210973645236</v>
      </c>
      <c r="G66" s="102">
        <v>370.76262586110909</v>
      </c>
      <c r="H66" s="102">
        <v>737.04352433135193</v>
      </c>
      <c r="I66" s="102">
        <v>920.88775458953569</v>
      </c>
      <c r="J66" s="102">
        <v>913.19267257188574</v>
      </c>
      <c r="K66" s="102">
        <v>885.02201197739885</v>
      </c>
      <c r="L66" s="102">
        <v>1118.2914930515781</v>
      </c>
      <c r="M66" s="102">
        <v>1079.5793777691938</v>
      </c>
      <c r="N66" s="102">
        <v>1113.2967167859667</v>
      </c>
      <c r="O66" s="102">
        <v>1262.005867200437</v>
      </c>
      <c r="P66" s="102">
        <v>1448.6830367647626</v>
      </c>
      <c r="Q66" s="102">
        <v>1588.0589713169124</v>
      </c>
      <c r="R66" s="102">
        <v>1672.107006506272</v>
      </c>
      <c r="S66" s="102">
        <v>1753.3425287765638</v>
      </c>
      <c r="T66" s="102">
        <v>1843.1926443795028</v>
      </c>
      <c r="U66" s="102">
        <v>1546.6224404987379</v>
      </c>
      <c r="V66" s="102">
        <v>1734.7674986980774</v>
      </c>
      <c r="W66" s="102">
        <v>1795.1737321450137</v>
      </c>
      <c r="X66" s="102">
        <v>1800.8245660195757</v>
      </c>
      <c r="Y66" s="102">
        <v>1841.7119419442884</v>
      </c>
      <c r="Z66" s="102">
        <v>1966.9370053833147</v>
      </c>
      <c r="AA66" s="102">
        <v>2118.329820904748</v>
      </c>
      <c r="AB66" s="102">
        <v>2233.1347043671276</v>
      </c>
      <c r="AC66" s="102">
        <v>2262.1568391462201</v>
      </c>
      <c r="AD66" s="102">
        <v>2053.4096856965625</v>
      </c>
      <c r="AE66" s="102">
        <v>1774.8429990632048</v>
      </c>
      <c r="AF66" s="102">
        <v>1709.5591939374051</v>
      </c>
      <c r="AG66" s="102">
        <v>1670.043449913577</v>
      </c>
      <c r="AH66" s="102">
        <v>1684.5125098035523</v>
      </c>
      <c r="AI66" s="102">
        <v>1714.4079931295205</v>
      </c>
      <c r="AJ66" s="102">
        <v>1719.0709460154412</v>
      </c>
      <c r="AK66" s="102">
        <v>1693.4464254229647</v>
      </c>
      <c r="AL66" s="144">
        <v>1658.9692326545539</v>
      </c>
      <c r="AM66" s="144">
        <f>SUM(AM59:AM65)</f>
        <v>1472.5373377027879</v>
      </c>
      <c r="AN66" s="144">
        <v>1286.1054427510223</v>
      </c>
      <c r="AO66" s="144">
        <f>SUM(AO59:AO65)</f>
        <v>1224.4394390739221</v>
      </c>
      <c r="AP66" s="144">
        <v>1162.7734353968222</v>
      </c>
      <c r="AQ66" s="144">
        <v>630.06384255696094</v>
      </c>
      <c r="AR66" s="144">
        <v>462.84669456606389</v>
      </c>
    </row>
    <row r="67" spans="1:45" ht="24">
      <c r="A67" s="82" t="s">
        <v>181</v>
      </c>
      <c r="B67" s="83">
        <v>0</v>
      </c>
      <c r="C67" s="83">
        <v>0</v>
      </c>
      <c r="D67" s="83">
        <v>0</v>
      </c>
      <c r="E67" s="83">
        <v>0</v>
      </c>
      <c r="F67" s="83">
        <v>0</v>
      </c>
      <c r="G67" s="83">
        <v>0</v>
      </c>
      <c r="H67" s="83">
        <v>0</v>
      </c>
      <c r="I67" s="83">
        <v>0</v>
      </c>
      <c r="J67" s="83">
        <v>0</v>
      </c>
      <c r="K67" s="83">
        <v>0</v>
      </c>
      <c r="L67" s="83">
        <v>0</v>
      </c>
      <c r="M67" s="83">
        <v>0</v>
      </c>
      <c r="N67" s="83">
        <v>0</v>
      </c>
      <c r="O67" s="83">
        <v>0</v>
      </c>
      <c r="P67" s="83">
        <v>0</v>
      </c>
      <c r="Q67" s="83">
        <v>8.3949460636022142</v>
      </c>
      <c r="R67" s="83">
        <v>0</v>
      </c>
      <c r="S67" s="83">
        <v>0</v>
      </c>
      <c r="T67" s="83">
        <v>0</v>
      </c>
      <c r="U67" s="83">
        <v>0</v>
      </c>
      <c r="V67" s="83">
        <v>44.470654630850603</v>
      </c>
      <c r="W67" s="83">
        <v>0</v>
      </c>
      <c r="X67" s="83">
        <v>0</v>
      </c>
      <c r="Y67" s="83">
        <v>0</v>
      </c>
      <c r="Z67" s="83">
        <v>0</v>
      </c>
      <c r="AA67" s="83">
        <v>63.707732184973729</v>
      </c>
      <c r="AB67" s="83">
        <v>74.097474685051125</v>
      </c>
      <c r="AC67" s="83">
        <v>83.968962045747048</v>
      </c>
      <c r="AD67" s="83">
        <v>94.822751593148269</v>
      </c>
      <c r="AE67" s="83">
        <v>98.332244324857342</v>
      </c>
      <c r="AF67" s="83">
        <v>95.158665625296365</v>
      </c>
      <c r="AG67" s="83">
        <v>92.058276210687382</v>
      </c>
      <c r="AH67" s="83">
        <v>90.427719843340057</v>
      </c>
      <c r="AI67" s="277">
        <v>88.712890452453678</v>
      </c>
      <c r="AJ67" s="277">
        <v>85.911151057890351</v>
      </c>
      <c r="AK67" s="277">
        <v>82.583224710948969</v>
      </c>
      <c r="AL67" s="277">
        <v>82.583224710948969</v>
      </c>
      <c r="AM67" s="83">
        <f t="shared" ref="AM67:AO72" si="7">AL67+(AN67-AL67)/2</f>
        <v>41.291612355474484</v>
      </c>
      <c r="AN67" s="83">
        <v>0</v>
      </c>
      <c r="AO67" s="83">
        <f t="shared" si="7"/>
        <v>0</v>
      </c>
      <c r="AP67" s="83">
        <v>0</v>
      </c>
      <c r="AQ67" s="83">
        <v>0</v>
      </c>
      <c r="AR67" s="83">
        <v>0</v>
      </c>
    </row>
    <row r="68" spans="1:45">
      <c r="A68" s="82" t="s">
        <v>182</v>
      </c>
      <c r="B68" s="83">
        <v>0</v>
      </c>
      <c r="C68" s="83">
        <v>0</v>
      </c>
      <c r="D68" s="83">
        <v>0.20043158804594469</v>
      </c>
      <c r="E68" s="83">
        <v>1.04947951151968</v>
      </c>
      <c r="F68" s="83">
        <v>2.968267963404331</v>
      </c>
      <c r="G68" s="83">
        <v>5.2023900159564676</v>
      </c>
      <c r="H68" s="83">
        <v>8.8209452190901896</v>
      </c>
      <c r="I68" s="83">
        <v>13.429262830237354</v>
      </c>
      <c r="J68" s="83">
        <v>22.447277570358064</v>
      </c>
      <c r="K68" s="83">
        <v>35.629320629624388</v>
      </c>
      <c r="L68" s="83">
        <v>58.951161164219279</v>
      </c>
      <c r="M68" s="83">
        <v>94.834202464236739</v>
      </c>
      <c r="N68" s="83">
        <v>143.90586531699958</v>
      </c>
      <c r="O68" s="83">
        <v>203.7524463587784</v>
      </c>
      <c r="P68" s="83">
        <v>298.03677565448595</v>
      </c>
      <c r="Q68" s="83">
        <v>364.66569147775641</v>
      </c>
      <c r="R68" s="83">
        <v>507.01978717061121</v>
      </c>
      <c r="S68" s="83">
        <v>647.16773901667125</v>
      </c>
      <c r="T68" s="83">
        <v>759.11186840197843</v>
      </c>
      <c r="U68" s="83">
        <v>862.43027449013312</v>
      </c>
      <c r="V68" s="83">
        <v>876.16013946122757</v>
      </c>
      <c r="W68" s="83">
        <v>1002.9425552017381</v>
      </c>
      <c r="X68" s="83">
        <v>1056.6755650429225</v>
      </c>
      <c r="Y68" s="83">
        <v>1109.7229082679189</v>
      </c>
      <c r="Z68" s="83">
        <v>1173.3944971705321</v>
      </c>
      <c r="AA68" s="83">
        <v>1141.3857546603601</v>
      </c>
      <c r="AB68" s="83">
        <v>1205.0740235263243</v>
      </c>
      <c r="AC68" s="83">
        <v>1253.9731434819287</v>
      </c>
      <c r="AD68" s="83">
        <v>1273.4451638598516</v>
      </c>
      <c r="AE68" s="83">
        <v>1265.4097350392367</v>
      </c>
      <c r="AF68" s="83">
        <v>1226.1323770676488</v>
      </c>
      <c r="AG68" s="83">
        <v>1179.3282286607025</v>
      </c>
      <c r="AH68" s="83">
        <v>1166.7327364016778</v>
      </c>
      <c r="AI68" s="277">
        <v>1150.8145517976773</v>
      </c>
      <c r="AJ68" s="277">
        <v>1115.1498744168957</v>
      </c>
      <c r="AK68" s="277">
        <v>1081.1678079156004</v>
      </c>
      <c r="AL68" s="277">
        <v>1046.7311763938274</v>
      </c>
      <c r="AM68" s="277">
        <f t="shared" si="7"/>
        <v>984.86146587692633</v>
      </c>
      <c r="AN68" s="277">
        <v>922.99175536002542</v>
      </c>
      <c r="AO68" s="277">
        <f t="shared" si="7"/>
        <v>848.16925715704861</v>
      </c>
      <c r="AP68" s="277">
        <v>773.3467589540719</v>
      </c>
      <c r="AQ68" s="277">
        <v>233.5299918027101</v>
      </c>
      <c r="AR68" s="277">
        <v>15.10217951061056</v>
      </c>
    </row>
    <row r="69" spans="1:45">
      <c r="A69" s="82" t="s">
        <v>184</v>
      </c>
      <c r="B69" s="83">
        <v>0</v>
      </c>
      <c r="C69" s="83">
        <v>0</v>
      </c>
      <c r="D69" s="83">
        <v>0</v>
      </c>
      <c r="E69" s="83">
        <v>2.4230673050172836E-2</v>
      </c>
      <c r="F69" s="83">
        <v>0.43785623947561159</v>
      </c>
      <c r="G69" s="83">
        <v>110.87172914259764</v>
      </c>
      <c r="H69" s="83">
        <v>125.17852926273754</v>
      </c>
      <c r="I69" s="83">
        <v>250.80724889519217</v>
      </c>
      <c r="J69" s="83">
        <v>472.54590983716992</v>
      </c>
      <c r="K69" s="83">
        <v>767.32293528926152</v>
      </c>
      <c r="L69" s="83">
        <v>1168.1667852575522</v>
      </c>
      <c r="M69" s="83">
        <v>2041.2131478613594</v>
      </c>
      <c r="N69" s="83">
        <v>2691.5845067571718</v>
      </c>
      <c r="O69" s="83">
        <v>3340.29780529546</v>
      </c>
      <c r="P69" s="83">
        <v>3988.4387585855379</v>
      </c>
      <c r="Q69" s="83">
        <v>4378.4052883635286</v>
      </c>
      <c r="R69" s="83">
        <v>5182.57083296574</v>
      </c>
      <c r="S69" s="83">
        <v>5728.4933179628269</v>
      </c>
      <c r="T69" s="83">
        <v>6186.8746934992887</v>
      </c>
      <c r="U69" s="83">
        <v>6670.3848859419722</v>
      </c>
      <c r="V69" s="83">
        <v>6818.3948494284869</v>
      </c>
      <c r="W69" s="83">
        <v>7215.3753866822772</v>
      </c>
      <c r="X69" s="83">
        <v>7249.3227990947989</v>
      </c>
      <c r="Y69" s="83">
        <v>7105.856416626385</v>
      </c>
      <c r="Z69" s="83">
        <v>6858.1369330874095</v>
      </c>
      <c r="AA69" s="83">
        <v>6906.9566434989129</v>
      </c>
      <c r="AB69" s="83">
        <v>6641.8727227625868</v>
      </c>
      <c r="AC69" s="83">
        <v>6255.0865449408075</v>
      </c>
      <c r="AD69" s="83">
        <v>5678.6410584582045</v>
      </c>
      <c r="AE69" s="83">
        <v>4868.7687949645815</v>
      </c>
      <c r="AF69" s="83">
        <v>4157.9231774930076</v>
      </c>
      <c r="AG69" s="83">
        <v>3617.5992757306622</v>
      </c>
      <c r="AH69" s="83">
        <v>3122.0132468685174</v>
      </c>
      <c r="AI69" s="277">
        <v>2703.6091166765073</v>
      </c>
      <c r="AJ69" s="277">
        <v>2381.7689599042269</v>
      </c>
      <c r="AK69" s="277">
        <v>2062.1079926993834</v>
      </c>
      <c r="AL69" s="277">
        <v>1880.2886256710763</v>
      </c>
      <c r="AM69" s="277">
        <f t="shared" si="7"/>
        <v>1571.2596709445766</v>
      </c>
      <c r="AN69" s="277">
        <v>1262.2307162180769</v>
      </c>
      <c r="AO69" s="277">
        <f t="shared" si="7"/>
        <v>1137.4094691595558</v>
      </c>
      <c r="AP69" s="277">
        <v>1012.5882221010347</v>
      </c>
      <c r="AQ69" s="277">
        <v>226.94816826088845</v>
      </c>
      <c r="AR69" s="277">
        <v>-40.706237644433216</v>
      </c>
    </row>
    <row r="70" spans="1:45" ht="36">
      <c r="A70" s="82" t="s">
        <v>183</v>
      </c>
      <c r="B70" s="83">
        <v>16.807510660424491</v>
      </c>
      <c r="C70" s="83">
        <v>17.163927327091159</v>
      </c>
      <c r="D70" s="83">
        <v>17.520343993757827</v>
      </c>
      <c r="E70" s="83">
        <v>17.876760660424491</v>
      </c>
      <c r="F70" s="83">
        <v>142.12660150335063</v>
      </c>
      <c r="G70" s="83">
        <v>305.58626998156922</v>
      </c>
      <c r="H70" s="83">
        <v>577.9746723805797</v>
      </c>
      <c r="I70" s="83">
        <v>711.63786152882653</v>
      </c>
      <c r="J70" s="83">
        <v>714.21432150472663</v>
      </c>
      <c r="K70" s="83">
        <v>716.60908684857088</v>
      </c>
      <c r="L70" s="83">
        <v>695.10165328065648</v>
      </c>
      <c r="M70" s="83">
        <v>675.85947723326444</v>
      </c>
      <c r="N70" s="83">
        <v>670.65037005436989</v>
      </c>
      <c r="O70" s="83">
        <v>705.43935688468878</v>
      </c>
      <c r="P70" s="83">
        <v>644.95195385417378</v>
      </c>
      <c r="Q70" s="83">
        <v>648.64788856538894</v>
      </c>
      <c r="R70" s="83">
        <v>652.3538622663109</v>
      </c>
      <c r="S70" s="83">
        <v>650.83288448102257</v>
      </c>
      <c r="T70" s="83">
        <v>653.12051203841941</v>
      </c>
      <c r="U70" s="83">
        <v>625.07337026099185</v>
      </c>
      <c r="V70" s="83">
        <v>646.29575339303358</v>
      </c>
      <c r="W70" s="83">
        <v>676.40633485398212</v>
      </c>
      <c r="X70" s="83">
        <v>613.61246830176901</v>
      </c>
      <c r="Y70" s="83">
        <v>569.22862035520075</v>
      </c>
      <c r="Z70" s="83">
        <v>569.67458931176179</v>
      </c>
      <c r="AA70" s="83">
        <v>566.87421113883408</v>
      </c>
      <c r="AB70" s="83">
        <v>563.65203391110515</v>
      </c>
      <c r="AC70" s="83">
        <v>564.31749264202017</v>
      </c>
      <c r="AD70" s="83">
        <v>365.10455514577114</v>
      </c>
      <c r="AE70" s="83">
        <v>130.41359978499634</v>
      </c>
      <c r="AF70" s="83">
        <v>75.13930441036058</v>
      </c>
      <c r="AG70" s="83">
        <v>77.32051055513827</v>
      </c>
      <c r="AH70" s="83">
        <v>75.50711563347997</v>
      </c>
      <c r="AI70" s="277">
        <v>74.238690288271755</v>
      </c>
      <c r="AJ70" s="277">
        <v>70.17199934197879</v>
      </c>
      <c r="AK70" s="277">
        <v>70.17199934197879</v>
      </c>
      <c r="AL70" s="277">
        <v>68.624064983201762</v>
      </c>
      <c r="AM70" s="277">
        <f t="shared" si="7"/>
        <v>68.253412652226132</v>
      </c>
      <c r="AN70" s="277">
        <v>67.882760321250515</v>
      </c>
      <c r="AO70" s="277">
        <f t="shared" si="7"/>
        <v>61.983802372483126</v>
      </c>
      <c r="AP70" s="277">
        <v>56.084844423715737</v>
      </c>
      <c r="AQ70" s="277">
        <v>44.640602368278017</v>
      </c>
      <c r="AR70" s="277">
        <v>41.538128052971203</v>
      </c>
    </row>
    <row r="71" spans="1:45" ht="36">
      <c r="A71" s="82" t="s">
        <v>285</v>
      </c>
      <c r="B71" s="83">
        <v>14.24909411143094</v>
      </c>
      <c r="C71" s="83">
        <v>14.338150949627382</v>
      </c>
      <c r="D71" s="83">
        <v>14.427207787823829</v>
      </c>
      <c r="E71" s="83">
        <v>14.516264626020266</v>
      </c>
      <c r="F71" s="83">
        <v>14.605321464216711</v>
      </c>
      <c r="G71" s="83">
        <v>14.694378302413156</v>
      </c>
      <c r="H71" s="83">
        <v>14.126393578804731</v>
      </c>
      <c r="I71" s="83">
        <v>13.550492691801065</v>
      </c>
      <c r="J71" s="83">
        <v>12.966675641402157</v>
      </c>
      <c r="K71" s="83">
        <v>12.609451130808328</v>
      </c>
      <c r="L71" s="83">
        <v>12.252226620214499</v>
      </c>
      <c r="M71" s="83">
        <v>11.89500210962067</v>
      </c>
      <c r="N71" s="83">
        <v>11.537777599026843</v>
      </c>
      <c r="O71" s="83">
        <v>11.180553088433014</v>
      </c>
      <c r="P71" s="83">
        <v>10.823328577839183</v>
      </c>
      <c r="Q71" s="83">
        <v>10.466104067245357</v>
      </c>
      <c r="R71" s="83">
        <v>10.25251606501042</v>
      </c>
      <c r="S71" s="83">
        <v>10.038928062775481</v>
      </c>
      <c r="T71" s="83">
        <v>9.8138949665442023</v>
      </c>
      <c r="U71" s="83">
        <v>9.5538053914496199</v>
      </c>
      <c r="V71" s="83">
        <v>8.1224691693240381</v>
      </c>
      <c r="W71" s="83">
        <v>6.7817718697042322</v>
      </c>
      <c r="X71" s="83">
        <v>6.6670653055773803</v>
      </c>
      <c r="Y71" s="83">
        <v>6.1592874396737933</v>
      </c>
      <c r="Z71" s="83">
        <v>5.2819341177590964</v>
      </c>
      <c r="AA71" s="83">
        <v>5.7302746572451859</v>
      </c>
      <c r="AB71" s="83">
        <v>5.7878063203624981</v>
      </c>
      <c r="AC71" s="83">
        <v>5.0099905527485875</v>
      </c>
      <c r="AD71" s="83">
        <v>5.3377112776752185</v>
      </c>
      <c r="AE71" s="83">
        <v>4.9576042920177779</v>
      </c>
      <c r="AF71" s="83">
        <v>4.9991293046396628</v>
      </c>
      <c r="AG71" s="83">
        <v>4.646764161224433</v>
      </c>
      <c r="AH71" s="83">
        <v>4.1541370080157174</v>
      </c>
      <c r="AI71" s="277">
        <v>4.2385930303567338</v>
      </c>
      <c r="AJ71" s="277">
        <v>2.2896989003546731</v>
      </c>
      <c r="AK71" s="277">
        <v>2.2896989003546731</v>
      </c>
      <c r="AL71" s="277">
        <v>2.2799291270181934</v>
      </c>
      <c r="AM71" s="277">
        <f t="shared" si="7"/>
        <v>3.2630423607020167</v>
      </c>
      <c r="AN71" s="277">
        <v>4.24615559438584</v>
      </c>
      <c r="AO71" s="277">
        <f t="shared" si="7"/>
        <v>4.24615559438584</v>
      </c>
      <c r="AP71" s="277">
        <v>4.24615559438584</v>
      </c>
      <c r="AQ71" s="83">
        <v>0</v>
      </c>
      <c r="AR71" s="83">
        <v>0</v>
      </c>
    </row>
    <row r="72" spans="1:45" ht="24">
      <c r="A72" s="101" t="s">
        <v>346</v>
      </c>
      <c r="B72" s="83">
        <v>31.056604771855433</v>
      </c>
      <c r="C72" s="83">
        <v>31.502078276718542</v>
      </c>
      <c r="D72" s="83">
        <v>32.147983369627596</v>
      </c>
      <c r="E72" s="83">
        <v>33.466735471014609</v>
      </c>
      <c r="F72" s="83">
        <v>160.13804717044727</v>
      </c>
      <c r="G72" s="83">
        <v>436.35476744253651</v>
      </c>
      <c r="H72" s="83">
        <v>726.10054044121216</v>
      </c>
      <c r="I72" s="83">
        <v>989.42486594605714</v>
      </c>
      <c r="J72" s="83">
        <v>1222.1741845536567</v>
      </c>
      <c r="K72" s="83">
        <v>1532.1707938982652</v>
      </c>
      <c r="L72" s="83">
        <v>1934.4718263226423</v>
      </c>
      <c r="M72" s="83">
        <v>2823.8018296684813</v>
      </c>
      <c r="N72" s="83">
        <v>3517.6785197275681</v>
      </c>
      <c r="O72" s="83">
        <v>4260.6701616273604</v>
      </c>
      <c r="P72" s="83">
        <v>4942.2508166720363</v>
      </c>
      <c r="Q72" s="83">
        <v>5410.5799185375217</v>
      </c>
      <c r="R72" s="83">
        <v>6352.1969984676725</v>
      </c>
      <c r="S72" s="83">
        <v>7036.5328695232965</v>
      </c>
      <c r="T72" s="83">
        <v>7608.9209689062309</v>
      </c>
      <c r="U72" s="83">
        <v>8167.4423360845467</v>
      </c>
      <c r="V72" s="83">
        <v>8393.4438660829219</v>
      </c>
      <c r="W72" s="83">
        <v>8901.5060486077018</v>
      </c>
      <c r="X72" s="83">
        <v>8926.2778977450689</v>
      </c>
      <c r="Y72" s="83">
        <v>8790.9672326891796</v>
      </c>
      <c r="Z72" s="83">
        <v>8606.4879536874614</v>
      </c>
      <c r="AA72" s="83">
        <v>8684.6546161403276</v>
      </c>
      <c r="AB72" s="83">
        <v>8490.4840612054304</v>
      </c>
      <c r="AC72" s="83">
        <v>8162.3561336632511</v>
      </c>
      <c r="AD72" s="83">
        <v>7417.3512403346504</v>
      </c>
      <c r="AE72" s="83">
        <v>6367.8819784056896</v>
      </c>
      <c r="AF72" s="83">
        <v>5559.3526539009536</v>
      </c>
      <c r="AG72" s="83">
        <v>4970.953055318414</v>
      </c>
      <c r="AH72" s="83">
        <v>4458.8349557550309</v>
      </c>
      <c r="AI72" s="277">
        <v>4021.6138422452664</v>
      </c>
      <c r="AJ72" s="277">
        <v>3655.2916836213467</v>
      </c>
      <c r="AK72" s="277">
        <v>3298.3207235682662</v>
      </c>
      <c r="AL72" s="277">
        <v>3080.507020886073</v>
      </c>
      <c r="AM72" s="277">
        <f t="shared" si="7"/>
        <v>2668.9292041899062</v>
      </c>
      <c r="AN72" s="277">
        <v>2257.3513874937389</v>
      </c>
      <c r="AO72" s="277">
        <f t="shared" si="7"/>
        <v>2051.8086842834737</v>
      </c>
      <c r="AP72" s="277">
        <v>1846.265981073208</v>
      </c>
      <c r="AQ72" s="277">
        <v>505.11876243187658</v>
      </c>
      <c r="AR72" s="277">
        <v>15.93406991914855</v>
      </c>
    </row>
    <row r="73" spans="1:45">
      <c r="A73" s="103" t="s">
        <v>286</v>
      </c>
      <c r="B73" s="104">
        <v>146.91718848912814</v>
      </c>
      <c r="C73" s="104">
        <v>147.39537731245835</v>
      </c>
      <c r="D73" s="104">
        <v>148.07955371755185</v>
      </c>
      <c r="E73" s="104">
        <v>149.44064918695256</v>
      </c>
      <c r="F73" s="104">
        <v>310.35015690689966</v>
      </c>
      <c r="G73" s="104">
        <v>807.1173933036456</v>
      </c>
      <c r="H73" s="104">
        <v>1463.144064772564</v>
      </c>
      <c r="I73" s="104">
        <v>1910.3126205355929</v>
      </c>
      <c r="J73" s="104">
        <v>2135.3668571255425</v>
      </c>
      <c r="K73" s="104">
        <v>2417.1928058756639</v>
      </c>
      <c r="L73" s="104">
        <v>3052.7633193742204</v>
      </c>
      <c r="M73" s="104">
        <v>3903.3812074376751</v>
      </c>
      <c r="N73" s="104">
        <v>4630.9752365135346</v>
      </c>
      <c r="O73" s="104">
        <v>5522.6760288277974</v>
      </c>
      <c r="P73" s="104">
        <v>6390.9338534367989</v>
      </c>
      <c r="Q73" s="104">
        <v>6998.6388898544337</v>
      </c>
      <c r="R73" s="104">
        <v>8024.3040049739448</v>
      </c>
      <c r="S73" s="104">
        <v>8789.8753982998605</v>
      </c>
      <c r="T73" s="104">
        <v>9452.1136132857337</v>
      </c>
      <c r="U73" s="104">
        <v>9714.0647765832837</v>
      </c>
      <c r="V73" s="104">
        <v>10128.211364781</v>
      </c>
      <c r="W73" s="104">
        <v>10696.679780752715</v>
      </c>
      <c r="X73" s="104">
        <v>10727.102463764644</v>
      </c>
      <c r="Y73" s="104">
        <v>10632.679174633467</v>
      </c>
      <c r="Z73" s="104">
        <v>10573.424959070777</v>
      </c>
      <c r="AA73" s="104">
        <v>10802.984437045076</v>
      </c>
      <c r="AB73" s="104">
        <v>10723.618765572559</v>
      </c>
      <c r="AC73" s="104">
        <v>10424.512972809471</v>
      </c>
      <c r="AD73" s="104">
        <v>9470.7609260312129</v>
      </c>
      <c r="AE73" s="104">
        <v>8142.7249774688944</v>
      </c>
      <c r="AF73" s="104">
        <v>7268.9118478383589</v>
      </c>
      <c r="AG73" s="104">
        <v>6640.9965052319913</v>
      </c>
      <c r="AH73" s="104">
        <v>6143.3474655585833</v>
      </c>
      <c r="AI73" s="104">
        <v>5736.0218353747869</v>
      </c>
      <c r="AJ73" s="104">
        <v>5374.3626296367875</v>
      </c>
      <c r="AK73" s="104">
        <v>4991.7671489912309</v>
      </c>
      <c r="AL73" s="138">
        <v>4739.4762535406262</v>
      </c>
      <c r="AM73" s="138">
        <f>AM66+AM67+SUM(AM68:AM71)</f>
        <v>4141.4665418926925</v>
      </c>
      <c r="AN73" s="138">
        <v>3543.456830244761</v>
      </c>
      <c r="AO73" s="138">
        <f>AO66+AO67+SUM(AO68:AO71)</f>
        <v>3276.2481233573953</v>
      </c>
      <c r="AP73" s="138">
        <v>3009.0394164700306</v>
      </c>
      <c r="AQ73" s="138">
        <v>1135.1826049888375</v>
      </c>
      <c r="AR73" s="138">
        <v>478.78076448521239</v>
      </c>
    </row>
    <row r="74" spans="1:45" ht="15">
      <c r="A74" s="500"/>
      <c r="B74" s="500"/>
      <c r="C74" s="500"/>
      <c r="D74" s="500"/>
      <c r="E74" s="500"/>
      <c r="F74" s="500"/>
      <c r="G74" s="500"/>
      <c r="H74" s="500"/>
      <c r="I74" s="500"/>
      <c r="J74" s="500"/>
      <c r="K74" s="500"/>
      <c r="L74" s="500"/>
      <c r="M74" s="500"/>
      <c r="N74" s="500"/>
      <c r="O74" s="500"/>
      <c r="P74" s="500"/>
      <c r="Q74" s="500"/>
      <c r="R74" s="500"/>
      <c r="S74" s="500"/>
      <c r="T74" s="500"/>
      <c r="U74" s="500"/>
      <c r="V74" s="500"/>
      <c r="W74" s="500"/>
      <c r="X74" s="500"/>
      <c r="Y74" s="500"/>
      <c r="Z74" s="500"/>
      <c r="AA74" s="500"/>
      <c r="AB74" s="500"/>
      <c r="AC74" s="61"/>
      <c r="AD74" s="61"/>
      <c r="AE74" s="61"/>
      <c r="AF74" s="61"/>
      <c r="AG74" s="61"/>
      <c r="AH74" s="61"/>
    </row>
    <row r="75" spans="1:45">
      <c r="A75" s="105" t="s">
        <v>268</v>
      </c>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505" t="s">
        <v>262</v>
      </c>
      <c r="AM75" s="505"/>
      <c r="AN75" s="505"/>
      <c r="AO75" s="505"/>
      <c r="AP75" s="505"/>
      <c r="AQ75" s="505"/>
      <c r="AR75" s="505"/>
    </row>
    <row r="76" spans="1:45" ht="52.8">
      <c r="A76" s="66" t="s">
        <v>613</v>
      </c>
      <c r="B76" s="393">
        <v>1990</v>
      </c>
      <c r="C76" s="393">
        <v>1991</v>
      </c>
      <c r="D76" s="393">
        <v>1992</v>
      </c>
      <c r="E76" s="393">
        <v>1993</v>
      </c>
      <c r="F76" s="393">
        <v>1994</v>
      </c>
      <c r="G76" s="393">
        <v>1995</v>
      </c>
      <c r="H76" s="393">
        <v>1996</v>
      </c>
      <c r="I76" s="393">
        <v>1997</v>
      </c>
      <c r="J76" s="393">
        <v>1998</v>
      </c>
      <c r="K76" s="393">
        <v>1999</v>
      </c>
      <c r="L76" s="393">
        <v>2000</v>
      </c>
      <c r="M76" s="393">
        <v>2001</v>
      </c>
      <c r="N76" s="393">
        <v>2002</v>
      </c>
      <c r="O76" s="393">
        <v>2003</v>
      </c>
      <c r="P76" s="393">
        <v>2004</v>
      </c>
      <c r="Q76" s="393">
        <v>2005</v>
      </c>
      <c r="R76" s="393">
        <v>2006</v>
      </c>
      <c r="S76" s="393">
        <v>2007</v>
      </c>
      <c r="T76" s="393">
        <v>2008</v>
      </c>
      <c r="U76" s="393">
        <v>2009</v>
      </c>
      <c r="V76" s="393">
        <v>2010</v>
      </c>
      <c r="W76" s="393">
        <v>2011</v>
      </c>
      <c r="X76" s="393">
        <v>2012</v>
      </c>
      <c r="Y76" s="393">
        <v>2013</v>
      </c>
      <c r="Z76" s="393">
        <v>2014</v>
      </c>
      <c r="AA76" s="393">
        <v>2015</v>
      </c>
      <c r="AB76" s="393">
        <v>2016</v>
      </c>
      <c r="AC76" s="393">
        <v>2017</v>
      </c>
      <c r="AD76" s="393">
        <v>2018</v>
      </c>
      <c r="AE76" s="393">
        <v>2019</v>
      </c>
      <c r="AF76" s="393">
        <v>2020</v>
      </c>
      <c r="AG76" s="397">
        <v>2021</v>
      </c>
      <c r="AH76" s="397">
        <v>2022</v>
      </c>
      <c r="AI76" s="393">
        <v>2023</v>
      </c>
      <c r="AJ76" s="394">
        <v>2024</v>
      </c>
      <c r="AK76" s="393">
        <v>2025</v>
      </c>
      <c r="AL76" s="394">
        <v>2026</v>
      </c>
      <c r="AM76" s="394">
        <v>2027</v>
      </c>
      <c r="AN76" s="393">
        <v>2028</v>
      </c>
      <c r="AO76" s="394">
        <v>2029</v>
      </c>
      <c r="AP76" s="393">
        <v>2030</v>
      </c>
      <c r="AQ76" s="393">
        <v>2040</v>
      </c>
      <c r="AR76" s="393">
        <v>2050</v>
      </c>
    </row>
    <row r="77" spans="1:45">
      <c r="A77" s="91" t="s">
        <v>217</v>
      </c>
      <c r="B77" s="83">
        <v>0</v>
      </c>
      <c r="C77" s="83">
        <v>0</v>
      </c>
      <c r="D77" s="83">
        <v>0</v>
      </c>
      <c r="E77" s="83">
        <v>0</v>
      </c>
      <c r="F77" s="83">
        <v>0</v>
      </c>
      <c r="G77" s="83">
        <v>0</v>
      </c>
      <c r="H77" s="83">
        <v>0</v>
      </c>
      <c r="I77" s="83">
        <v>0</v>
      </c>
      <c r="J77" s="83">
        <v>0</v>
      </c>
      <c r="K77" s="83">
        <v>0</v>
      </c>
      <c r="L77" s="83">
        <v>0</v>
      </c>
      <c r="M77" s="83">
        <v>0</v>
      </c>
      <c r="N77" s="83">
        <v>0</v>
      </c>
      <c r="O77" s="83">
        <v>0</v>
      </c>
      <c r="P77" s="83">
        <v>0</v>
      </c>
      <c r="Q77" s="83">
        <v>0</v>
      </c>
      <c r="R77" s="83">
        <v>0</v>
      </c>
      <c r="S77" s="83">
        <v>0</v>
      </c>
      <c r="T77" s="83">
        <v>0</v>
      </c>
      <c r="U77" s="83">
        <v>0</v>
      </c>
      <c r="V77" s="83">
        <v>0</v>
      </c>
      <c r="W77" s="83">
        <v>0</v>
      </c>
      <c r="X77" s="83">
        <v>0</v>
      </c>
      <c r="Y77" s="83">
        <v>0</v>
      </c>
      <c r="Z77" s="83">
        <v>0</v>
      </c>
      <c r="AA77" s="83">
        <v>0</v>
      </c>
      <c r="AB77" s="83">
        <v>0</v>
      </c>
      <c r="AC77" s="83">
        <v>0</v>
      </c>
      <c r="AD77" s="83">
        <v>0</v>
      </c>
      <c r="AE77" s="83">
        <v>0</v>
      </c>
      <c r="AF77" s="83">
        <v>0</v>
      </c>
      <c r="AG77" s="83">
        <v>0</v>
      </c>
      <c r="AH77" s="83">
        <v>0</v>
      </c>
      <c r="AI77" s="83">
        <v>0</v>
      </c>
      <c r="AJ77" s="83">
        <v>0</v>
      </c>
      <c r="AK77" s="83">
        <v>0</v>
      </c>
      <c r="AL77" s="83">
        <v>0</v>
      </c>
      <c r="AM77" s="83">
        <f>AL77+(AN77-AL77)/2</f>
        <v>0</v>
      </c>
      <c r="AN77" s="83">
        <v>0</v>
      </c>
      <c r="AO77" s="83">
        <f>AN77+(AP77-AN77)/2</f>
        <v>0</v>
      </c>
      <c r="AP77" s="83">
        <v>0</v>
      </c>
      <c r="AQ77" s="83">
        <v>0</v>
      </c>
      <c r="AR77" s="83">
        <v>0</v>
      </c>
      <c r="AS77" s="390"/>
    </row>
    <row r="78" spans="1:45">
      <c r="A78" s="91" t="s">
        <v>218</v>
      </c>
      <c r="B78" s="83">
        <v>0</v>
      </c>
      <c r="C78" s="83">
        <v>0</v>
      </c>
      <c r="D78" s="83">
        <v>0</v>
      </c>
      <c r="E78" s="83">
        <v>0</v>
      </c>
      <c r="F78" s="83">
        <v>0</v>
      </c>
      <c r="G78" s="83">
        <v>0</v>
      </c>
      <c r="H78" s="83">
        <v>0</v>
      </c>
      <c r="I78" s="83">
        <v>0</v>
      </c>
      <c r="J78" s="83">
        <v>0</v>
      </c>
      <c r="K78" s="83">
        <v>0</v>
      </c>
      <c r="L78" s="83">
        <v>0</v>
      </c>
      <c r="M78" s="83">
        <v>0</v>
      </c>
      <c r="N78" s="83">
        <v>0</v>
      </c>
      <c r="O78" s="83">
        <v>0</v>
      </c>
      <c r="P78" s="83">
        <v>0</v>
      </c>
      <c r="Q78" s="83">
        <v>0</v>
      </c>
      <c r="R78" s="83">
        <v>0</v>
      </c>
      <c r="S78" s="83">
        <v>0</v>
      </c>
      <c r="T78" s="83">
        <v>0</v>
      </c>
      <c r="U78" s="83">
        <v>0</v>
      </c>
      <c r="V78" s="83">
        <v>0</v>
      </c>
      <c r="W78" s="83">
        <v>0</v>
      </c>
      <c r="X78" s="83">
        <v>0</v>
      </c>
      <c r="Y78" s="83">
        <v>0</v>
      </c>
      <c r="Z78" s="83">
        <v>0</v>
      </c>
      <c r="AA78" s="83">
        <v>0</v>
      </c>
      <c r="AB78" s="83">
        <v>0</v>
      </c>
      <c r="AC78" s="83">
        <v>0</v>
      </c>
      <c r="AD78" s="83">
        <v>0</v>
      </c>
      <c r="AE78" s="83">
        <v>0</v>
      </c>
      <c r="AF78" s="83">
        <v>0</v>
      </c>
      <c r="AG78" s="83">
        <v>0</v>
      </c>
      <c r="AH78" s="83">
        <v>0</v>
      </c>
      <c r="AI78" s="83">
        <v>0</v>
      </c>
      <c r="AJ78" s="83">
        <v>0</v>
      </c>
      <c r="AK78" s="83">
        <v>0</v>
      </c>
      <c r="AL78" s="83">
        <v>0</v>
      </c>
      <c r="AM78" s="83">
        <f>AL78+(AN78-AL78)/2</f>
        <v>0</v>
      </c>
      <c r="AN78" s="83">
        <v>0</v>
      </c>
      <c r="AO78" s="83">
        <f>AN78+(AP78-AN78)/2</f>
        <v>0</v>
      </c>
      <c r="AP78" s="83">
        <v>0</v>
      </c>
      <c r="AQ78" s="83">
        <v>0</v>
      </c>
      <c r="AR78" s="83">
        <v>0</v>
      </c>
    </row>
    <row r="79" spans="1:45">
      <c r="A79" s="91" t="s">
        <v>219</v>
      </c>
      <c r="B79" s="83">
        <v>0</v>
      </c>
      <c r="C79" s="83">
        <v>0</v>
      </c>
      <c r="D79" s="83">
        <v>0</v>
      </c>
      <c r="E79" s="83">
        <v>0</v>
      </c>
      <c r="F79" s="83">
        <v>0</v>
      </c>
      <c r="G79" s="83">
        <v>0</v>
      </c>
      <c r="H79" s="83">
        <v>0</v>
      </c>
      <c r="I79" s="83">
        <v>0</v>
      </c>
      <c r="J79" s="83">
        <v>0</v>
      </c>
      <c r="K79" s="83">
        <v>0</v>
      </c>
      <c r="L79" s="83">
        <v>0</v>
      </c>
      <c r="M79" s="83">
        <v>0</v>
      </c>
      <c r="N79" s="83">
        <v>0</v>
      </c>
      <c r="O79" s="83">
        <v>0</v>
      </c>
      <c r="P79" s="83">
        <v>0</v>
      </c>
      <c r="Q79" s="83">
        <v>0</v>
      </c>
      <c r="R79" s="83">
        <v>0</v>
      </c>
      <c r="S79" s="83">
        <v>0</v>
      </c>
      <c r="T79" s="83">
        <v>0</v>
      </c>
      <c r="U79" s="83">
        <v>0</v>
      </c>
      <c r="V79" s="83">
        <v>0</v>
      </c>
      <c r="W79" s="83">
        <v>0</v>
      </c>
      <c r="X79" s="83">
        <v>0</v>
      </c>
      <c r="Y79" s="83">
        <v>0</v>
      </c>
      <c r="Z79" s="83">
        <v>0</v>
      </c>
      <c r="AA79" s="83">
        <v>0</v>
      </c>
      <c r="AB79" s="83">
        <v>0</v>
      </c>
      <c r="AC79" s="83">
        <v>0</v>
      </c>
      <c r="AD79" s="83">
        <v>0</v>
      </c>
      <c r="AE79" s="83">
        <v>0</v>
      </c>
      <c r="AF79" s="83">
        <v>0</v>
      </c>
      <c r="AG79" s="83">
        <v>0</v>
      </c>
      <c r="AH79" s="83">
        <v>0</v>
      </c>
      <c r="AI79" s="83">
        <v>0</v>
      </c>
      <c r="AJ79" s="83">
        <v>0</v>
      </c>
      <c r="AK79" s="83">
        <v>0</v>
      </c>
      <c r="AL79" s="83">
        <v>0</v>
      </c>
      <c r="AM79" s="83">
        <f>AL79+(AN79-AL79)/2</f>
        <v>0</v>
      </c>
      <c r="AN79" s="83">
        <v>0</v>
      </c>
      <c r="AO79" s="83">
        <f>AN79+(AP79-AN79)/2</f>
        <v>0</v>
      </c>
      <c r="AP79" s="83">
        <v>0</v>
      </c>
      <c r="AQ79" s="83">
        <v>0</v>
      </c>
      <c r="AR79" s="83">
        <v>0</v>
      </c>
    </row>
    <row r="80" spans="1:45">
      <c r="A80" s="91" t="s">
        <v>220</v>
      </c>
      <c r="B80" s="83">
        <v>0</v>
      </c>
      <c r="C80" s="83">
        <v>0</v>
      </c>
      <c r="D80" s="83">
        <v>0</v>
      </c>
      <c r="E80" s="83">
        <v>0</v>
      </c>
      <c r="F80" s="83">
        <v>0</v>
      </c>
      <c r="G80" s="83">
        <v>0</v>
      </c>
      <c r="H80" s="83">
        <v>0</v>
      </c>
      <c r="I80" s="83">
        <v>0</v>
      </c>
      <c r="J80" s="83">
        <v>0</v>
      </c>
      <c r="K80" s="83">
        <v>0.43939614133729221</v>
      </c>
      <c r="L80" s="83">
        <v>3.0185413602463078</v>
      </c>
      <c r="M80" s="83">
        <v>4.5907838204070996</v>
      </c>
      <c r="N80" s="83">
        <v>8.4686082674222476</v>
      </c>
      <c r="O80" s="83">
        <v>9.4380267530107336</v>
      </c>
      <c r="P80" s="83">
        <v>9.5757081498966183</v>
      </c>
      <c r="Q80" s="83">
        <v>11.43360627490385</v>
      </c>
      <c r="R80" s="83">
        <v>10.752921060658661</v>
      </c>
      <c r="S80" s="83">
        <v>11.917089989918495</v>
      </c>
      <c r="T80" s="83">
        <v>15.115500608523709</v>
      </c>
      <c r="U80" s="83">
        <v>18.667165029846768</v>
      </c>
      <c r="V80" s="83">
        <v>21.985613715236493</v>
      </c>
      <c r="W80" s="83">
        <v>24.106689131287233</v>
      </c>
      <c r="X80" s="83">
        <v>24.000846379390154</v>
      </c>
      <c r="Y80" s="83">
        <v>23.442749326910924</v>
      </c>
      <c r="Z80" s="83">
        <v>24.575731297344479</v>
      </c>
      <c r="AA80" s="83">
        <v>24.490702212638578</v>
      </c>
      <c r="AB80" s="83">
        <v>25.172160534125116</v>
      </c>
      <c r="AC80" s="83">
        <v>29.043221421922517</v>
      </c>
      <c r="AD80" s="83">
        <v>29.586404856597959</v>
      </c>
      <c r="AE80" s="83">
        <v>28.089555017497371</v>
      </c>
      <c r="AF80" s="83">
        <v>28.580728929007361</v>
      </c>
      <c r="AG80" s="83">
        <v>25.819649081984103</v>
      </c>
      <c r="AH80" s="83">
        <v>23.123774116401311</v>
      </c>
      <c r="AI80" s="277">
        <v>21.71497604373528</v>
      </c>
      <c r="AJ80" s="277">
        <v>23.688991342396431</v>
      </c>
      <c r="AK80" s="277">
        <v>24.674388187187102</v>
      </c>
      <c r="AL80" s="277">
        <v>23.665964876513382</v>
      </c>
      <c r="AM80" s="277">
        <f>AL80+(AN80-AL80)/2</f>
        <v>38.018091102872496</v>
      </c>
      <c r="AN80" s="277">
        <v>52.370217329231615</v>
      </c>
      <c r="AO80" s="277">
        <f>AN80+(AP80-AN80)/2</f>
        <v>50.805901816166966</v>
      </c>
      <c r="AP80" s="277">
        <v>49.241586303102324</v>
      </c>
      <c r="AQ80" s="277">
        <v>33.030644946723413</v>
      </c>
      <c r="AR80" s="277">
        <v>11.514196058648256</v>
      </c>
    </row>
    <row r="81" spans="1:45">
      <c r="A81" s="107" t="s">
        <v>287</v>
      </c>
      <c r="B81" s="108">
        <v>0</v>
      </c>
      <c r="C81" s="108">
        <v>0</v>
      </c>
      <c r="D81" s="108">
        <v>0</v>
      </c>
      <c r="E81" s="108">
        <v>0</v>
      </c>
      <c r="F81" s="108">
        <v>0</v>
      </c>
      <c r="G81" s="108">
        <v>0</v>
      </c>
      <c r="H81" s="108">
        <v>0</v>
      </c>
      <c r="I81" s="108">
        <v>0</v>
      </c>
      <c r="J81" s="108">
        <v>0</v>
      </c>
      <c r="K81" s="108">
        <v>0.43939614133729221</v>
      </c>
      <c r="L81" s="108">
        <v>3.0185413602463078</v>
      </c>
      <c r="M81" s="108">
        <v>4.5907838204070996</v>
      </c>
      <c r="N81" s="108">
        <v>8.4686082674222476</v>
      </c>
      <c r="O81" s="108">
        <v>9.4380267530107336</v>
      </c>
      <c r="P81" s="108">
        <v>9.5757081498966183</v>
      </c>
      <c r="Q81" s="108">
        <v>11.43360627490385</v>
      </c>
      <c r="R81" s="108">
        <v>10.752921060658661</v>
      </c>
      <c r="S81" s="108">
        <v>11.917089989918495</v>
      </c>
      <c r="T81" s="108">
        <v>15.115500608523709</v>
      </c>
      <c r="U81" s="108">
        <v>18.667165029846768</v>
      </c>
      <c r="V81" s="108">
        <v>21.985613715236493</v>
      </c>
      <c r="W81" s="108">
        <v>24.106689131287233</v>
      </c>
      <c r="X81" s="108">
        <v>24.000846379390154</v>
      </c>
      <c r="Y81" s="108">
        <v>23.442749326910924</v>
      </c>
      <c r="Z81" s="108">
        <v>24.575731297344479</v>
      </c>
      <c r="AA81" s="108">
        <v>24.490702212638578</v>
      </c>
      <c r="AB81" s="108">
        <v>25.172160534125116</v>
      </c>
      <c r="AC81" s="108">
        <v>29.043221421922517</v>
      </c>
      <c r="AD81" s="108">
        <v>29.586404856597959</v>
      </c>
      <c r="AE81" s="108">
        <v>28.089555017497371</v>
      </c>
      <c r="AF81" s="108">
        <v>28.580728929007361</v>
      </c>
      <c r="AG81" s="108">
        <v>25.819649081984103</v>
      </c>
      <c r="AH81" s="108">
        <v>23.123774116401311</v>
      </c>
      <c r="AI81" s="281">
        <v>21.71497604373528</v>
      </c>
      <c r="AJ81" s="281">
        <v>23.688991342396431</v>
      </c>
      <c r="AK81" s="281">
        <v>24.674388187187102</v>
      </c>
      <c r="AL81" s="281">
        <v>23.665964876513382</v>
      </c>
      <c r="AM81" s="281">
        <f>SUM(AM77:AM80)</f>
        <v>38.018091102872496</v>
      </c>
      <c r="AN81" s="281">
        <v>52.370217329231615</v>
      </c>
      <c r="AO81" s="281">
        <f>SUM(AO77:AO80)</f>
        <v>50.805901816166966</v>
      </c>
      <c r="AP81" s="281">
        <v>49.241586303102324</v>
      </c>
      <c r="AQ81" s="281">
        <v>33.030644946723413</v>
      </c>
      <c r="AR81" s="281">
        <v>11.514196058648256</v>
      </c>
    </row>
    <row r="82" spans="1:45">
      <c r="A82" s="91" t="s">
        <v>222</v>
      </c>
      <c r="B82" s="83">
        <v>0</v>
      </c>
      <c r="C82" s="83">
        <v>0</v>
      </c>
      <c r="D82" s="83">
        <v>0</v>
      </c>
      <c r="E82" s="83">
        <v>0</v>
      </c>
      <c r="F82" s="83">
        <v>0</v>
      </c>
      <c r="G82" s="83">
        <v>0</v>
      </c>
      <c r="H82" s="83">
        <v>0</v>
      </c>
      <c r="I82" s="83">
        <v>0</v>
      </c>
      <c r="J82" s="83">
        <v>0</v>
      </c>
      <c r="K82" s="83">
        <v>0</v>
      </c>
      <c r="L82" s="83">
        <v>0</v>
      </c>
      <c r="M82" s="83">
        <v>0</v>
      </c>
      <c r="N82" s="83">
        <v>0</v>
      </c>
      <c r="O82" s="83">
        <v>0</v>
      </c>
      <c r="P82" s="83">
        <v>0</v>
      </c>
      <c r="Q82" s="83">
        <v>0</v>
      </c>
      <c r="R82" s="83">
        <v>0</v>
      </c>
      <c r="S82" s="83">
        <v>0</v>
      </c>
      <c r="T82" s="83">
        <v>0</v>
      </c>
      <c r="U82" s="83">
        <v>0</v>
      </c>
      <c r="V82" s="83">
        <v>0</v>
      </c>
      <c r="W82" s="83">
        <v>0</v>
      </c>
      <c r="X82" s="83">
        <v>0</v>
      </c>
      <c r="Y82" s="83">
        <v>0</v>
      </c>
      <c r="Z82" s="83">
        <v>0</v>
      </c>
      <c r="AA82" s="83">
        <v>0</v>
      </c>
      <c r="AB82" s="83">
        <v>0</v>
      </c>
      <c r="AC82" s="83">
        <v>0</v>
      </c>
      <c r="AD82" s="83">
        <v>0</v>
      </c>
      <c r="AE82" s="83">
        <v>0</v>
      </c>
      <c r="AF82" s="83">
        <v>0</v>
      </c>
      <c r="AG82" s="83">
        <v>0</v>
      </c>
      <c r="AH82" s="83">
        <v>0</v>
      </c>
      <c r="AI82" s="83">
        <v>0</v>
      </c>
      <c r="AJ82" s="83">
        <v>0</v>
      </c>
      <c r="AK82" s="83">
        <v>0</v>
      </c>
      <c r="AL82" s="83">
        <v>0</v>
      </c>
      <c r="AM82" s="83">
        <f>AL82+(AN82-AL82)/2</f>
        <v>0</v>
      </c>
      <c r="AN82" s="83">
        <v>0</v>
      </c>
      <c r="AO82" s="83">
        <f>AN82+(AP82-AN82)/2</f>
        <v>0</v>
      </c>
      <c r="AP82" s="83">
        <v>0</v>
      </c>
      <c r="AQ82" s="83">
        <v>0</v>
      </c>
      <c r="AR82" s="83">
        <v>0</v>
      </c>
    </row>
    <row r="83" spans="1:45">
      <c r="A83" s="91" t="s">
        <v>288</v>
      </c>
      <c r="B83" s="83">
        <v>0</v>
      </c>
      <c r="C83" s="83">
        <v>0</v>
      </c>
      <c r="D83" s="83">
        <v>0</v>
      </c>
      <c r="E83" s="83">
        <v>0</v>
      </c>
      <c r="F83" s="83">
        <v>0</v>
      </c>
      <c r="G83" s="83">
        <v>0</v>
      </c>
      <c r="H83" s="83">
        <v>0</v>
      </c>
      <c r="I83" s="83">
        <v>0</v>
      </c>
      <c r="J83" s="83">
        <v>0</v>
      </c>
      <c r="K83" s="83">
        <v>0</v>
      </c>
      <c r="L83" s="83">
        <v>0</v>
      </c>
      <c r="M83" s="83">
        <v>0</v>
      </c>
      <c r="N83" s="83">
        <v>0</v>
      </c>
      <c r="O83" s="83">
        <v>0</v>
      </c>
      <c r="P83" s="83">
        <v>0</v>
      </c>
      <c r="Q83" s="83">
        <v>0</v>
      </c>
      <c r="R83" s="83">
        <v>0</v>
      </c>
      <c r="S83" s="83">
        <v>0</v>
      </c>
      <c r="T83" s="83">
        <v>0</v>
      </c>
      <c r="U83" s="83">
        <v>0</v>
      </c>
      <c r="V83" s="83">
        <v>0</v>
      </c>
      <c r="W83" s="83">
        <v>0</v>
      </c>
      <c r="X83" s="83">
        <v>0</v>
      </c>
      <c r="Y83" s="83">
        <v>0</v>
      </c>
      <c r="Z83" s="83">
        <v>0</v>
      </c>
      <c r="AA83" s="83">
        <v>0</v>
      </c>
      <c r="AB83" s="83">
        <v>0</v>
      </c>
      <c r="AC83" s="83">
        <v>0</v>
      </c>
      <c r="AD83" s="83">
        <v>0</v>
      </c>
      <c r="AE83" s="83">
        <v>0</v>
      </c>
      <c r="AF83" s="83">
        <v>0</v>
      </c>
      <c r="AG83" s="83">
        <v>0</v>
      </c>
      <c r="AH83" s="83">
        <v>0</v>
      </c>
      <c r="AI83" s="83">
        <v>0</v>
      </c>
      <c r="AJ83" s="83">
        <v>0</v>
      </c>
      <c r="AK83" s="83">
        <v>0</v>
      </c>
      <c r="AL83" s="83">
        <v>0</v>
      </c>
      <c r="AM83" s="83">
        <f>AL83+(AN83-AL83)/2</f>
        <v>0</v>
      </c>
      <c r="AN83" s="83">
        <v>0</v>
      </c>
      <c r="AO83" s="83">
        <f>AN83+(AP83-AN83)/2</f>
        <v>0</v>
      </c>
      <c r="AP83" s="83">
        <v>0</v>
      </c>
      <c r="AQ83" s="83">
        <v>0</v>
      </c>
      <c r="AR83" s="83">
        <v>0</v>
      </c>
    </row>
    <row r="84" spans="1:45">
      <c r="A84" s="91" t="s">
        <v>289</v>
      </c>
      <c r="B84" s="83">
        <v>0</v>
      </c>
      <c r="C84" s="83">
        <v>0</v>
      </c>
      <c r="D84" s="83">
        <v>0</v>
      </c>
      <c r="E84" s="83">
        <v>0</v>
      </c>
      <c r="F84" s="83">
        <v>0</v>
      </c>
      <c r="G84" s="83">
        <v>0</v>
      </c>
      <c r="H84" s="83">
        <v>0</v>
      </c>
      <c r="I84" s="83">
        <v>0</v>
      </c>
      <c r="J84" s="83">
        <v>0</v>
      </c>
      <c r="K84" s="83">
        <v>0</v>
      </c>
      <c r="L84" s="83">
        <v>0</v>
      </c>
      <c r="M84" s="83">
        <v>0</v>
      </c>
      <c r="N84" s="83">
        <v>0</v>
      </c>
      <c r="O84" s="83">
        <v>0</v>
      </c>
      <c r="P84" s="83">
        <v>0</v>
      </c>
      <c r="Q84" s="83">
        <v>0</v>
      </c>
      <c r="R84" s="83">
        <v>0</v>
      </c>
      <c r="S84" s="83">
        <v>0</v>
      </c>
      <c r="T84" s="83">
        <v>0</v>
      </c>
      <c r="U84" s="83">
        <v>0</v>
      </c>
      <c r="V84" s="83">
        <v>0</v>
      </c>
      <c r="W84" s="83">
        <v>0</v>
      </c>
      <c r="X84" s="83">
        <v>0</v>
      </c>
      <c r="Y84" s="83">
        <v>0</v>
      </c>
      <c r="Z84" s="83">
        <v>0</v>
      </c>
      <c r="AA84" s="83">
        <v>0</v>
      </c>
      <c r="AB84" s="83">
        <v>0</v>
      </c>
      <c r="AC84" s="83">
        <v>0</v>
      </c>
      <c r="AD84" s="83">
        <v>0</v>
      </c>
      <c r="AE84" s="83">
        <v>0</v>
      </c>
      <c r="AF84" s="83">
        <v>0</v>
      </c>
      <c r="AG84" s="83">
        <v>0</v>
      </c>
      <c r="AH84" s="83">
        <v>0</v>
      </c>
      <c r="AI84" s="83">
        <v>0</v>
      </c>
      <c r="AJ84" s="83">
        <v>0</v>
      </c>
      <c r="AK84" s="83">
        <v>0</v>
      </c>
      <c r="AL84" s="83">
        <v>0</v>
      </c>
      <c r="AM84" s="83">
        <f>AL84+(AN84-AL84)/2</f>
        <v>0</v>
      </c>
      <c r="AN84" s="83">
        <v>0</v>
      </c>
      <c r="AO84" s="83">
        <f>AN84+(AP84-AN84)/2</f>
        <v>0</v>
      </c>
      <c r="AP84" s="83">
        <v>0</v>
      </c>
      <c r="AQ84" s="83">
        <v>0</v>
      </c>
      <c r="AR84" s="83">
        <v>0</v>
      </c>
    </row>
    <row r="85" spans="1:45">
      <c r="A85" s="91" t="s">
        <v>290</v>
      </c>
      <c r="B85" s="83">
        <v>0</v>
      </c>
      <c r="C85" s="83">
        <v>0</v>
      </c>
      <c r="D85" s="83">
        <v>0</v>
      </c>
      <c r="E85" s="83">
        <v>0</v>
      </c>
      <c r="F85" s="83">
        <v>0</v>
      </c>
      <c r="G85" s="83">
        <v>0</v>
      </c>
      <c r="H85" s="83">
        <v>0</v>
      </c>
      <c r="I85" s="83">
        <v>0</v>
      </c>
      <c r="J85" s="83">
        <v>0</v>
      </c>
      <c r="K85" s="83">
        <v>0</v>
      </c>
      <c r="L85" s="83">
        <v>0</v>
      </c>
      <c r="M85" s="83">
        <v>0</v>
      </c>
      <c r="N85" s="83">
        <v>0</v>
      </c>
      <c r="O85" s="83">
        <v>0</v>
      </c>
      <c r="P85" s="83">
        <v>0</v>
      </c>
      <c r="Q85" s="83">
        <v>0</v>
      </c>
      <c r="R85" s="83">
        <v>0</v>
      </c>
      <c r="S85" s="83">
        <v>0</v>
      </c>
      <c r="T85" s="83">
        <v>0</v>
      </c>
      <c r="U85" s="83">
        <v>0</v>
      </c>
      <c r="V85" s="83">
        <v>0</v>
      </c>
      <c r="W85" s="83">
        <v>0</v>
      </c>
      <c r="X85" s="83">
        <v>0</v>
      </c>
      <c r="Y85" s="83">
        <v>0</v>
      </c>
      <c r="Z85" s="83">
        <v>0</v>
      </c>
      <c r="AA85" s="83">
        <v>0</v>
      </c>
      <c r="AB85" s="83">
        <v>0</v>
      </c>
      <c r="AC85" s="83">
        <v>0</v>
      </c>
      <c r="AD85" s="83">
        <v>0</v>
      </c>
      <c r="AE85" s="83">
        <v>0</v>
      </c>
      <c r="AF85" s="83">
        <v>0</v>
      </c>
      <c r="AG85" s="83">
        <v>0</v>
      </c>
      <c r="AH85" s="83">
        <v>0</v>
      </c>
      <c r="AI85" s="83">
        <v>0</v>
      </c>
      <c r="AJ85" s="83">
        <v>0</v>
      </c>
      <c r="AK85" s="83">
        <v>0</v>
      </c>
      <c r="AL85" s="83">
        <v>0</v>
      </c>
      <c r="AM85" s="83">
        <f>AL85+(AN85-AL85)/2</f>
        <v>0</v>
      </c>
      <c r="AN85" s="83">
        <v>0</v>
      </c>
      <c r="AO85" s="83">
        <f>AN85+(AP85-AN85)/2</f>
        <v>0</v>
      </c>
      <c r="AP85" s="83">
        <v>0</v>
      </c>
      <c r="AQ85" s="83">
        <v>0</v>
      </c>
      <c r="AR85" s="83">
        <v>0</v>
      </c>
    </row>
    <row r="86" spans="1:45">
      <c r="A86" s="91" t="s">
        <v>291</v>
      </c>
      <c r="B86" s="83">
        <v>0</v>
      </c>
      <c r="C86" s="83">
        <v>0</v>
      </c>
      <c r="D86" s="83">
        <v>0</v>
      </c>
      <c r="E86" s="83">
        <v>0</v>
      </c>
      <c r="F86" s="83">
        <v>0</v>
      </c>
      <c r="G86" s="83">
        <v>0</v>
      </c>
      <c r="H86" s="83">
        <v>0</v>
      </c>
      <c r="I86" s="83">
        <v>0</v>
      </c>
      <c r="J86" s="83">
        <v>0</v>
      </c>
      <c r="K86" s="83">
        <v>0</v>
      </c>
      <c r="L86" s="83">
        <v>0</v>
      </c>
      <c r="M86" s="83">
        <v>0</v>
      </c>
      <c r="N86" s="83">
        <v>0</v>
      </c>
      <c r="O86" s="83">
        <v>0</v>
      </c>
      <c r="P86" s="83">
        <v>0</v>
      </c>
      <c r="Q86" s="83">
        <v>0</v>
      </c>
      <c r="R86" s="83">
        <v>0</v>
      </c>
      <c r="S86" s="83">
        <v>0</v>
      </c>
      <c r="T86" s="83">
        <v>0</v>
      </c>
      <c r="U86" s="83">
        <v>0</v>
      </c>
      <c r="V86" s="83">
        <v>0</v>
      </c>
      <c r="W86" s="83">
        <v>0</v>
      </c>
      <c r="X86" s="83">
        <v>0</v>
      </c>
      <c r="Y86" s="83">
        <v>0</v>
      </c>
      <c r="Z86" s="83">
        <v>0</v>
      </c>
      <c r="AA86" s="83">
        <v>0</v>
      </c>
      <c r="AB86" s="83">
        <v>0</v>
      </c>
      <c r="AC86" s="83">
        <v>0</v>
      </c>
      <c r="AD86" s="83">
        <v>0</v>
      </c>
      <c r="AE86" s="83">
        <v>0</v>
      </c>
      <c r="AF86" s="83">
        <v>0</v>
      </c>
      <c r="AG86" s="83">
        <v>0</v>
      </c>
      <c r="AH86" s="83">
        <v>0</v>
      </c>
      <c r="AI86" s="83">
        <v>0</v>
      </c>
      <c r="AJ86" s="83">
        <v>0</v>
      </c>
      <c r="AK86" s="83">
        <v>0</v>
      </c>
      <c r="AL86" s="83">
        <v>0</v>
      </c>
      <c r="AM86" s="83">
        <f>AL86+(AN86-AL86)/2</f>
        <v>0</v>
      </c>
      <c r="AN86" s="83">
        <v>0</v>
      </c>
      <c r="AO86" s="83">
        <f>AN86+(AP86-AN86)/2</f>
        <v>0</v>
      </c>
      <c r="AP86" s="83">
        <v>0</v>
      </c>
      <c r="AQ86" s="83">
        <v>0</v>
      </c>
      <c r="AR86" s="83">
        <v>0</v>
      </c>
    </row>
    <row r="87" spans="1:45">
      <c r="A87" s="107" t="s">
        <v>292</v>
      </c>
      <c r="B87" s="108">
        <v>0</v>
      </c>
      <c r="C87" s="108">
        <v>0</v>
      </c>
      <c r="D87" s="108">
        <v>0</v>
      </c>
      <c r="E87" s="108">
        <v>0</v>
      </c>
      <c r="F87" s="108">
        <v>0</v>
      </c>
      <c r="G87" s="108">
        <v>0</v>
      </c>
      <c r="H87" s="108">
        <v>0</v>
      </c>
      <c r="I87" s="108">
        <v>0</v>
      </c>
      <c r="J87" s="108">
        <v>0</v>
      </c>
      <c r="K87" s="108">
        <v>0</v>
      </c>
      <c r="L87" s="108">
        <v>0</v>
      </c>
      <c r="M87" s="108">
        <v>0</v>
      </c>
      <c r="N87" s="108">
        <v>0</v>
      </c>
      <c r="O87" s="108">
        <v>0</v>
      </c>
      <c r="P87" s="108">
        <v>0</v>
      </c>
      <c r="Q87" s="108">
        <v>0</v>
      </c>
      <c r="R87" s="108">
        <v>0</v>
      </c>
      <c r="S87" s="108">
        <v>0</v>
      </c>
      <c r="T87" s="108">
        <v>0</v>
      </c>
      <c r="U87" s="108">
        <v>0</v>
      </c>
      <c r="V87" s="108">
        <v>0</v>
      </c>
      <c r="W87" s="108">
        <v>0</v>
      </c>
      <c r="X87" s="108">
        <v>0</v>
      </c>
      <c r="Y87" s="108">
        <v>0</v>
      </c>
      <c r="Z87" s="108">
        <v>0</v>
      </c>
      <c r="AA87" s="108">
        <v>0</v>
      </c>
      <c r="AB87" s="108">
        <v>0</v>
      </c>
      <c r="AC87" s="108">
        <v>0</v>
      </c>
      <c r="AD87" s="108">
        <v>0</v>
      </c>
      <c r="AE87" s="108">
        <v>0</v>
      </c>
      <c r="AF87" s="108">
        <v>0</v>
      </c>
      <c r="AG87" s="108">
        <v>0</v>
      </c>
      <c r="AH87" s="108">
        <v>0</v>
      </c>
      <c r="AI87" s="108">
        <v>0</v>
      </c>
      <c r="AJ87" s="108">
        <v>0</v>
      </c>
      <c r="AK87" s="108">
        <v>0</v>
      </c>
      <c r="AL87" s="108">
        <v>0</v>
      </c>
      <c r="AM87" s="108">
        <f>SUM(AM82:AM86)</f>
        <v>0</v>
      </c>
      <c r="AN87" s="108">
        <v>0</v>
      </c>
      <c r="AO87" s="108">
        <f>SUM(AO82:AO86)</f>
        <v>0</v>
      </c>
      <c r="AP87" s="108">
        <v>0</v>
      </c>
      <c r="AQ87" s="108">
        <v>0</v>
      </c>
      <c r="AR87" s="108">
        <v>0</v>
      </c>
    </row>
    <row r="88" spans="1:45" ht="24">
      <c r="A88" s="91" t="s">
        <v>293</v>
      </c>
      <c r="B88" s="83">
        <v>0</v>
      </c>
      <c r="C88" s="83">
        <v>0</v>
      </c>
      <c r="D88" s="83">
        <v>0</v>
      </c>
      <c r="E88" s="83">
        <v>0</v>
      </c>
      <c r="F88" s="83">
        <v>0</v>
      </c>
      <c r="G88" s="83">
        <v>0</v>
      </c>
      <c r="H88" s="83">
        <v>0</v>
      </c>
      <c r="I88" s="83">
        <v>0</v>
      </c>
      <c r="J88" s="83">
        <v>0</v>
      </c>
      <c r="K88" s="83">
        <v>0</v>
      </c>
      <c r="L88" s="83">
        <v>0</v>
      </c>
      <c r="M88" s="83">
        <v>0</v>
      </c>
      <c r="N88" s="83">
        <v>0</v>
      </c>
      <c r="O88" s="83">
        <v>0</v>
      </c>
      <c r="P88" s="83">
        <v>0</v>
      </c>
      <c r="Q88" s="83">
        <v>0</v>
      </c>
      <c r="R88" s="83">
        <v>0</v>
      </c>
      <c r="S88" s="83">
        <v>0</v>
      </c>
      <c r="T88" s="83">
        <v>0</v>
      </c>
      <c r="U88" s="83">
        <v>0</v>
      </c>
      <c r="V88" s="83">
        <v>0</v>
      </c>
      <c r="W88" s="83">
        <v>0</v>
      </c>
      <c r="X88" s="83">
        <v>0</v>
      </c>
      <c r="Y88" s="83">
        <v>0</v>
      </c>
      <c r="Z88" s="83">
        <v>0</v>
      </c>
      <c r="AA88" s="83">
        <v>0</v>
      </c>
      <c r="AB88" s="83">
        <v>0</v>
      </c>
      <c r="AC88" s="83">
        <v>0</v>
      </c>
      <c r="AD88" s="83">
        <v>0</v>
      </c>
      <c r="AE88" s="83">
        <v>0</v>
      </c>
      <c r="AF88" s="83">
        <v>0</v>
      </c>
      <c r="AG88" s="83">
        <v>0</v>
      </c>
      <c r="AH88" s="83">
        <v>0</v>
      </c>
      <c r="AI88" s="83">
        <v>0</v>
      </c>
      <c r="AJ88" s="83">
        <v>0</v>
      </c>
      <c r="AK88" s="83">
        <v>0</v>
      </c>
      <c r="AL88" s="83">
        <f>(AL90)*1000</f>
        <v>0</v>
      </c>
      <c r="AM88" s="83">
        <v>0</v>
      </c>
      <c r="AN88" s="83">
        <f>(AN90)*1000</f>
        <v>0</v>
      </c>
      <c r="AO88" s="83">
        <v>0</v>
      </c>
      <c r="AP88" s="83">
        <f>(AP90)*1000</f>
        <v>0</v>
      </c>
      <c r="AQ88" s="83">
        <v>0</v>
      </c>
      <c r="AR88" s="83">
        <v>0</v>
      </c>
    </row>
    <row r="89" spans="1:45" ht="24">
      <c r="A89" s="91" t="s">
        <v>294</v>
      </c>
      <c r="B89" s="83">
        <v>0</v>
      </c>
      <c r="C89" s="83">
        <v>0</v>
      </c>
      <c r="D89" s="83">
        <v>0</v>
      </c>
      <c r="E89" s="83">
        <v>0</v>
      </c>
      <c r="F89" s="83">
        <v>0</v>
      </c>
      <c r="G89" s="83">
        <v>0</v>
      </c>
      <c r="H89" s="83">
        <v>0</v>
      </c>
      <c r="I89" s="83">
        <v>0</v>
      </c>
      <c r="J89" s="83">
        <v>0</v>
      </c>
      <c r="K89" s="83">
        <v>0</v>
      </c>
      <c r="L89" s="83">
        <v>0</v>
      </c>
      <c r="M89" s="83">
        <v>0</v>
      </c>
      <c r="N89" s="83">
        <v>0</v>
      </c>
      <c r="O89" s="83">
        <v>0</v>
      </c>
      <c r="P89" s="83">
        <v>0</v>
      </c>
      <c r="Q89" s="83">
        <v>0</v>
      </c>
      <c r="R89" s="83">
        <v>0</v>
      </c>
      <c r="S89" s="83">
        <v>0</v>
      </c>
      <c r="T89" s="83">
        <v>0</v>
      </c>
      <c r="U89" s="83">
        <v>0</v>
      </c>
      <c r="V89" s="83">
        <v>0</v>
      </c>
      <c r="W89" s="83">
        <v>0</v>
      </c>
      <c r="X89" s="83">
        <v>0</v>
      </c>
      <c r="Y89" s="83">
        <v>0</v>
      </c>
      <c r="Z89" s="83">
        <v>0</v>
      </c>
      <c r="AA89" s="83">
        <v>0</v>
      </c>
      <c r="AB89" s="83">
        <v>0</v>
      </c>
      <c r="AC89" s="83">
        <v>0</v>
      </c>
      <c r="AD89" s="83">
        <v>0</v>
      </c>
      <c r="AE89" s="83">
        <v>0</v>
      </c>
      <c r="AF89" s="83">
        <v>0</v>
      </c>
      <c r="AG89" s="83">
        <v>0</v>
      </c>
      <c r="AH89" s="83">
        <v>0</v>
      </c>
      <c r="AI89" s="83">
        <v>0</v>
      </c>
      <c r="AJ89" s="83">
        <v>0</v>
      </c>
      <c r="AK89" s="83">
        <v>0</v>
      </c>
      <c r="AL89" s="83">
        <v>0</v>
      </c>
      <c r="AM89" s="83">
        <v>0</v>
      </c>
      <c r="AN89" s="83">
        <v>0</v>
      </c>
      <c r="AO89" s="83">
        <v>0</v>
      </c>
      <c r="AP89" s="83">
        <v>0</v>
      </c>
      <c r="AQ89" s="83">
        <v>0</v>
      </c>
      <c r="AR89" s="83">
        <v>0</v>
      </c>
    </row>
    <row r="90" spans="1:45">
      <c r="A90" s="107" t="s">
        <v>295</v>
      </c>
      <c r="B90" s="108">
        <v>0</v>
      </c>
      <c r="C90" s="108">
        <v>0</v>
      </c>
      <c r="D90" s="108">
        <v>0</v>
      </c>
      <c r="E90" s="108">
        <v>0</v>
      </c>
      <c r="F90" s="108">
        <v>0</v>
      </c>
      <c r="G90" s="108">
        <v>0</v>
      </c>
      <c r="H90" s="108">
        <v>0</v>
      </c>
      <c r="I90" s="108">
        <v>0</v>
      </c>
      <c r="J90" s="108">
        <v>0</v>
      </c>
      <c r="K90" s="108">
        <v>0</v>
      </c>
      <c r="L90" s="108">
        <v>0</v>
      </c>
      <c r="M90" s="108">
        <v>0</v>
      </c>
      <c r="N90" s="108">
        <v>0</v>
      </c>
      <c r="O90" s="108">
        <v>0</v>
      </c>
      <c r="P90" s="108">
        <v>0</v>
      </c>
      <c r="Q90" s="108">
        <v>0</v>
      </c>
      <c r="R90" s="108">
        <v>0</v>
      </c>
      <c r="S90" s="108">
        <v>0</v>
      </c>
      <c r="T90" s="108">
        <v>0</v>
      </c>
      <c r="U90" s="108">
        <v>0</v>
      </c>
      <c r="V90" s="108">
        <v>0</v>
      </c>
      <c r="W90" s="108">
        <v>0</v>
      </c>
      <c r="X90" s="108">
        <v>0</v>
      </c>
      <c r="Y90" s="108">
        <v>0</v>
      </c>
      <c r="Z90" s="108">
        <v>0</v>
      </c>
      <c r="AA90" s="108">
        <v>0</v>
      </c>
      <c r="AB90" s="108">
        <v>0</v>
      </c>
      <c r="AC90" s="108">
        <v>0</v>
      </c>
      <c r="AD90" s="108">
        <v>0</v>
      </c>
      <c r="AE90" s="108">
        <v>0</v>
      </c>
      <c r="AF90" s="108">
        <v>0</v>
      </c>
      <c r="AG90" s="108">
        <v>0</v>
      </c>
      <c r="AH90" s="108">
        <v>0</v>
      </c>
      <c r="AI90" s="282">
        <v>0</v>
      </c>
      <c r="AJ90" s="282">
        <v>0</v>
      </c>
      <c r="AK90" s="282">
        <v>0</v>
      </c>
      <c r="AL90" s="282">
        <v>0</v>
      </c>
      <c r="AM90" s="282">
        <v>0</v>
      </c>
      <c r="AN90" s="282">
        <v>0</v>
      </c>
      <c r="AO90" s="282">
        <v>0</v>
      </c>
      <c r="AP90" s="282">
        <v>0</v>
      </c>
      <c r="AQ90" s="282">
        <v>0</v>
      </c>
      <c r="AR90" s="282">
        <v>0</v>
      </c>
    </row>
    <row r="91" spans="1:45">
      <c r="A91" s="109" t="s">
        <v>296</v>
      </c>
      <c r="B91" s="110">
        <v>0</v>
      </c>
      <c r="C91" s="110">
        <v>0</v>
      </c>
      <c r="D91" s="110">
        <v>0</v>
      </c>
      <c r="E91" s="110">
        <v>0</v>
      </c>
      <c r="F91" s="110">
        <v>0</v>
      </c>
      <c r="G91" s="110">
        <v>0</v>
      </c>
      <c r="H91" s="110">
        <v>0</v>
      </c>
      <c r="I91" s="110">
        <v>0</v>
      </c>
      <c r="J91" s="110">
        <v>0</v>
      </c>
      <c r="K91" s="110">
        <v>0.43939614133729221</v>
      </c>
      <c r="L91" s="110">
        <v>3.0185413602463078</v>
      </c>
      <c r="M91" s="110">
        <v>4.5907838204070996</v>
      </c>
      <c r="N91" s="110">
        <v>8.4686082674222476</v>
      </c>
      <c r="O91" s="110">
        <v>9.4380267530107336</v>
      </c>
      <c r="P91" s="110">
        <v>9.5757081498966183</v>
      </c>
      <c r="Q91" s="110">
        <v>11.43360627490385</v>
      </c>
      <c r="R91" s="110">
        <v>10.752921060658661</v>
      </c>
      <c r="S91" s="110">
        <v>11.917089989918495</v>
      </c>
      <c r="T91" s="110">
        <v>15.115500608523709</v>
      </c>
      <c r="U91" s="110">
        <v>18.667165029846768</v>
      </c>
      <c r="V91" s="110">
        <v>21.985613715236493</v>
      </c>
      <c r="W91" s="110">
        <v>24.106689131287233</v>
      </c>
      <c r="X91" s="110">
        <v>24.000846379390154</v>
      </c>
      <c r="Y91" s="110">
        <v>23.442749326910924</v>
      </c>
      <c r="Z91" s="110">
        <v>24.575731297344479</v>
      </c>
      <c r="AA91" s="110">
        <v>24.490702212638578</v>
      </c>
      <c r="AB91" s="110">
        <v>25.172160534125116</v>
      </c>
      <c r="AC91" s="110">
        <v>29.043221421922517</v>
      </c>
      <c r="AD91" s="110">
        <v>29.586404856597959</v>
      </c>
      <c r="AE91" s="110">
        <v>28.089555017497371</v>
      </c>
      <c r="AF91" s="110">
        <v>28.580728929007361</v>
      </c>
      <c r="AG91" s="110">
        <v>25.819649081984103</v>
      </c>
      <c r="AH91" s="110">
        <v>23.123774116401311</v>
      </c>
      <c r="AI91" s="283">
        <v>21.71497604373528</v>
      </c>
      <c r="AJ91" s="283">
        <v>23.688991342396431</v>
      </c>
      <c r="AK91" s="283">
        <v>24.674388187187102</v>
      </c>
      <c r="AL91" s="283">
        <v>23.665964876513382</v>
      </c>
      <c r="AM91" s="283">
        <f>SUM(AM81+AM87+AM90)</f>
        <v>38.018091102872496</v>
      </c>
      <c r="AN91" s="283">
        <v>52.370217329231615</v>
      </c>
      <c r="AO91" s="283">
        <f>SUM(AO81+AO87+AO90)</f>
        <v>50.805901816166966</v>
      </c>
      <c r="AP91" s="283">
        <v>49.241586303102324</v>
      </c>
      <c r="AQ91" s="283">
        <v>33.030644946723413</v>
      </c>
      <c r="AR91" s="283">
        <v>11.514196058648256</v>
      </c>
    </row>
    <row r="92" spans="1:45">
      <c r="A92" s="111"/>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row>
    <row r="93" spans="1:45">
      <c r="A93" s="113" t="s">
        <v>39</v>
      </c>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494" t="s">
        <v>262</v>
      </c>
      <c r="AM93" s="494"/>
      <c r="AN93" s="494"/>
      <c r="AO93" s="494"/>
      <c r="AP93" s="494"/>
      <c r="AQ93" s="494"/>
      <c r="AR93" s="494"/>
    </row>
    <row r="94" spans="1:45" ht="52.8">
      <c r="A94" s="66" t="s">
        <v>613</v>
      </c>
      <c r="B94" s="393">
        <v>1990</v>
      </c>
      <c r="C94" s="393">
        <v>1991</v>
      </c>
      <c r="D94" s="393">
        <v>1992</v>
      </c>
      <c r="E94" s="393">
        <v>1993</v>
      </c>
      <c r="F94" s="393">
        <v>1994</v>
      </c>
      <c r="G94" s="393">
        <v>1995</v>
      </c>
      <c r="H94" s="393">
        <v>1996</v>
      </c>
      <c r="I94" s="393">
        <v>1997</v>
      </c>
      <c r="J94" s="393">
        <v>1998</v>
      </c>
      <c r="K94" s="393">
        <v>1999</v>
      </c>
      <c r="L94" s="393">
        <v>2000</v>
      </c>
      <c r="M94" s="393">
        <v>2001</v>
      </c>
      <c r="N94" s="393">
        <v>2002</v>
      </c>
      <c r="O94" s="393">
        <v>2003</v>
      </c>
      <c r="P94" s="393">
        <v>2004</v>
      </c>
      <c r="Q94" s="393">
        <v>2005</v>
      </c>
      <c r="R94" s="393">
        <v>2006</v>
      </c>
      <c r="S94" s="393">
        <v>2007</v>
      </c>
      <c r="T94" s="393">
        <v>2008</v>
      </c>
      <c r="U94" s="393">
        <v>2009</v>
      </c>
      <c r="V94" s="393">
        <v>2010</v>
      </c>
      <c r="W94" s="393">
        <v>2011</v>
      </c>
      <c r="X94" s="393">
        <v>2012</v>
      </c>
      <c r="Y94" s="393">
        <v>2013</v>
      </c>
      <c r="Z94" s="393">
        <v>2014</v>
      </c>
      <c r="AA94" s="393">
        <v>2015</v>
      </c>
      <c r="AB94" s="393">
        <v>2016</v>
      </c>
      <c r="AC94" s="393">
        <v>2017</v>
      </c>
      <c r="AD94" s="393">
        <v>2018</v>
      </c>
      <c r="AE94" s="393">
        <v>2019</v>
      </c>
      <c r="AF94" s="393">
        <v>2020</v>
      </c>
      <c r="AG94" s="397">
        <v>2021</v>
      </c>
      <c r="AH94" s="397">
        <v>2022</v>
      </c>
      <c r="AI94" s="393">
        <v>2023</v>
      </c>
      <c r="AJ94" s="394">
        <v>2024</v>
      </c>
      <c r="AK94" s="393">
        <v>2025</v>
      </c>
      <c r="AL94" s="394">
        <v>2026</v>
      </c>
      <c r="AM94" s="394">
        <v>2027</v>
      </c>
      <c r="AN94" s="393">
        <v>2028</v>
      </c>
      <c r="AO94" s="394">
        <v>2029</v>
      </c>
      <c r="AP94" s="393">
        <v>2030</v>
      </c>
      <c r="AQ94" s="393">
        <v>2040</v>
      </c>
      <c r="AR94" s="393">
        <v>2050</v>
      </c>
    </row>
    <row r="95" spans="1:45">
      <c r="A95" s="91" t="s">
        <v>297</v>
      </c>
      <c r="B95" s="83">
        <v>0</v>
      </c>
      <c r="C95" s="83">
        <v>0</v>
      </c>
      <c r="D95" s="83">
        <v>0</v>
      </c>
      <c r="E95" s="83">
        <v>0</v>
      </c>
      <c r="F95" s="83">
        <v>3.8895311921720634</v>
      </c>
      <c r="G95" s="83">
        <v>27.904911506401945</v>
      </c>
      <c r="H95" s="83">
        <v>27.944924899533547</v>
      </c>
      <c r="I95" s="83">
        <v>45.339876987670721</v>
      </c>
      <c r="J95" s="83">
        <v>72.165986094995461</v>
      </c>
      <c r="K95" s="83">
        <v>115.02762503375072</v>
      </c>
      <c r="L95" s="83">
        <v>172.40019348472472</v>
      </c>
      <c r="M95" s="83">
        <v>229.57449297959641</v>
      </c>
      <c r="N95" s="83">
        <v>294.44410210910888</v>
      </c>
      <c r="O95" s="83">
        <v>377.96475802874153</v>
      </c>
      <c r="P95" s="83">
        <v>464.07181744564707</v>
      </c>
      <c r="Q95" s="83">
        <v>503.87869412102873</v>
      </c>
      <c r="R95" s="83">
        <v>637.41573315352821</v>
      </c>
      <c r="S95" s="83">
        <v>749.38819470432122</v>
      </c>
      <c r="T95" s="83">
        <v>866.88983299370398</v>
      </c>
      <c r="U95" s="83">
        <v>899.66033021979933</v>
      </c>
      <c r="V95" s="83">
        <v>1071.7005166240508</v>
      </c>
      <c r="W95" s="83">
        <v>1077.982821876278</v>
      </c>
      <c r="X95" s="83">
        <v>1145.1014113051008</v>
      </c>
      <c r="Y95" s="83">
        <v>1169.5252685391933</v>
      </c>
      <c r="Z95" s="83">
        <v>1165.1382480949687</v>
      </c>
      <c r="AA95" s="83">
        <v>1181.2365385232106</v>
      </c>
      <c r="AB95" s="83">
        <v>1143.1526043226143</v>
      </c>
      <c r="AC95" s="83">
        <v>1038.4317804087855</v>
      </c>
      <c r="AD95" s="83">
        <v>875.23424367074711</v>
      </c>
      <c r="AE95" s="83">
        <v>724.2990589625025</v>
      </c>
      <c r="AF95" s="83">
        <v>573.22650751891035</v>
      </c>
      <c r="AG95" s="83">
        <v>489.05914195434661</v>
      </c>
      <c r="AH95" s="83">
        <v>424.73329285709497</v>
      </c>
      <c r="AI95" s="277">
        <v>350.90381728356436</v>
      </c>
      <c r="AJ95" s="277">
        <v>258.13461347019467</v>
      </c>
      <c r="AK95" s="277">
        <v>184.92441554140296</v>
      </c>
      <c r="AL95" s="277">
        <v>157.32264136870174</v>
      </c>
      <c r="AM95" s="277">
        <f t="shared" ref="AM95:AO115" si="8">AL95+(AN95-AL95)/2</f>
        <v>108.57770083190499</v>
      </c>
      <c r="AN95" s="277">
        <v>59.832760295108251</v>
      </c>
      <c r="AO95" s="277">
        <f t="shared" si="8"/>
        <v>38.420145321067366</v>
      </c>
      <c r="AP95" s="277">
        <v>17.007530347026485</v>
      </c>
      <c r="AQ95" s="277">
        <v>0</v>
      </c>
      <c r="AR95" s="277">
        <v>0</v>
      </c>
      <c r="AS95" s="390"/>
    </row>
    <row r="96" spans="1:45">
      <c r="A96" s="91" t="s">
        <v>298</v>
      </c>
      <c r="B96" s="83">
        <v>0</v>
      </c>
      <c r="C96" s="83">
        <v>0</v>
      </c>
      <c r="D96" s="83">
        <v>0</v>
      </c>
      <c r="E96" s="83">
        <v>0</v>
      </c>
      <c r="F96" s="83">
        <v>18.097033430374935</v>
      </c>
      <c r="G96" s="83">
        <v>106.37439894298848</v>
      </c>
      <c r="H96" s="83">
        <v>103.12023294396495</v>
      </c>
      <c r="I96" s="83">
        <v>155.03414779024303</v>
      </c>
      <c r="J96" s="83">
        <v>227.18707940954923</v>
      </c>
      <c r="K96" s="83">
        <v>349.21943505054941</v>
      </c>
      <c r="L96" s="83">
        <v>493.09016855166573</v>
      </c>
      <c r="M96" s="83">
        <v>575.6891381273158</v>
      </c>
      <c r="N96" s="83">
        <v>669.33320936327459</v>
      </c>
      <c r="O96" s="83">
        <v>766.56612485373591</v>
      </c>
      <c r="P96" s="83">
        <v>862.17315479239255</v>
      </c>
      <c r="Q96" s="83">
        <v>882.55268311253872</v>
      </c>
      <c r="R96" s="83">
        <v>941.22647394010744</v>
      </c>
      <c r="S96" s="83">
        <v>976.40655230078198</v>
      </c>
      <c r="T96" s="83">
        <v>1012.3339880062399</v>
      </c>
      <c r="U96" s="83">
        <v>959.60159632439036</v>
      </c>
      <c r="V96" s="83">
        <v>1122.4450425513405</v>
      </c>
      <c r="W96" s="83">
        <v>955.86952390363354</v>
      </c>
      <c r="X96" s="83">
        <v>917.66825963263943</v>
      </c>
      <c r="Y96" s="83">
        <v>904.25735844557096</v>
      </c>
      <c r="Z96" s="83">
        <v>919.55011610968472</v>
      </c>
      <c r="AA96" s="83">
        <v>998.70360915146273</v>
      </c>
      <c r="AB96" s="83">
        <v>1003.7608580748331</v>
      </c>
      <c r="AC96" s="83">
        <v>963.65183993149481</v>
      </c>
      <c r="AD96" s="83">
        <v>901.63578165087995</v>
      </c>
      <c r="AE96" s="83">
        <v>849.35523792186177</v>
      </c>
      <c r="AF96" s="83">
        <v>780.04846834069906</v>
      </c>
      <c r="AG96" s="83">
        <v>732.53606747194874</v>
      </c>
      <c r="AH96" s="83">
        <v>673.40867536149426</v>
      </c>
      <c r="AI96" s="277">
        <v>634.87166561485208</v>
      </c>
      <c r="AJ96" s="277">
        <v>522.88298406238255</v>
      </c>
      <c r="AK96" s="277">
        <v>421.43966367398258</v>
      </c>
      <c r="AL96" s="277">
        <v>362.57267234798053</v>
      </c>
      <c r="AM96" s="277">
        <f t="shared" si="8"/>
        <v>251.6487687934665</v>
      </c>
      <c r="AN96" s="277">
        <v>140.72486523895248</v>
      </c>
      <c r="AO96" s="277">
        <f t="shared" si="8"/>
        <v>94.098601388002123</v>
      </c>
      <c r="AP96" s="277">
        <v>47.472337537051757</v>
      </c>
      <c r="AQ96" s="277">
        <v>0</v>
      </c>
      <c r="AR96" s="277">
        <v>0</v>
      </c>
    </row>
    <row r="97" spans="1:44">
      <c r="A97" s="91" t="s">
        <v>299</v>
      </c>
      <c r="B97" s="83">
        <v>0</v>
      </c>
      <c r="C97" s="83">
        <v>0</v>
      </c>
      <c r="D97" s="83">
        <v>0</v>
      </c>
      <c r="E97" s="83">
        <v>0</v>
      </c>
      <c r="F97" s="83">
        <v>1.0078894561971384E-2</v>
      </c>
      <c r="G97" s="83">
        <v>7.2373972794546909E-2</v>
      </c>
      <c r="H97" s="83">
        <v>8.7649672816627597E-2</v>
      </c>
      <c r="I97" s="83">
        <v>0.28514298963309587</v>
      </c>
      <c r="J97" s="83">
        <v>0.67515418215811884</v>
      </c>
      <c r="K97" s="83">
        <v>1.3863817538597398</v>
      </c>
      <c r="L97" s="83">
        <v>1.716607835910851</v>
      </c>
      <c r="M97" s="83">
        <v>2.832617974566471</v>
      </c>
      <c r="N97" s="83">
        <v>3.1941104559801294</v>
      </c>
      <c r="O97" s="83">
        <v>2.5855743324933154</v>
      </c>
      <c r="P97" s="83">
        <v>2.7945588479203196</v>
      </c>
      <c r="Q97" s="83">
        <v>2.4042016761193574</v>
      </c>
      <c r="R97" s="83">
        <v>4.4527877739019202</v>
      </c>
      <c r="S97" s="83">
        <v>4.0136096106659958</v>
      </c>
      <c r="T97" s="83">
        <v>3.9925133626226197</v>
      </c>
      <c r="U97" s="83">
        <v>3.5985966723308436</v>
      </c>
      <c r="V97" s="83">
        <v>4.1363611911717229</v>
      </c>
      <c r="W97" s="83">
        <v>7.0977603529911422</v>
      </c>
      <c r="X97" s="83">
        <v>6.8149944309301977</v>
      </c>
      <c r="Y97" s="83">
        <v>6.1829604323227798</v>
      </c>
      <c r="Z97" s="83">
        <v>4.0403818332887536</v>
      </c>
      <c r="AA97" s="83">
        <v>2.9442743600073729</v>
      </c>
      <c r="AB97" s="83">
        <v>2.5076940224798201</v>
      </c>
      <c r="AC97" s="83">
        <v>1.9634525680450241</v>
      </c>
      <c r="AD97" s="83">
        <v>1.509900457705347</v>
      </c>
      <c r="AE97" s="83">
        <v>1.1369847538703499</v>
      </c>
      <c r="AF97" s="83">
        <v>0.63503937601216331</v>
      </c>
      <c r="AG97" s="83">
        <v>0.87047665124509765</v>
      </c>
      <c r="AH97" s="83">
        <v>1.1458882184210342</v>
      </c>
      <c r="AI97" s="277">
        <v>1.214648113236223</v>
      </c>
      <c r="AJ97" s="277">
        <v>0.98844519347796345</v>
      </c>
      <c r="AK97" s="277">
        <v>0.6371493149468469</v>
      </c>
      <c r="AL97" s="277">
        <v>0.51126658182080187</v>
      </c>
      <c r="AM97" s="277">
        <f t="shared" si="8"/>
        <v>0.25563329091040093</v>
      </c>
      <c r="AN97" s="277">
        <v>0</v>
      </c>
      <c r="AO97" s="277">
        <f t="shared" si="8"/>
        <v>0</v>
      </c>
      <c r="AP97" s="277">
        <v>0</v>
      </c>
      <c r="AQ97" s="277">
        <v>0</v>
      </c>
      <c r="AR97" s="277">
        <v>0</v>
      </c>
    </row>
    <row r="98" spans="1:44">
      <c r="A98" s="91" t="s">
        <v>300</v>
      </c>
      <c r="B98" s="83">
        <v>0</v>
      </c>
      <c r="C98" s="83">
        <v>0</v>
      </c>
      <c r="D98" s="83">
        <v>0</v>
      </c>
      <c r="E98" s="83">
        <v>0</v>
      </c>
      <c r="F98" s="83">
        <v>5.1530027563530725E-5</v>
      </c>
      <c r="G98" s="83">
        <v>9.6276107369664007E-5</v>
      </c>
      <c r="H98" s="83">
        <v>1.7559406956529943E-4</v>
      </c>
      <c r="I98" s="83">
        <v>2.1173276768037731E-4</v>
      </c>
      <c r="J98" s="83">
        <v>2.9449360771857593E-4</v>
      </c>
      <c r="K98" s="83">
        <v>4.2951216316378018E-4</v>
      </c>
      <c r="L98" s="83">
        <v>1.176044628002319E-3</v>
      </c>
      <c r="M98" s="83">
        <v>1.526900534996601E-2</v>
      </c>
      <c r="N98" s="83">
        <v>3.8590936171368814E-2</v>
      </c>
      <c r="O98" s="83">
        <v>3.5829731215354883E-2</v>
      </c>
      <c r="P98" s="83">
        <v>4.6075138787864532E-2</v>
      </c>
      <c r="Q98" s="83">
        <v>5.5092014712679716E-2</v>
      </c>
      <c r="R98" s="83">
        <v>0.15176530649456507</v>
      </c>
      <c r="S98" s="83">
        <v>0.13239338008914545</v>
      </c>
      <c r="T98" s="83">
        <v>0.18124779655430767</v>
      </c>
      <c r="U98" s="83">
        <v>0.17997518433415347</v>
      </c>
      <c r="V98" s="83">
        <v>0.1566126010535073</v>
      </c>
      <c r="W98" s="83">
        <v>0.69896043983974543</v>
      </c>
      <c r="X98" s="83">
        <v>0.82994988650195911</v>
      </c>
      <c r="Y98" s="83">
        <v>0.92606321076104536</v>
      </c>
      <c r="Z98" s="83">
        <v>0.5094206881361204</v>
      </c>
      <c r="AA98" s="83">
        <v>0.34086313555248648</v>
      </c>
      <c r="AB98" s="83">
        <v>0.28931670684808225</v>
      </c>
      <c r="AC98" s="83">
        <v>0.24069858649507073</v>
      </c>
      <c r="AD98" s="83">
        <v>0.20739613751199143</v>
      </c>
      <c r="AE98" s="83">
        <v>0.17515232415135967</v>
      </c>
      <c r="AF98" s="83">
        <v>0.18068958741762248</v>
      </c>
      <c r="AG98" s="83">
        <v>0.17731615092621231</v>
      </c>
      <c r="AH98" s="83">
        <v>0.16193385957595013</v>
      </c>
      <c r="AI98" s="277">
        <v>0.14280672280402121</v>
      </c>
      <c r="AJ98" s="277">
        <v>9.8294804592964663E-2</v>
      </c>
      <c r="AK98" s="277">
        <v>0.11404881027966511</v>
      </c>
      <c r="AL98" s="277">
        <v>9.9827398354001062E-2</v>
      </c>
      <c r="AM98" s="277">
        <f t="shared" si="8"/>
        <v>7.4498561105795197E-2</v>
      </c>
      <c r="AN98" s="277">
        <v>4.9169723857589331E-2</v>
      </c>
      <c r="AO98" s="277">
        <f t="shared" si="8"/>
        <v>3.3962288274916271E-2</v>
      </c>
      <c r="AP98" s="277">
        <v>1.8754852692243213E-2</v>
      </c>
      <c r="AQ98" s="277">
        <v>0</v>
      </c>
      <c r="AR98" s="277">
        <v>0</v>
      </c>
    </row>
    <row r="99" spans="1:44">
      <c r="A99" s="91" t="s">
        <v>301</v>
      </c>
      <c r="B99" s="83">
        <v>0</v>
      </c>
      <c r="C99" s="83">
        <v>0</v>
      </c>
      <c r="D99" s="83">
        <v>0</v>
      </c>
      <c r="E99" s="83">
        <v>0</v>
      </c>
      <c r="F99" s="83">
        <v>0</v>
      </c>
      <c r="G99" s="83">
        <v>0</v>
      </c>
      <c r="H99" s="83">
        <v>0</v>
      </c>
      <c r="I99" s="83">
        <v>0</v>
      </c>
      <c r="J99" s="83">
        <v>0</v>
      </c>
      <c r="K99" s="83">
        <v>0</v>
      </c>
      <c r="L99" s="83">
        <v>0</v>
      </c>
      <c r="M99" s="83">
        <v>0</v>
      </c>
      <c r="N99" s="83">
        <v>0</v>
      </c>
      <c r="O99" s="83">
        <v>0</v>
      </c>
      <c r="P99" s="83">
        <v>0</v>
      </c>
      <c r="Q99" s="83">
        <v>0</v>
      </c>
      <c r="R99" s="83">
        <v>0</v>
      </c>
      <c r="S99" s="83">
        <v>0</v>
      </c>
      <c r="T99" s="83">
        <v>0</v>
      </c>
      <c r="U99" s="83">
        <v>0</v>
      </c>
      <c r="V99" s="83">
        <v>0</v>
      </c>
      <c r="W99" s="83">
        <v>0</v>
      </c>
      <c r="X99" s="83">
        <v>0</v>
      </c>
      <c r="Y99" s="83">
        <v>0</v>
      </c>
      <c r="Z99" s="83">
        <v>0</v>
      </c>
      <c r="AA99" s="83">
        <v>0</v>
      </c>
      <c r="AB99" s="83">
        <v>0</v>
      </c>
      <c r="AC99" s="83">
        <v>0</v>
      </c>
      <c r="AD99" s="83">
        <v>0</v>
      </c>
      <c r="AE99" s="83">
        <v>0</v>
      </c>
      <c r="AF99" s="83">
        <v>0</v>
      </c>
      <c r="AG99" s="83">
        <v>0</v>
      </c>
      <c r="AH99" s="83">
        <v>0</v>
      </c>
      <c r="AI99" s="277">
        <v>0</v>
      </c>
      <c r="AJ99" s="277">
        <v>0</v>
      </c>
      <c r="AK99" s="277">
        <v>0</v>
      </c>
      <c r="AL99" s="277">
        <v>0</v>
      </c>
      <c r="AM99" s="277">
        <f t="shared" si="8"/>
        <v>0</v>
      </c>
      <c r="AN99" s="277">
        <v>0</v>
      </c>
      <c r="AO99" s="277">
        <f t="shared" si="8"/>
        <v>0</v>
      </c>
      <c r="AP99" s="277">
        <v>0</v>
      </c>
      <c r="AQ99" s="277">
        <v>0</v>
      </c>
      <c r="AR99" s="277">
        <v>0</v>
      </c>
    </row>
    <row r="100" spans="1:44">
      <c r="A100" s="91" t="s">
        <v>302</v>
      </c>
      <c r="B100" s="83">
        <v>0</v>
      </c>
      <c r="C100" s="83">
        <v>0</v>
      </c>
      <c r="D100" s="83">
        <v>0</v>
      </c>
      <c r="E100" s="83">
        <v>0</v>
      </c>
      <c r="F100" s="83">
        <v>2.651836246922938</v>
      </c>
      <c r="G100" s="83">
        <v>16.085757347176351</v>
      </c>
      <c r="H100" s="83">
        <v>16.555657080835832</v>
      </c>
      <c r="I100" s="83">
        <v>26.424664899096026</v>
      </c>
      <c r="J100" s="83">
        <v>38.9082705533812</v>
      </c>
      <c r="K100" s="83">
        <v>57.871417742256568</v>
      </c>
      <c r="L100" s="83">
        <v>81.61025183153302</v>
      </c>
      <c r="M100" s="83">
        <v>99.907035903539295</v>
      </c>
      <c r="N100" s="83">
        <v>122.68129835601042</v>
      </c>
      <c r="O100" s="83">
        <v>148.59474182759024</v>
      </c>
      <c r="P100" s="83">
        <v>173.09252353730901</v>
      </c>
      <c r="Q100" s="83">
        <v>194.81994356238607</v>
      </c>
      <c r="R100" s="83">
        <v>213.13164784408121</v>
      </c>
      <c r="S100" s="83">
        <v>231.71287635723547</v>
      </c>
      <c r="T100" s="83">
        <v>256.31536137671037</v>
      </c>
      <c r="U100" s="83">
        <v>256.20166927148881</v>
      </c>
      <c r="V100" s="83">
        <v>327.32671080243432</v>
      </c>
      <c r="W100" s="83">
        <v>310.67509072877402</v>
      </c>
      <c r="X100" s="83">
        <v>323.65965805761351</v>
      </c>
      <c r="Y100" s="83">
        <v>331.5351003961535</v>
      </c>
      <c r="Z100" s="83">
        <v>332.00589584378383</v>
      </c>
      <c r="AA100" s="83">
        <v>358.75152623192156</v>
      </c>
      <c r="AB100" s="83">
        <v>354.88716937643807</v>
      </c>
      <c r="AC100" s="83">
        <v>338.55732168327978</v>
      </c>
      <c r="AD100" s="83">
        <v>309.30215959123029</v>
      </c>
      <c r="AE100" s="83">
        <v>276.64249213859136</v>
      </c>
      <c r="AF100" s="83">
        <v>253.48004023720875</v>
      </c>
      <c r="AG100" s="83">
        <v>231.91579392960591</v>
      </c>
      <c r="AH100" s="83">
        <v>200.71546148801212</v>
      </c>
      <c r="AI100" s="277">
        <v>175.91755940620283</v>
      </c>
      <c r="AJ100" s="277">
        <v>142.32186243358791</v>
      </c>
      <c r="AK100" s="277">
        <v>118.35411964960474</v>
      </c>
      <c r="AL100" s="277">
        <v>103.9305106149309</v>
      </c>
      <c r="AM100" s="277">
        <f t="shared" si="8"/>
        <v>79.189529916085618</v>
      </c>
      <c r="AN100" s="277">
        <v>54.448549217240334</v>
      </c>
      <c r="AO100" s="277">
        <f t="shared" si="8"/>
        <v>40.139680382207558</v>
      </c>
      <c r="AP100" s="277">
        <v>25.83081154717479</v>
      </c>
      <c r="AQ100" s="277">
        <v>1.6413302315214748</v>
      </c>
      <c r="AR100" s="277">
        <v>0</v>
      </c>
    </row>
    <row r="101" spans="1:44">
      <c r="A101" s="91" t="s">
        <v>303</v>
      </c>
      <c r="B101" s="83">
        <v>0</v>
      </c>
      <c r="C101" s="83">
        <v>0</v>
      </c>
      <c r="D101" s="83">
        <v>0</v>
      </c>
      <c r="E101" s="83">
        <v>0</v>
      </c>
      <c r="F101" s="83">
        <v>3.6422631816589113</v>
      </c>
      <c r="G101" s="83">
        <v>13.500944815827916</v>
      </c>
      <c r="H101" s="83">
        <v>17.959667547881121</v>
      </c>
      <c r="I101" s="83">
        <v>26.609840292678243</v>
      </c>
      <c r="J101" s="83">
        <v>37.934603180580694</v>
      </c>
      <c r="K101" s="83">
        <v>55.271344385234876</v>
      </c>
      <c r="L101" s="83">
        <v>44.365561761057194</v>
      </c>
      <c r="M101" s="83">
        <v>79.432848131846043</v>
      </c>
      <c r="N101" s="83">
        <v>90.177789546930683</v>
      </c>
      <c r="O101" s="83">
        <v>102.06446677119285</v>
      </c>
      <c r="P101" s="83">
        <v>118.23084778261453</v>
      </c>
      <c r="Q101" s="83">
        <v>49.888681959223781</v>
      </c>
      <c r="R101" s="83">
        <v>157.4742084469739</v>
      </c>
      <c r="S101" s="83">
        <v>180.11871096438333</v>
      </c>
      <c r="T101" s="83">
        <v>171.39262312412646</v>
      </c>
      <c r="U101" s="83">
        <v>176.80605006849237</v>
      </c>
      <c r="V101" s="83">
        <v>34.01975443612217</v>
      </c>
      <c r="W101" s="83">
        <v>184.08756336536567</v>
      </c>
      <c r="X101" s="83">
        <v>201.16404630695274</v>
      </c>
      <c r="Y101" s="83">
        <v>214.56543698461439</v>
      </c>
      <c r="Z101" s="83">
        <v>195.07220880183573</v>
      </c>
      <c r="AA101" s="83">
        <v>21.44623004220762</v>
      </c>
      <c r="AB101" s="83">
        <v>20.227905460450131</v>
      </c>
      <c r="AC101" s="83">
        <v>18.71632202935179</v>
      </c>
      <c r="AD101" s="83">
        <v>17.842146315560967</v>
      </c>
      <c r="AE101" s="83">
        <v>17.991800827711248</v>
      </c>
      <c r="AF101" s="83">
        <v>20.055702665348957</v>
      </c>
      <c r="AG101" s="83">
        <v>20.358624754464774</v>
      </c>
      <c r="AH101" s="83">
        <v>20.375020173757271</v>
      </c>
      <c r="AI101" s="277">
        <v>23.099157922807148</v>
      </c>
      <c r="AJ101" s="277">
        <v>24.38440220012901</v>
      </c>
      <c r="AK101" s="277">
        <v>22.340286408740322</v>
      </c>
      <c r="AL101" s="277">
        <v>19.761225482608459</v>
      </c>
      <c r="AM101" s="277">
        <f t="shared" si="8"/>
        <v>14.554986062117049</v>
      </c>
      <c r="AN101" s="277">
        <v>9.34874664162564</v>
      </c>
      <c r="AO101" s="277">
        <f t="shared" si="8"/>
        <v>6.9986374813539705</v>
      </c>
      <c r="AP101" s="277">
        <v>4.6485283210823019</v>
      </c>
      <c r="AQ101" s="277">
        <v>0.30216458456514583</v>
      </c>
      <c r="AR101" s="277">
        <v>0</v>
      </c>
    </row>
    <row r="102" spans="1:44">
      <c r="A102" s="91" t="s">
        <v>304</v>
      </c>
      <c r="B102" s="83">
        <v>0</v>
      </c>
      <c r="C102" s="83">
        <v>0</v>
      </c>
      <c r="D102" s="83">
        <v>0</v>
      </c>
      <c r="E102" s="83">
        <v>0</v>
      </c>
      <c r="F102" s="83">
        <v>4.2120077997278911E-2</v>
      </c>
      <c r="G102" s="83">
        <v>0.20311726577089098</v>
      </c>
      <c r="H102" s="83">
        <v>0.35715051068520959</v>
      </c>
      <c r="I102" s="83">
        <v>1.0514497377093115</v>
      </c>
      <c r="J102" s="83">
        <v>2.7032542388576335</v>
      </c>
      <c r="K102" s="83">
        <v>5.3719379343018963</v>
      </c>
      <c r="L102" s="83">
        <v>4.5689682243925622</v>
      </c>
      <c r="M102" s="83">
        <v>8.8366919198906189</v>
      </c>
      <c r="N102" s="83">
        <v>9.3449460212997213</v>
      </c>
      <c r="O102" s="83">
        <v>10.859363990442779</v>
      </c>
      <c r="P102" s="83">
        <v>11.653083252726177</v>
      </c>
      <c r="Q102" s="83">
        <v>6.494505157129554</v>
      </c>
      <c r="R102" s="83">
        <v>11.04551006763163</v>
      </c>
      <c r="S102" s="83">
        <v>11.610547964920631</v>
      </c>
      <c r="T102" s="83">
        <v>12.827354838737543</v>
      </c>
      <c r="U102" s="83">
        <v>11.261688175539366</v>
      </c>
      <c r="V102" s="83">
        <v>10.618857584817903</v>
      </c>
      <c r="W102" s="83">
        <v>14.176770672730639</v>
      </c>
      <c r="X102" s="83">
        <v>13.365567831795442</v>
      </c>
      <c r="Y102" s="83">
        <v>11.910103309856003</v>
      </c>
      <c r="Z102" s="83">
        <v>11.9557121715596</v>
      </c>
      <c r="AA102" s="83">
        <v>8.1168022734883287</v>
      </c>
      <c r="AB102" s="83">
        <v>7.60397236754911</v>
      </c>
      <c r="AC102" s="83">
        <v>6.4538736802551089</v>
      </c>
      <c r="AD102" s="83">
        <v>5.4210160967231635</v>
      </c>
      <c r="AE102" s="83">
        <v>4.5922747664951444</v>
      </c>
      <c r="AF102" s="83">
        <v>3.0363184770769247</v>
      </c>
      <c r="AG102" s="83">
        <v>4.3342563778779528</v>
      </c>
      <c r="AH102" s="83">
        <v>5.5568863566220283</v>
      </c>
      <c r="AI102" s="277">
        <v>5.8521304290026235</v>
      </c>
      <c r="AJ102" s="277">
        <v>4.735746773625757</v>
      </c>
      <c r="AK102" s="277">
        <v>3.2772390914710146</v>
      </c>
      <c r="AL102" s="277">
        <v>2.6297490851821372</v>
      </c>
      <c r="AM102" s="277">
        <f t="shared" si="8"/>
        <v>1.3148745425910686</v>
      </c>
      <c r="AN102" s="277">
        <v>0</v>
      </c>
      <c r="AO102" s="277">
        <f t="shared" si="8"/>
        <v>0</v>
      </c>
      <c r="AP102" s="277">
        <v>0</v>
      </c>
      <c r="AQ102" s="277">
        <v>0</v>
      </c>
      <c r="AR102" s="277">
        <v>0</v>
      </c>
    </row>
    <row r="103" spans="1:44">
      <c r="A103" s="91" t="s">
        <v>305</v>
      </c>
      <c r="B103" s="83">
        <v>0</v>
      </c>
      <c r="C103" s="83">
        <v>0</v>
      </c>
      <c r="D103" s="83">
        <v>0</v>
      </c>
      <c r="E103" s="83">
        <v>0</v>
      </c>
      <c r="F103" s="83">
        <v>2.1660889414084803E-4</v>
      </c>
      <c r="G103" s="83">
        <v>3.2724960928113298E-4</v>
      </c>
      <c r="H103" s="83">
        <v>7.2005744494761767E-4</v>
      </c>
      <c r="I103" s="83">
        <v>7.8068305303121192E-4</v>
      </c>
      <c r="J103" s="83">
        <v>1.1790829549890641E-3</v>
      </c>
      <c r="K103" s="83">
        <v>1.6664560118034341E-3</v>
      </c>
      <c r="L103" s="83">
        <v>3.2688277510943206E-3</v>
      </c>
      <c r="M103" s="83">
        <v>4.7665043368446042E-2</v>
      </c>
      <c r="N103" s="83">
        <v>0.11300408731307418</v>
      </c>
      <c r="O103" s="83">
        <v>0.1504842030869267</v>
      </c>
      <c r="P103" s="83">
        <v>0.1921184503067474</v>
      </c>
      <c r="Q103" s="83">
        <v>0.14860454229357059</v>
      </c>
      <c r="R103" s="83">
        <v>0.37592497504983191</v>
      </c>
      <c r="S103" s="83">
        <v>0.38299034460009551</v>
      </c>
      <c r="T103" s="83">
        <v>0.58179498567199894</v>
      </c>
      <c r="U103" s="83">
        <v>0.56343159982999746</v>
      </c>
      <c r="V103" s="83">
        <v>0.40131674556820929</v>
      </c>
      <c r="W103" s="83">
        <v>1.3960620793244918</v>
      </c>
      <c r="X103" s="83">
        <v>1.627743985038691</v>
      </c>
      <c r="Y103" s="83">
        <v>1.7838669637384961</v>
      </c>
      <c r="Z103" s="83">
        <v>1.5065911973509367</v>
      </c>
      <c r="AA103" s="83">
        <v>0.94038015523292051</v>
      </c>
      <c r="AB103" s="83">
        <v>0.87658017025475965</v>
      </c>
      <c r="AC103" s="83">
        <v>0.79063036172800805</v>
      </c>
      <c r="AD103" s="83">
        <v>0.74496491111142649</v>
      </c>
      <c r="AE103" s="83">
        <v>0.70941808309782484</v>
      </c>
      <c r="AF103" s="83">
        <v>0.86384708100851237</v>
      </c>
      <c r="AG103" s="83">
        <v>0.88309156197371785</v>
      </c>
      <c r="AH103" s="83">
        <v>0.78511802442979306</v>
      </c>
      <c r="AI103" s="277">
        <v>0.68745826052022019</v>
      </c>
      <c r="AJ103" s="277">
        <v>0.4710756765077756</v>
      </c>
      <c r="AK103" s="277">
        <v>0.58668626481902797</v>
      </c>
      <c r="AL103" s="277">
        <v>0.53026129797276911</v>
      </c>
      <c r="AM103" s="277">
        <f t="shared" si="8"/>
        <v>0.4513834673628917</v>
      </c>
      <c r="AN103" s="277">
        <v>0.37250563675301435</v>
      </c>
      <c r="AO103" s="277">
        <f t="shared" si="8"/>
        <v>0.28583613812144182</v>
      </c>
      <c r="AP103" s="277">
        <v>0.19916663948986929</v>
      </c>
      <c r="AQ103" s="277">
        <v>8.5477548607151583E-3</v>
      </c>
      <c r="AR103" s="277">
        <v>0</v>
      </c>
    </row>
    <row r="104" spans="1:44">
      <c r="A104" s="91" t="s">
        <v>306</v>
      </c>
      <c r="B104" s="83">
        <v>0</v>
      </c>
      <c r="C104" s="83">
        <v>0</v>
      </c>
      <c r="D104" s="83">
        <v>0</v>
      </c>
      <c r="E104" s="83">
        <v>0</v>
      </c>
      <c r="F104" s="83">
        <v>0</v>
      </c>
      <c r="G104" s="83">
        <v>0</v>
      </c>
      <c r="H104" s="83">
        <v>0</v>
      </c>
      <c r="I104" s="83">
        <v>0</v>
      </c>
      <c r="J104" s="83">
        <v>0</v>
      </c>
      <c r="K104" s="83">
        <v>0</v>
      </c>
      <c r="L104" s="83">
        <v>0</v>
      </c>
      <c r="M104" s="83">
        <v>0</v>
      </c>
      <c r="N104" s="83">
        <v>0</v>
      </c>
      <c r="O104" s="83">
        <v>0</v>
      </c>
      <c r="P104" s="83">
        <v>0</v>
      </c>
      <c r="Q104" s="83">
        <v>0</v>
      </c>
      <c r="R104" s="83">
        <v>0</v>
      </c>
      <c r="S104" s="83">
        <v>0</v>
      </c>
      <c r="T104" s="83">
        <v>0</v>
      </c>
      <c r="U104" s="83">
        <v>0</v>
      </c>
      <c r="V104" s="83">
        <v>0</v>
      </c>
      <c r="W104" s="83">
        <v>0</v>
      </c>
      <c r="X104" s="83">
        <v>0</v>
      </c>
      <c r="Y104" s="83">
        <v>0</v>
      </c>
      <c r="Z104" s="83">
        <v>0</v>
      </c>
      <c r="AA104" s="83">
        <v>0</v>
      </c>
      <c r="AB104" s="83">
        <v>0</v>
      </c>
      <c r="AC104" s="83">
        <v>0</v>
      </c>
      <c r="AD104" s="83">
        <v>0</v>
      </c>
      <c r="AE104" s="83">
        <v>0</v>
      </c>
      <c r="AF104" s="83">
        <v>0</v>
      </c>
      <c r="AG104" s="83">
        <v>0</v>
      </c>
      <c r="AH104" s="83">
        <v>0</v>
      </c>
      <c r="AI104" s="277">
        <v>0</v>
      </c>
      <c r="AJ104" s="277">
        <v>0</v>
      </c>
      <c r="AK104" s="277">
        <v>0</v>
      </c>
      <c r="AL104" s="277">
        <v>0</v>
      </c>
      <c r="AM104" s="277">
        <f t="shared" si="8"/>
        <v>0</v>
      </c>
      <c r="AN104" s="277">
        <v>0</v>
      </c>
      <c r="AO104" s="277">
        <f t="shared" si="8"/>
        <v>0</v>
      </c>
      <c r="AP104" s="277">
        <v>0</v>
      </c>
      <c r="AQ104" s="277">
        <v>0</v>
      </c>
      <c r="AR104" s="277">
        <v>0</v>
      </c>
    </row>
    <row r="105" spans="1:44">
      <c r="A105" s="91" t="s">
        <v>307</v>
      </c>
      <c r="B105" s="83">
        <v>0</v>
      </c>
      <c r="C105" s="83">
        <v>0</v>
      </c>
      <c r="D105" s="83">
        <v>0</v>
      </c>
      <c r="E105" s="83">
        <v>0.29076981072209074</v>
      </c>
      <c r="F105" s="83">
        <v>1.0818238094968138</v>
      </c>
      <c r="G105" s="83">
        <v>14.324253468993385</v>
      </c>
      <c r="H105" s="83">
        <v>9.0384469588174952</v>
      </c>
      <c r="I105" s="83">
        <v>17.635258079686366</v>
      </c>
      <c r="J105" s="83">
        <v>31.08626154604055</v>
      </c>
      <c r="K105" s="83">
        <v>50.165910641626589</v>
      </c>
      <c r="L105" s="83">
        <v>90.384990544367568</v>
      </c>
      <c r="M105" s="83">
        <v>107.4967784365798</v>
      </c>
      <c r="N105" s="83">
        <v>135.05952362241399</v>
      </c>
      <c r="O105" s="83">
        <v>168.47337078180152</v>
      </c>
      <c r="P105" s="83">
        <v>196.63334222935626</v>
      </c>
      <c r="Q105" s="83">
        <v>237.65162244924571</v>
      </c>
      <c r="R105" s="83">
        <v>256.28486946022389</v>
      </c>
      <c r="S105" s="83">
        <v>282.65446829352231</v>
      </c>
      <c r="T105" s="83">
        <v>306.10932468091085</v>
      </c>
      <c r="U105" s="83">
        <v>312.98979063145407</v>
      </c>
      <c r="V105" s="83">
        <v>319.82929188654316</v>
      </c>
      <c r="W105" s="83">
        <v>318.39083863110761</v>
      </c>
      <c r="X105" s="83">
        <v>319.46826634319518</v>
      </c>
      <c r="Y105" s="83">
        <v>317.27165875173523</v>
      </c>
      <c r="Z105" s="83">
        <v>314.65670540318177</v>
      </c>
      <c r="AA105" s="83">
        <v>311.94262788097416</v>
      </c>
      <c r="AB105" s="83">
        <v>302.59198741611289</v>
      </c>
      <c r="AC105" s="83">
        <v>285.71527474205993</v>
      </c>
      <c r="AD105" s="83">
        <v>278.51846187045874</v>
      </c>
      <c r="AE105" s="83">
        <v>268.88934975796406</v>
      </c>
      <c r="AF105" s="83">
        <v>248.52591140039451</v>
      </c>
      <c r="AG105" s="83">
        <v>232.14743276943119</v>
      </c>
      <c r="AH105" s="83">
        <v>217.08507748552537</v>
      </c>
      <c r="AI105" s="284">
        <v>205.62579379071605</v>
      </c>
      <c r="AJ105" s="277">
        <v>198.59552836272766</v>
      </c>
      <c r="AK105" s="284">
        <v>203.48308084567782</v>
      </c>
      <c r="AL105" s="277">
        <v>196.42977368174223</v>
      </c>
      <c r="AM105" s="277">
        <f t="shared" si="8"/>
        <v>183.47923258854868</v>
      </c>
      <c r="AN105" s="277">
        <v>170.52869149535513</v>
      </c>
      <c r="AO105" s="277">
        <f t="shared" si="8"/>
        <v>152.45596201512842</v>
      </c>
      <c r="AP105" s="277">
        <v>134.38323253490171</v>
      </c>
      <c r="AQ105" s="277">
        <v>15.407630094857041</v>
      </c>
      <c r="AR105" s="277">
        <v>0</v>
      </c>
    </row>
    <row r="106" spans="1:44">
      <c r="A106" s="91" t="s">
        <v>308</v>
      </c>
      <c r="B106" s="83">
        <v>0</v>
      </c>
      <c r="C106" s="83">
        <v>0</v>
      </c>
      <c r="D106" s="83">
        <v>0</v>
      </c>
      <c r="E106" s="83">
        <v>0</v>
      </c>
      <c r="F106" s="83">
        <v>0</v>
      </c>
      <c r="G106" s="83">
        <v>0</v>
      </c>
      <c r="H106" s="83">
        <v>0</v>
      </c>
      <c r="I106" s="83">
        <v>0</v>
      </c>
      <c r="J106" s="83">
        <v>0</v>
      </c>
      <c r="K106" s="83">
        <v>0</v>
      </c>
      <c r="L106" s="83">
        <v>4.9940855512417871E-2</v>
      </c>
      <c r="M106" s="83">
        <v>0</v>
      </c>
      <c r="N106" s="83">
        <v>0</v>
      </c>
      <c r="O106" s="83">
        <v>0</v>
      </c>
      <c r="P106" s="83">
        <v>0</v>
      </c>
      <c r="Q106" s="83">
        <v>0.41416371238625121</v>
      </c>
      <c r="R106" s="83">
        <v>0</v>
      </c>
      <c r="S106" s="83">
        <v>0</v>
      </c>
      <c r="T106" s="83">
        <v>0</v>
      </c>
      <c r="U106" s="83">
        <v>0</v>
      </c>
      <c r="V106" s="83">
        <v>0.51220820082817764</v>
      </c>
      <c r="W106" s="83">
        <v>0</v>
      </c>
      <c r="X106" s="83">
        <v>0</v>
      </c>
      <c r="Y106" s="83">
        <v>0</v>
      </c>
      <c r="Z106" s="83">
        <v>0</v>
      </c>
      <c r="AA106" s="83">
        <v>0.33818953266523921</v>
      </c>
      <c r="AB106" s="83">
        <v>0.33328932146169543</v>
      </c>
      <c r="AC106" s="83">
        <v>0.32810313868206187</v>
      </c>
      <c r="AD106" s="83">
        <v>0.34295976063829547</v>
      </c>
      <c r="AE106" s="83">
        <v>0.35967544008767355</v>
      </c>
      <c r="AF106" s="83">
        <v>0.31805988665965956</v>
      </c>
      <c r="AG106" s="83">
        <v>0.17656560324673715</v>
      </c>
      <c r="AH106" s="83">
        <v>0.17502219727754478</v>
      </c>
      <c r="AI106" s="277">
        <v>0.24812089671958054</v>
      </c>
      <c r="AJ106" s="277">
        <v>0.22759391173878693</v>
      </c>
      <c r="AK106" s="277">
        <v>0.81973599491499716</v>
      </c>
      <c r="AL106" s="277">
        <v>0.81973599491499716</v>
      </c>
      <c r="AM106" s="277">
        <f t="shared" si="8"/>
        <v>0.40986799745749858</v>
      </c>
      <c r="AN106" s="277">
        <v>0</v>
      </c>
      <c r="AO106" s="277">
        <f t="shared" si="8"/>
        <v>0</v>
      </c>
      <c r="AP106" s="277">
        <v>0</v>
      </c>
      <c r="AQ106" s="277">
        <v>0</v>
      </c>
      <c r="AR106" s="277">
        <v>0</v>
      </c>
    </row>
    <row r="107" spans="1:44" s="399" customFormat="1">
      <c r="A107" s="91" t="s">
        <v>309</v>
      </c>
      <c r="B107" s="83">
        <v>0</v>
      </c>
      <c r="C107" s="83">
        <v>0</v>
      </c>
      <c r="D107" s="83">
        <v>0</v>
      </c>
      <c r="E107" s="83">
        <v>0</v>
      </c>
      <c r="F107" s="83">
        <v>0</v>
      </c>
      <c r="G107" s="83">
        <v>0</v>
      </c>
      <c r="H107" s="83">
        <v>0</v>
      </c>
      <c r="I107" s="83">
        <v>0</v>
      </c>
      <c r="J107" s="83">
        <v>0</v>
      </c>
      <c r="K107" s="83">
        <v>0</v>
      </c>
      <c r="L107" s="83">
        <v>0</v>
      </c>
      <c r="M107" s="83">
        <v>0</v>
      </c>
      <c r="N107" s="83">
        <v>0</v>
      </c>
      <c r="O107" s="83">
        <v>0</v>
      </c>
      <c r="P107" s="83">
        <v>0</v>
      </c>
      <c r="Q107" s="83">
        <v>0</v>
      </c>
      <c r="R107" s="83">
        <v>0</v>
      </c>
      <c r="S107" s="83">
        <v>0</v>
      </c>
      <c r="T107" s="83">
        <v>0</v>
      </c>
      <c r="U107" s="83">
        <v>0</v>
      </c>
      <c r="V107" s="83">
        <v>0</v>
      </c>
      <c r="W107" s="83">
        <v>0</v>
      </c>
      <c r="X107" s="83">
        <v>0</v>
      </c>
      <c r="Y107" s="83">
        <v>0</v>
      </c>
      <c r="Z107" s="83">
        <v>0</v>
      </c>
      <c r="AA107" s="83">
        <v>0</v>
      </c>
      <c r="AB107" s="83">
        <v>0</v>
      </c>
      <c r="AC107" s="83">
        <v>0</v>
      </c>
      <c r="AD107" s="83">
        <v>0</v>
      </c>
      <c r="AE107" s="83">
        <v>0</v>
      </c>
      <c r="AF107" s="83">
        <v>0</v>
      </c>
      <c r="AG107" s="83">
        <v>0</v>
      </c>
      <c r="AH107" s="83">
        <v>0</v>
      </c>
      <c r="AI107" s="83">
        <v>0</v>
      </c>
      <c r="AJ107" s="277">
        <v>0</v>
      </c>
      <c r="AK107" s="83">
        <v>28.762257895141769</v>
      </c>
      <c r="AL107" s="277">
        <v>0</v>
      </c>
      <c r="AM107" s="277">
        <f t="shared" si="8"/>
        <v>0.29112250266698952</v>
      </c>
      <c r="AN107" s="277">
        <v>0.58224500533397905</v>
      </c>
      <c r="AO107" s="277">
        <f t="shared" si="8"/>
        <v>0.29112250266698952</v>
      </c>
      <c r="AP107" s="277">
        <v>0</v>
      </c>
      <c r="AQ107" s="277">
        <v>0</v>
      </c>
      <c r="AR107" s="277">
        <v>0</v>
      </c>
    </row>
    <row r="108" spans="1:44">
      <c r="A108" s="91" t="s">
        <v>310</v>
      </c>
      <c r="B108" s="83">
        <v>0</v>
      </c>
      <c r="C108" s="83">
        <v>0</v>
      </c>
      <c r="D108" s="83">
        <v>0</v>
      </c>
      <c r="E108" s="83">
        <v>0</v>
      </c>
      <c r="F108" s="83">
        <v>0</v>
      </c>
      <c r="G108" s="83">
        <v>0</v>
      </c>
      <c r="H108" s="83">
        <v>0</v>
      </c>
      <c r="I108" s="83">
        <v>0</v>
      </c>
      <c r="J108" s="83">
        <v>0</v>
      </c>
      <c r="K108" s="83">
        <v>0</v>
      </c>
      <c r="L108" s="83">
        <v>0</v>
      </c>
      <c r="M108" s="83">
        <v>0</v>
      </c>
      <c r="N108" s="83">
        <v>0</v>
      </c>
      <c r="O108" s="83">
        <v>0</v>
      </c>
      <c r="P108" s="83">
        <v>0</v>
      </c>
      <c r="Q108" s="83">
        <v>0</v>
      </c>
      <c r="R108" s="83">
        <v>0</v>
      </c>
      <c r="S108" s="83">
        <v>0</v>
      </c>
      <c r="T108" s="83">
        <v>0</v>
      </c>
      <c r="U108" s="83">
        <v>0</v>
      </c>
      <c r="V108" s="83">
        <v>0</v>
      </c>
      <c r="W108" s="83">
        <v>0</v>
      </c>
      <c r="X108" s="83">
        <v>0</v>
      </c>
      <c r="Y108" s="83">
        <v>0</v>
      </c>
      <c r="Z108" s="83">
        <v>0</v>
      </c>
      <c r="AA108" s="83">
        <v>0</v>
      </c>
      <c r="AB108" s="83">
        <v>0</v>
      </c>
      <c r="AC108" s="83">
        <v>0</v>
      </c>
      <c r="AD108" s="83">
        <v>0</v>
      </c>
      <c r="AE108" s="83">
        <v>0</v>
      </c>
      <c r="AF108" s="83">
        <v>0</v>
      </c>
      <c r="AG108" s="83">
        <v>0</v>
      </c>
      <c r="AH108" s="83">
        <v>0</v>
      </c>
      <c r="AI108" s="83">
        <v>0</v>
      </c>
      <c r="AJ108" s="83">
        <v>0</v>
      </c>
      <c r="AK108" s="83">
        <v>0</v>
      </c>
      <c r="AL108" s="277">
        <v>0</v>
      </c>
      <c r="AM108" s="277">
        <f t="shared" si="8"/>
        <v>0</v>
      </c>
      <c r="AN108" s="277">
        <v>0</v>
      </c>
      <c r="AO108" s="277">
        <f t="shared" si="8"/>
        <v>0</v>
      </c>
      <c r="AP108" s="277">
        <v>0</v>
      </c>
      <c r="AQ108" s="277">
        <v>0</v>
      </c>
      <c r="AR108" s="277">
        <v>0</v>
      </c>
    </row>
    <row r="109" spans="1:44">
      <c r="A109" s="91" t="s">
        <v>311</v>
      </c>
      <c r="B109" s="83">
        <v>0</v>
      </c>
      <c r="C109" s="83">
        <v>0</v>
      </c>
      <c r="D109" s="83">
        <v>0</v>
      </c>
      <c r="E109" s="83">
        <v>0</v>
      </c>
      <c r="F109" s="83">
        <v>0</v>
      </c>
      <c r="G109" s="83">
        <v>0</v>
      </c>
      <c r="H109" s="83">
        <v>0</v>
      </c>
      <c r="I109" s="83">
        <v>0</v>
      </c>
      <c r="J109" s="83">
        <v>0.41299724800589444</v>
      </c>
      <c r="K109" s="83">
        <v>1.71530458980731</v>
      </c>
      <c r="L109" s="83">
        <v>4.4487827473195427</v>
      </c>
      <c r="M109" s="83">
        <v>7.7264801690532865</v>
      </c>
      <c r="N109" s="83">
        <v>12.122895675196471</v>
      </c>
      <c r="O109" s="83">
        <v>16.945353618298604</v>
      </c>
      <c r="P109" s="83">
        <v>22.55109570411059</v>
      </c>
      <c r="Q109" s="83">
        <v>29.211625482575776</v>
      </c>
      <c r="R109" s="83">
        <v>35.498532439289328</v>
      </c>
      <c r="S109" s="83">
        <v>42.78253856388055</v>
      </c>
      <c r="T109" s="83">
        <v>50.254761894282723</v>
      </c>
      <c r="U109" s="83">
        <v>54.744859854717546</v>
      </c>
      <c r="V109" s="83">
        <v>66.853840146373997</v>
      </c>
      <c r="W109" s="83">
        <v>65.761445864835579</v>
      </c>
      <c r="X109" s="83">
        <v>70.225459331216811</v>
      </c>
      <c r="Y109" s="83">
        <v>71.443419558839025</v>
      </c>
      <c r="Z109" s="83">
        <v>67.550845400815248</v>
      </c>
      <c r="AA109" s="83">
        <v>84.293357092881237</v>
      </c>
      <c r="AB109" s="83">
        <v>87.583607563471489</v>
      </c>
      <c r="AC109" s="83">
        <v>87.997777198846265</v>
      </c>
      <c r="AD109" s="83">
        <v>86.303668080326204</v>
      </c>
      <c r="AE109" s="181">
        <v>78.430777752973853</v>
      </c>
      <c r="AF109" s="83">
        <v>57.127471311886268</v>
      </c>
      <c r="AG109" s="83">
        <v>56.637719719024552</v>
      </c>
      <c r="AH109" s="83">
        <v>52.365310774409593</v>
      </c>
      <c r="AI109" s="301">
        <v>47.488143579866502</v>
      </c>
      <c r="AJ109" s="302">
        <v>40.397423650750341</v>
      </c>
      <c r="AK109" s="301">
        <v>33.962139460608846</v>
      </c>
      <c r="AL109" s="277">
        <v>29.5292697639454</v>
      </c>
      <c r="AM109" s="277">
        <f t="shared" si="8"/>
        <v>21.306909401463869</v>
      </c>
      <c r="AN109" s="277">
        <v>13.084549038982336</v>
      </c>
      <c r="AO109" s="277">
        <f t="shared" si="8"/>
        <v>10.278661688395577</v>
      </c>
      <c r="AP109" s="277">
        <v>7.4727743378088158</v>
      </c>
      <c r="AQ109" s="277">
        <v>0.12532163192014936</v>
      </c>
      <c r="AR109" s="277">
        <v>0</v>
      </c>
    </row>
    <row r="110" spans="1:44" s="399" customFormat="1">
      <c r="A110" s="91" t="s">
        <v>312</v>
      </c>
      <c r="B110" s="83">
        <v>0</v>
      </c>
      <c r="C110" s="83">
        <v>0</v>
      </c>
      <c r="D110" s="83">
        <v>0</v>
      </c>
      <c r="E110" s="83">
        <v>0</v>
      </c>
      <c r="F110" s="83">
        <v>0</v>
      </c>
      <c r="G110" s="83">
        <v>0</v>
      </c>
      <c r="H110" s="83">
        <v>0</v>
      </c>
      <c r="I110" s="83">
        <v>0</v>
      </c>
      <c r="J110" s="83">
        <v>4.6160732110324476E-3</v>
      </c>
      <c r="K110" s="83">
        <v>2.2558940026136419E-2</v>
      </c>
      <c r="L110" s="83">
        <v>6.2540382384182386E-2</v>
      </c>
      <c r="M110" s="83">
        <v>9.0509887252028492E-2</v>
      </c>
      <c r="N110" s="83">
        <v>9.360166742730637E-2</v>
      </c>
      <c r="O110" s="83">
        <v>0.10787570543268359</v>
      </c>
      <c r="P110" s="83">
        <v>0.11768981246968574</v>
      </c>
      <c r="Q110" s="83">
        <v>0.1190656569253825</v>
      </c>
      <c r="R110" s="83">
        <v>0.11405335722520581</v>
      </c>
      <c r="S110" s="83">
        <v>0.10378093426492781</v>
      </c>
      <c r="T110" s="83">
        <v>8.7350013141026278E-2</v>
      </c>
      <c r="U110" s="83">
        <v>6.6697838620850394E-2</v>
      </c>
      <c r="V110" s="83">
        <v>4.9293358826229476E-2</v>
      </c>
      <c r="W110" s="83">
        <v>3.3359629488675144E-2</v>
      </c>
      <c r="X110" s="83">
        <v>3.6817698780828974E-2</v>
      </c>
      <c r="Y110" s="83">
        <v>3.8705234292318973E-2</v>
      </c>
      <c r="Z110" s="83">
        <v>3.8448674346536808E-2</v>
      </c>
      <c r="AA110" s="83">
        <v>4.4338055656248231E-2</v>
      </c>
      <c r="AB110" s="83">
        <v>4.6066780777335579E-2</v>
      </c>
      <c r="AC110" s="83">
        <v>4.9483009377741249E-2</v>
      </c>
      <c r="AD110" s="83">
        <v>6.6171999474337773E-2</v>
      </c>
      <c r="AE110" s="83">
        <v>7.6896076365336102E-2</v>
      </c>
      <c r="AF110" s="83">
        <v>5.63479782987064E-2</v>
      </c>
      <c r="AG110" s="83">
        <v>3.7281100077553461E-2</v>
      </c>
      <c r="AH110" s="83">
        <v>4.4879740397535499E-2</v>
      </c>
      <c r="AI110" s="400">
        <v>7.4114729782249381E-2</v>
      </c>
      <c r="AJ110" s="401">
        <v>6.9645840961988226E-2</v>
      </c>
      <c r="AK110" s="400"/>
      <c r="AL110" s="277">
        <v>0</v>
      </c>
      <c r="AM110" s="277">
        <f t="shared" si="8"/>
        <v>0</v>
      </c>
      <c r="AN110" s="277">
        <v>0</v>
      </c>
      <c r="AO110" s="277">
        <f t="shared" si="8"/>
        <v>0</v>
      </c>
      <c r="AP110" s="277">
        <v>0</v>
      </c>
      <c r="AQ110" s="277">
        <v>0</v>
      </c>
      <c r="AR110" s="277">
        <v>0</v>
      </c>
    </row>
    <row r="111" spans="1:44">
      <c r="A111" s="91" t="s">
        <v>313</v>
      </c>
      <c r="B111" s="83">
        <v>0</v>
      </c>
      <c r="C111" s="83">
        <v>0</v>
      </c>
      <c r="D111" s="83">
        <v>0</v>
      </c>
      <c r="E111" s="83">
        <v>0</v>
      </c>
      <c r="F111" s="83">
        <v>0</v>
      </c>
      <c r="G111" s="83">
        <v>0</v>
      </c>
      <c r="H111" s="83">
        <v>0</v>
      </c>
      <c r="I111" s="83">
        <v>0</v>
      </c>
      <c r="J111" s="83">
        <v>4.8082135918222263E-4</v>
      </c>
      <c r="K111" s="83">
        <v>2.1318491089023736E-3</v>
      </c>
      <c r="L111" s="83">
        <v>1.1513810035160102E-2</v>
      </c>
      <c r="M111" s="83">
        <v>0.2946845608068317</v>
      </c>
      <c r="N111" s="83">
        <v>0.46970819375372613</v>
      </c>
      <c r="O111" s="83">
        <v>1.0021742773700404</v>
      </c>
      <c r="P111" s="83">
        <v>1.4906164561978577</v>
      </c>
      <c r="Q111" s="83">
        <v>1.9263995826644718</v>
      </c>
      <c r="R111" s="83">
        <v>3.0956372902019451</v>
      </c>
      <c r="S111" s="83">
        <v>4.3274747453709406</v>
      </c>
      <c r="T111" s="83">
        <v>5.7424731758957401</v>
      </c>
      <c r="U111" s="83">
        <v>6.0630404992496683</v>
      </c>
      <c r="V111" s="83">
        <v>8.0338594778230537</v>
      </c>
      <c r="W111" s="83">
        <v>16.053781456790755</v>
      </c>
      <c r="X111" s="83">
        <v>19.897303708634723</v>
      </c>
      <c r="Y111" s="83">
        <v>23.63394107481605</v>
      </c>
      <c r="Z111" s="83">
        <v>27.776630203481108</v>
      </c>
      <c r="AA111" s="83">
        <v>34.293938519602911</v>
      </c>
      <c r="AB111" s="83">
        <v>37.794264897811765</v>
      </c>
      <c r="AC111" s="83">
        <v>41.904313061339231</v>
      </c>
      <c r="AD111" s="83">
        <v>47.99649541351593</v>
      </c>
      <c r="AE111" s="83">
        <v>54.807168469252552</v>
      </c>
      <c r="AF111" s="83">
        <v>73.839663777362674</v>
      </c>
      <c r="AG111" s="83">
        <v>83.206997472316488</v>
      </c>
      <c r="AH111" s="83">
        <v>84.477009009091887</v>
      </c>
      <c r="AI111" s="301">
        <v>86.469246408838032</v>
      </c>
      <c r="AJ111" s="302">
        <v>82.501228101574014</v>
      </c>
      <c r="AK111" s="301">
        <v>85.151870929630718</v>
      </c>
      <c r="AL111" s="277">
        <v>81.122415435113481</v>
      </c>
      <c r="AM111" s="277">
        <f t="shared" si="8"/>
        <v>73.848888485125954</v>
      </c>
      <c r="AN111" s="277">
        <v>66.575361535138427</v>
      </c>
      <c r="AO111" s="277">
        <f t="shared" si="8"/>
        <v>60.841359922810305</v>
      </c>
      <c r="AP111" s="277">
        <v>55.107358310482184</v>
      </c>
      <c r="AQ111" s="277">
        <v>3.3284198458674341</v>
      </c>
      <c r="AR111" s="277">
        <v>0</v>
      </c>
    </row>
    <row r="112" spans="1:44">
      <c r="A112" s="91" t="s">
        <v>314</v>
      </c>
      <c r="B112" s="83">
        <v>0</v>
      </c>
      <c r="C112" s="83">
        <v>0</v>
      </c>
      <c r="D112" s="83">
        <v>0</v>
      </c>
      <c r="E112" s="83">
        <v>0</v>
      </c>
      <c r="F112" s="83">
        <v>0</v>
      </c>
      <c r="G112" s="83">
        <v>0</v>
      </c>
      <c r="H112" s="83">
        <v>0</v>
      </c>
      <c r="I112" s="83">
        <v>0</v>
      </c>
      <c r="J112" s="83">
        <v>0</v>
      </c>
      <c r="K112" s="83">
        <v>0</v>
      </c>
      <c r="L112" s="83">
        <v>0</v>
      </c>
      <c r="M112" s="83">
        <v>0</v>
      </c>
      <c r="N112" s="83">
        <v>0</v>
      </c>
      <c r="O112" s="83">
        <v>0</v>
      </c>
      <c r="P112" s="83">
        <v>0</v>
      </c>
      <c r="Q112" s="83">
        <v>0</v>
      </c>
      <c r="R112" s="83">
        <v>0</v>
      </c>
      <c r="S112" s="83">
        <v>0</v>
      </c>
      <c r="T112" s="83">
        <v>0</v>
      </c>
      <c r="U112" s="83">
        <v>0</v>
      </c>
      <c r="V112" s="83">
        <v>0</v>
      </c>
      <c r="W112" s="83">
        <v>0</v>
      </c>
      <c r="X112" s="83">
        <v>0</v>
      </c>
      <c r="Y112" s="83">
        <v>0</v>
      </c>
      <c r="Z112" s="83">
        <v>0</v>
      </c>
      <c r="AA112" s="83">
        <v>0</v>
      </c>
      <c r="AB112" s="83">
        <v>0</v>
      </c>
      <c r="AC112" s="83">
        <v>0</v>
      </c>
      <c r="AD112" s="83">
        <v>0</v>
      </c>
      <c r="AE112" s="83">
        <v>0</v>
      </c>
      <c r="AF112" s="83">
        <v>0</v>
      </c>
      <c r="AG112" s="83">
        <v>0</v>
      </c>
      <c r="AH112" s="83">
        <v>0</v>
      </c>
      <c r="AI112" s="301">
        <v>0</v>
      </c>
      <c r="AJ112" s="302">
        <v>0</v>
      </c>
      <c r="AK112" s="301">
        <v>0</v>
      </c>
      <c r="AL112" s="277">
        <v>0</v>
      </c>
      <c r="AM112" s="277">
        <f t="shared" si="8"/>
        <v>0</v>
      </c>
      <c r="AN112" s="277">
        <v>0</v>
      </c>
      <c r="AO112" s="277">
        <f t="shared" si="8"/>
        <v>0</v>
      </c>
      <c r="AP112" s="277">
        <v>0</v>
      </c>
      <c r="AQ112" s="277">
        <v>0</v>
      </c>
      <c r="AR112" s="277">
        <v>0</v>
      </c>
    </row>
    <row r="113" spans="1:44">
      <c r="A113" s="91" t="s">
        <v>315</v>
      </c>
      <c r="B113" s="83">
        <v>0</v>
      </c>
      <c r="C113" s="83">
        <v>0</v>
      </c>
      <c r="D113" s="83">
        <v>0</v>
      </c>
      <c r="E113" s="83">
        <v>0</v>
      </c>
      <c r="F113" s="83">
        <v>0</v>
      </c>
      <c r="G113" s="83">
        <v>0</v>
      </c>
      <c r="H113" s="83">
        <v>0</v>
      </c>
      <c r="I113" s="83">
        <v>0</v>
      </c>
      <c r="J113" s="83">
        <v>0</v>
      </c>
      <c r="K113" s="83">
        <v>0</v>
      </c>
      <c r="L113" s="83">
        <v>0</v>
      </c>
      <c r="M113" s="83">
        <v>0</v>
      </c>
      <c r="N113" s="83">
        <v>0</v>
      </c>
      <c r="O113" s="83">
        <v>0</v>
      </c>
      <c r="P113" s="83">
        <v>0</v>
      </c>
      <c r="Q113" s="83">
        <v>0</v>
      </c>
      <c r="R113" s="83">
        <v>0</v>
      </c>
      <c r="S113" s="83">
        <v>0</v>
      </c>
      <c r="T113" s="83">
        <v>0</v>
      </c>
      <c r="U113" s="83">
        <v>0</v>
      </c>
      <c r="V113" s="83">
        <v>0</v>
      </c>
      <c r="W113" s="83">
        <v>0</v>
      </c>
      <c r="X113" s="83">
        <v>0</v>
      </c>
      <c r="Y113" s="83">
        <v>0</v>
      </c>
      <c r="Z113" s="83">
        <v>0</v>
      </c>
      <c r="AA113" s="83">
        <v>0</v>
      </c>
      <c r="AB113" s="83">
        <v>0</v>
      </c>
      <c r="AC113" s="83">
        <v>0</v>
      </c>
      <c r="AD113" s="83">
        <v>0</v>
      </c>
      <c r="AE113" s="83">
        <v>0</v>
      </c>
      <c r="AF113" s="83">
        <v>0</v>
      </c>
      <c r="AG113" s="83">
        <v>0</v>
      </c>
      <c r="AH113" s="83">
        <v>0</v>
      </c>
      <c r="AI113" s="277">
        <v>0</v>
      </c>
      <c r="AJ113" s="277">
        <v>0</v>
      </c>
      <c r="AK113" s="277">
        <v>0</v>
      </c>
      <c r="AL113" s="277">
        <v>0</v>
      </c>
      <c r="AM113" s="277">
        <f t="shared" si="8"/>
        <v>0</v>
      </c>
      <c r="AN113" s="277">
        <v>0</v>
      </c>
      <c r="AO113" s="277">
        <f t="shared" si="8"/>
        <v>0</v>
      </c>
      <c r="AP113" s="277">
        <v>0</v>
      </c>
      <c r="AQ113" s="277">
        <v>0</v>
      </c>
      <c r="AR113" s="277">
        <v>0</v>
      </c>
    </row>
    <row r="114" spans="1:44">
      <c r="A114" s="91" t="s">
        <v>316</v>
      </c>
      <c r="B114" s="83">
        <v>0</v>
      </c>
      <c r="C114" s="83">
        <v>0</v>
      </c>
      <c r="D114" s="83">
        <v>0</v>
      </c>
      <c r="E114" s="83">
        <v>0</v>
      </c>
      <c r="F114" s="83">
        <v>0</v>
      </c>
      <c r="G114" s="83">
        <v>0</v>
      </c>
      <c r="H114" s="83">
        <v>0</v>
      </c>
      <c r="I114" s="83">
        <v>0</v>
      </c>
      <c r="J114" s="83">
        <v>0</v>
      </c>
      <c r="K114" s="83">
        <v>0</v>
      </c>
      <c r="L114" s="83">
        <v>0</v>
      </c>
      <c r="M114" s="83">
        <v>0</v>
      </c>
      <c r="N114" s="83">
        <v>0</v>
      </c>
      <c r="O114" s="83">
        <v>0</v>
      </c>
      <c r="P114" s="83">
        <v>0</v>
      </c>
      <c r="Q114" s="83">
        <v>0</v>
      </c>
      <c r="R114" s="83">
        <v>0</v>
      </c>
      <c r="S114" s="83">
        <v>0</v>
      </c>
      <c r="T114" s="83">
        <v>0</v>
      </c>
      <c r="U114" s="83">
        <v>0</v>
      </c>
      <c r="V114" s="83">
        <v>0</v>
      </c>
      <c r="W114" s="83">
        <v>0</v>
      </c>
      <c r="X114" s="83">
        <v>0</v>
      </c>
      <c r="Y114" s="83">
        <v>0</v>
      </c>
      <c r="Z114" s="83">
        <v>0</v>
      </c>
      <c r="AA114" s="83">
        <v>0</v>
      </c>
      <c r="AB114" s="83">
        <v>0</v>
      </c>
      <c r="AC114" s="83">
        <v>0</v>
      </c>
      <c r="AD114" s="83">
        <v>0</v>
      </c>
      <c r="AE114" s="83">
        <v>0</v>
      </c>
      <c r="AF114" s="83">
        <v>0</v>
      </c>
      <c r="AG114" s="83">
        <v>0</v>
      </c>
      <c r="AH114" s="83">
        <v>0</v>
      </c>
      <c r="AI114" s="277">
        <v>0</v>
      </c>
      <c r="AJ114" s="277">
        <v>0</v>
      </c>
      <c r="AK114" s="277">
        <v>0</v>
      </c>
      <c r="AL114" s="277">
        <v>0</v>
      </c>
      <c r="AM114" s="277">
        <f t="shared" si="8"/>
        <v>0</v>
      </c>
      <c r="AN114" s="277">
        <v>0</v>
      </c>
      <c r="AO114" s="277">
        <f t="shared" si="8"/>
        <v>0</v>
      </c>
      <c r="AP114" s="277">
        <v>0</v>
      </c>
      <c r="AQ114" s="277">
        <v>0</v>
      </c>
      <c r="AR114" s="277">
        <v>0</v>
      </c>
    </row>
    <row r="115" spans="1:44">
      <c r="A115" s="91" t="s">
        <v>317</v>
      </c>
      <c r="B115" s="83">
        <v>0</v>
      </c>
      <c r="C115" s="83">
        <v>0</v>
      </c>
      <c r="D115" s="83">
        <v>0</v>
      </c>
      <c r="E115" s="83">
        <v>0</v>
      </c>
      <c r="F115" s="83">
        <v>0</v>
      </c>
      <c r="G115" s="83">
        <v>0</v>
      </c>
      <c r="H115" s="83">
        <v>0</v>
      </c>
      <c r="I115" s="83">
        <v>0</v>
      </c>
      <c r="J115" s="83">
        <v>0</v>
      </c>
      <c r="K115" s="83">
        <v>0</v>
      </c>
      <c r="L115" s="83">
        <v>0</v>
      </c>
      <c r="M115" s="83">
        <v>0</v>
      </c>
      <c r="N115" s="83">
        <v>0</v>
      </c>
      <c r="O115" s="83">
        <v>0</v>
      </c>
      <c r="P115" s="83">
        <v>0</v>
      </c>
      <c r="Q115" s="83">
        <v>0</v>
      </c>
      <c r="R115" s="83">
        <v>0</v>
      </c>
      <c r="S115" s="83">
        <v>0</v>
      </c>
      <c r="T115" s="83">
        <v>0</v>
      </c>
      <c r="U115" s="83">
        <v>0</v>
      </c>
      <c r="V115" s="83">
        <v>0</v>
      </c>
      <c r="W115" s="83">
        <v>0</v>
      </c>
      <c r="X115" s="83">
        <v>0</v>
      </c>
      <c r="Y115" s="83">
        <v>0</v>
      </c>
      <c r="Z115" s="83">
        <v>0</v>
      </c>
      <c r="AA115" s="83">
        <v>0</v>
      </c>
      <c r="AB115" s="83">
        <v>0</v>
      </c>
      <c r="AC115" s="83">
        <v>0</v>
      </c>
      <c r="AD115" s="83">
        <v>0</v>
      </c>
      <c r="AE115" s="83">
        <v>0</v>
      </c>
      <c r="AF115" s="83">
        <v>0</v>
      </c>
      <c r="AG115" s="83">
        <v>0</v>
      </c>
      <c r="AH115" s="83">
        <v>0</v>
      </c>
      <c r="AI115" s="277">
        <v>0</v>
      </c>
      <c r="AJ115" s="277">
        <v>0</v>
      </c>
      <c r="AK115" s="277">
        <v>0</v>
      </c>
      <c r="AL115" s="277">
        <v>0</v>
      </c>
      <c r="AM115" s="277">
        <f t="shared" si="8"/>
        <v>0</v>
      </c>
      <c r="AN115" s="277">
        <v>0</v>
      </c>
      <c r="AO115" s="277">
        <f t="shared" si="8"/>
        <v>0</v>
      </c>
      <c r="AP115" s="277">
        <v>0</v>
      </c>
      <c r="AQ115" s="277">
        <v>0</v>
      </c>
      <c r="AR115" s="277">
        <v>0</v>
      </c>
    </row>
    <row r="116" spans="1:44">
      <c r="A116" s="115" t="s">
        <v>318</v>
      </c>
      <c r="B116" s="117">
        <v>0</v>
      </c>
      <c r="C116" s="117">
        <v>0</v>
      </c>
      <c r="D116" s="117">
        <v>0</v>
      </c>
      <c r="E116" s="117">
        <v>0.29076981072209074</v>
      </c>
      <c r="F116" s="117">
        <v>29.414954972106617</v>
      </c>
      <c r="G116" s="117">
        <v>95.584061161149947</v>
      </c>
      <c r="H116" s="117">
        <v>175.06462526604929</v>
      </c>
      <c r="I116" s="117">
        <v>272.38137319253747</v>
      </c>
      <c r="J116" s="117">
        <v>411.08017692470173</v>
      </c>
      <c r="K116" s="117">
        <v>636.05614388869697</v>
      </c>
      <c r="L116" s="117">
        <v>892.65142451889778</v>
      </c>
      <c r="M116" s="117">
        <v>1111.9442121391651</v>
      </c>
      <c r="N116" s="117">
        <v>1337.0727800348802</v>
      </c>
      <c r="O116" s="117">
        <v>1595.3501181214017</v>
      </c>
      <c r="P116" s="117">
        <v>1853.0469234498389</v>
      </c>
      <c r="Q116" s="117">
        <v>1909.4462173723045</v>
      </c>
      <c r="R116" s="117">
        <v>2260.2671440547088</v>
      </c>
      <c r="S116" s="117">
        <v>2483.6341381640359</v>
      </c>
      <c r="T116" s="117">
        <v>2686.7086262485973</v>
      </c>
      <c r="U116" s="117">
        <v>2681.7377263402473</v>
      </c>
      <c r="V116" s="117">
        <v>2966.0343722481271</v>
      </c>
      <c r="W116" s="117">
        <v>2952.2239790011599</v>
      </c>
      <c r="X116" s="117">
        <v>3019.8594785184009</v>
      </c>
      <c r="Y116" s="117">
        <v>3053.0738829018933</v>
      </c>
      <c r="Z116" s="117">
        <v>3039.8012044224333</v>
      </c>
      <c r="AA116" s="117">
        <v>3003.3483368992074</v>
      </c>
      <c r="AB116" s="117">
        <v>2961.6092497003251</v>
      </c>
      <c r="AC116" s="117">
        <v>2784.7513873903622</v>
      </c>
      <c r="AD116" s="117">
        <v>2525.0591939564092</v>
      </c>
      <c r="AE116" s="117">
        <v>2277.3893911985601</v>
      </c>
      <c r="AF116" s="117">
        <v>2011.3377196599856</v>
      </c>
      <c r="AG116" s="117">
        <v>1852.3034844164074</v>
      </c>
      <c r="AH116" s="117">
        <v>1680.9846958057119</v>
      </c>
      <c r="AI116" s="285">
        <v>1532.5205484291298</v>
      </c>
      <c r="AJ116" s="285">
        <v>1275.7391986412895</v>
      </c>
      <c r="AK116" s="285">
        <v>1075.0904359860797</v>
      </c>
      <c r="AL116" s="285">
        <v>955.25934905326733</v>
      </c>
      <c r="AM116" s="285">
        <f>SUM(AM95:AM115)</f>
        <v>735.40339644080723</v>
      </c>
      <c r="AN116" s="285">
        <v>515.54744382834713</v>
      </c>
      <c r="AO116" s="285">
        <f>SUM(AO95:AO115)</f>
        <v>403.84396912802868</v>
      </c>
      <c r="AP116" s="285">
        <v>292.14049442771011</v>
      </c>
      <c r="AQ116" s="285">
        <v>20.81341414359196</v>
      </c>
      <c r="AR116" s="285">
        <v>0</v>
      </c>
    </row>
    <row r="117" spans="1:44">
      <c r="A117" s="91" t="s">
        <v>45</v>
      </c>
      <c r="B117" s="83">
        <v>0</v>
      </c>
      <c r="C117" s="83">
        <v>0</v>
      </c>
      <c r="D117" s="83">
        <v>0</v>
      </c>
      <c r="E117" s="83">
        <v>0</v>
      </c>
      <c r="F117" s="83">
        <v>0</v>
      </c>
      <c r="G117" s="83">
        <v>0</v>
      </c>
      <c r="H117" s="83">
        <v>0</v>
      </c>
      <c r="I117" s="83">
        <v>0</v>
      </c>
      <c r="J117" s="83">
        <v>0</v>
      </c>
      <c r="K117" s="83">
        <v>2.0522346936760072</v>
      </c>
      <c r="L117" s="83">
        <v>6.0919700587465639</v>
      </c>
      <c r="M117" s="83">
        <v>9.9603807007655618</v>
      </c>
      <c r="N117" s="83">
        <v>13.621234327881877</v>
      </c>
      <c r="O117" s="83">
        <v>17.007456835389327</v>
      </c>
      <c r="P117" s="83">
        <v>20.111402993681448</v>
      </c>
      <c r="Q117" s="83">
        <v>23.425894439997737</v>
      </c>
      <c r="R117" s="83">
        <v>26.541992774236075</v>
      </c>
      <c r="S117" s="83">
        <v>30.434609859307315</v>
      </c>
      <c r="T117" s="83">
        <v>33.275449302549397</v>
      </c>
      <c r="U117" s="83">
        <v>36.224037516928597</v>
      </c>
      <c r="V117" s="83">
        <v>40.171060057538178</v>
      </c>
      <c r="W117" s="83">
        <v>42.583489967836712</v>
      </c>
      <c r="X117" s="83">
        <v>44.505542029015217</v>
      </c>
      <c r="Y117" s="83">
        <v>45.905808501474148</v>
      </c>
      <c r="Z117" s="83">
        <v>47.402565959833524</v>
      </c>
      <c r="AA117" s="83">
        <v>50.873562286406916</v>
      </c>
      <c r="AB117" s="83">
        <v>50.031981244374954</v>
      </c>
      <c r="AC117" s="83">
        <v>49.356538374524959</v>
      </c>
      <c r="AD117" s="83">
        <v>48.163317447632316</v>
      </c>
      <c r="AE117" s="83">
        <v>47.029061692464261</v>
      </c>
      <c r="AF117" s="83">
        <v>45.208450723191284</v>
      </c>
      <c r="AG117" s="83">
        <v>43.70467029266095</v>
      </c>
      <c r="AH117" s="83">
        <v>42.251275611792195</v>
      </c>
      <c r="AI117" s="277">
        <v>40.724187206782418</v>
      </c>
      <c r="AJ117" s="277">
        <v>37.196006653125963</v>
      </c>
      <c r="AK117" s="277">
        <v>36.155667316061049</v>
      </c>
      <c r="AL117" s="277">
        <v>33.851851247040258</v>
      </c>
      <c r="AM117" s="277">
        <f>AL117+(AN117-AL117)/2</f>
        <v>29.947304806630189</v>
      </c>
      <c r="AN117" s="277">
        <v>26.04275836622012</v>
      </c>
      <c r="AO117" s="277">
        <f>AN117+(AP117-AN117)/2</f>
        <v>22.462541973901196</v>
      </c>
      <c r="AP117" s="277">
        <v>18.882325581582275</v>
      </c>
      <c r="AQ117" s="277">
        <v>3.7783457504307387</v>
      </c>
      <c r="AR117" s="277">
        <v>1.4629825154913985</v>
      </c>
    </row>
    <row r="118" spans="1:44">
      <c r="A118" s="91" t="s">
        <v>319</v>
      </c>
      <c r="B118" s="83">
        <v>0</v>
      </c>
      <c r="C118" s="83">
        <v>0</v>
      </c>
      <c r="D118" s="83">
        <v>0</v>
      </c>
      <c r="E118" s="83">
        <v>0</v>
      </c>
      <c r="F118" s="83">
        <v>0</v>
      </c>
      <c r="G118" s="83">
        <v>0</v>
      </c>
      <c r="H118" s="83">
        <v>0</v>
      </c>
      <c r="I118" s="83">
        <v>0</v>
      </c>
      <c r="J118" s="83">
        <v>0</v>
      </c>
      <c r="K118" s="83">
        <v>0</v>
      </c>
      <c r="L118" s="83">
        <v>0</v>
      </c>
      <c r="M118" s="83">
        <v>0</v>
      </c>
      <c r="N118" s="83">
        <v>0</v>
      </c>
      <c r="O118" s="83">
        <v>0</v>
      </c>
      <c r="P118" s="83">
        <v>0</v>
      </c>
      <c r="Q118" s="83">
        <v>0</v>
      </c>
      <c r="R118" s="83">
        <v>0</v>
      </c>
      <c r="S118" s="83">
        <v>0</v>
      </c>
      <c r="T118" s="83">
        <v>0</v>
      </c>
      <c r="U118" s="83">
        <v>0</v>
      </c>
      <c r="V118" s="83">
        <v>0</v>
      </c>
      <c r="W118" s="83">
        <v>0</v>
      </c>
      <c r="X118" s="83">
        <v>0</v>
      </c>
      <c r="Y118" s="83">
        <v>0</v>
      </c>
      <c r="Z118" s="83">
        <v>0</v>
      </c>
      <c r="AA118" s="83">
        <v>0</v>
      </c>
      <c r="AB118" s="83">
        <v>0</v>
      </c>
      <c r="AC118" s="83">
        <v>0</v>
      </c>
      <c r="AD118" s="83">
        <v>0</v>
      </c>
      <c r="AE118" s="83">
        <v>0</v>
      </c>
      <c r="AF118" s="83">
        <v>0</v>
      </c>
      <c r="AG118" s="83">
        <v>0</v>
      </c>
      <c r="AH118" s="83">
        <v>0</v>
      </c>
      <c r="AI118" s="277">
        <v>0</v>
      </c>
      <c r="AJ118" s="277">
        <v>0</v>
      </c>
      <c r="AK118" s="277">
        <v>0</v>
      </c>
      <c r="AL118" s="277">
        <v>0</v>
      </c>
      <c r="AM118" s="277">
        <f>AL118+(AN118-AL118)/2</f>
        <v>0</v>
      </c>
      <c r="AN118" s="277">
        <v>0</v>
      </c>
      <c r="AO118" s="277">
        <f>AN118+(AP118-AN118)/2</f>
        <v>0</v>
      </c>
      <c r="AP118" s="277">
        <v>0</v>
      </c>
      <c r="AQ118" s="277">
        <v>0</v>
      </c>
      <c r="AR118" s="277">
        <v>0</v>
      </c>
    </row>
    <row r="119" spans="1:44">
      <c r="A119" s="91" t="s">
        <v>320</v>
      </c>
      <c r="B119" s="83">
        <v>0</v>
      </c>
      <c r="C119" s="83">
        <v>0</v>
      </c>
      <c r="D119" s="83">
        <v>0</v>
      </c>
      <c r="E119" s="83">
        <v>0</v>
      </c>
      <c r="F119" s="83">
        <v>2.0718184857578308</v>
      </c>
      <c r="G119" s="83">
        <v>12.367888634779998</v>
      </c>
      <c r="H119" s="83">
        <v>30.067127767892938</v>
      </c>
      <c r="I119" s="83">
        <v>49.572859788215496</v>
      </c>
      <c r="J119" s="83">
        <v>71.396572180332086</v>
      </c>
      <c r="K119" s="83">
        <v>95.469299432701675</v>
      </c>
      <c r="L119" s="83">
        <v>122.69749697977348</v>
      </c>
      <c r="M119" s="83">
        <v>153.09320668384672</v>
      </c>
      <c r="N119" s="83">
        <v>183.55781570843595</v>
      </c>
      <c r="O119" s="83">
        <v>213.35447202389125</v>
      </c>
      <c r="P119" s="83">
        <v>242.16615543346856</v>
      </c>
      <c r="Q119" s="83">
        <v>258.85501631259541</v>
      </c>
      <c r="R119" s="83">
        <v>280.76775312949644</v>
      </c>
      <c r="S119" s="83">
        <v>302.63811089450274</v>
      </c>
      <c r="T119" s="83">
        <v>332.21638368286222</v>
      </c>
      <c r="U119" s="83">
        <v>343.34086917207554</v>
      </c>
      <c r="V119" s="83">
        <v>339.00590693795567</v>
      </c>
      <c r="W119" s="83">
        <v>359.5973317440467</v>
      </c>
      <c r="X119" s="83">
        <v>379.70771056508232</v>
      </c>
      <c r="Y119" s="83">
        <v>397.75703908259572</v>
      </c>
      <c r="Z119" s="83">
        <v>408.57226935242664</v>
      </c>
      <c r="AA119" s="83">
        <v>410.73464824385746</v>
      </c>
      <c r="AB119" s="83">
        <v>415.06913243427147</v>
      </c>
      <c r="AC119" s="83">
        <v>413.16420331790698</v>
      </c>
      <c r="AD119" s="83">
        <v>420.95431720990257</v>
      </c>
      <c r="AE119" s="83">
        <v>434.58086425807215</v>
      </c>
      <c r="AF119" s="83">
        <v>425.02127235477366</v>
      </c>
      <c r="AG119" s="83">
        <v>422.96541540481491</v>
      </c>
      <c r="AH119" s="83">
        <v>423.57156302027954</v>
      </c>
      <c r="AI119" s="277">
        <v>412.19662805471847</v>
      </c>
      <c r="AJ119" s="277">
        <v>397.20371074816569</v>
      </c>
      <c r="AK119" s="277">
        <v>381.19111771053019</v>
      </c>
      <c r="AL119" s="277">
        <v>364.78604697679299</v>
      </c>
      <c r="AM119" s="277">
        <f>AL119+(AN119-AL119)/2</f>
        <v>334.87160765291446</v>
      </c>
      <c r="AN119" s="277">
        <v>304.95716832903588</v>
      </c>
      <c r="AO119" s="277">
        <f>AN119+(AP119-AN119)/2</f>
        <v>279.03670554910229</v>
      </c>
      <c r="AP119" s="277">
        <v>253.11624276916865</v>
      </c>
      <c r="AQ119" s="277">
        <v>61.619658141450202</v>
      </c>
      <c r="AR119" s="277">
        <v>10.211816023305825</v>
      </c>
    </row>
    <row r="120" spans="1:44">
      <c r="A120" s="91" t="s">
        <v>321</v>
      </c>
      <c r="B120" s="83">
        <v>0</v>
      </c>
      <c r="C120" s="83">
        <v>0</v>
      </c>
      <c r="D120" s="83">
        <v>0</v>
      </c>
      <c r="E120" s="83">
        <v>0</v>
      </c>
      <c r="F120" s="83">
        <v>0</v>
      </c>
      <c r="G120" s="83">
        <v>0</v>
      </c>
      <c r="H120" s="83">
        <v>0</v>
      </c>
      <c r="I120" s="83">
        <v>0</v>
      </c>
      <c r="J120" s="83">
        <v>0</v>
      </c>
      <c r="K120" s="83">
        <v>0</v>
      </c>
      <c r="L120" s="83">
        <v>0</v>
      </c>
      <c r="M120" s="83">
        <v>0</v>
      </c>
      <c r="N120" s="83">
        <v>0</v>
      </c>
      <c r="O120" s="83">
        <v>0</v>
      </c>
      <c r="P120" s="83">
        <v>0</v>
      </c>
      <c r="Q120" s="83">
        <v>0</v>
      </c>
      <c r="R120" s="83">
        <v>0</v>
      </c>
      <c r="S120" s="83">
        <v>0</v>
      </c>
      <c r="T120" s="83">
        <v>0</v>
      </c>
      <c r="U120" s="83">
        <v>0</v>
      </c>
      <c r="V120" s="83">
        <v>0</v>
      </c>
      <c r="W120" s="83">
        <v>0</v>
      </c>
      <c r="X120" s="83">
        <v>0</v>
      </c>
      <c r="Y120" s="83">
        <v>0</v>
      </c>
      <c r="Z120" s="83">
        <v>0</v>
      </c>
      <c r="AA120" s="83">
        <v>0</v>
      </c>
      <c r="AB120" s="83">
        <v>0</v>
      </c>
      <c r="AC120" s="83">
        <v>0</v>
      </c>
      <c r="AD120" s="83">
        <v>0</v>
      </c>
      <c r="AE120" s="83">
        <v>0</v>
      </c>
      <c r="AF120" s="83">
        <v>0</v>
      </c>
      <c r="AG120" s="83">
        <v>0</v>
      </c>
      <c r="AH120" s="83">
        <v>0</v>
      </c>
      <c r="AI120" s="277">
        <v>0</v>
      </c>
      <c r="AJ120" s="277">
        <v>0</v>
      </c>
      <c r="AK120" s="277">
        <v>0</v>
      </c>
      <c r="AL120" s="277">
        <v>0</v>
      </c>
      <c r="AM120" s="277">
        <f>AL120+(AN120-AL120)/2</f>
        <v>0</v>
      </c>
      <c r="AN120" s="277">
        <v>0</v>
      </c>
      <c r="AO120" s="277">
        <f>AN120+(AP120-AN120)/2</f>
        <v>0</v>
      </c>
      <c r="AP120" s="277">
        <v>0</v>
      </c>
      <c r="AQ120" s="277">
        <v>0</v>
      </c>
      <c r="AR120" s="277">
        <v>0</v>
      </c>
    </row>
    <row r="121" spans="1:44">
      <c r="A121" s="91" t="s">
        <v>199</v>
      </c>
      <c r="B121" s="83">
        <v>0</v>
      </c>
      <c r="C121" s="83">
        <v>0</v>
      </c>
      <c r="D121" s="83">
        <v>0</v>
      </c>
      <c r="E121" s="83">
        <v>0</v>
      </c>
      <c r="F121" s="83">
        <v>0.86932190089097061</v>
      </c>
      <c r="G121" s="83">
        <v>6.4774336466078868</v>
      </c>
      <c r="H121" s="83">
        <v>15.794086724505979</v>
      </c>
      <c r="I121" s="83">
        <v>20.325775464477953</v>
      </c>
      <c r="J121" s="83">
        <v>20.33422309424159</v>
      </c>
      <c r="K121" s="83">
        <v>20.341942843576266</v>
      </c>
      <c r="L121" s="83">
        <v>19.474915276307055</v>
      </c>
      <c r="M121" s="83">
        <v>18.658303041611539</v>
      </c>
      <c r="N121" s="83">
        <v>18.226635505613419</v>
      </c>
      <c r="O121" s="83">
        <v>19.136640505014995</v>
      </c>
      <c r="P121" s="83">
        <v>20.262446513536208</v>
      </c>
      <c r="Q121" s="83">
        <v>20.03579742831138</v>
      </c>
      <c r="R121" s="83">
        <v>19.785663079279182</v>
      </c>
      <c r="S121" s="83">
        <v>19.518329700717317</v>
      </c>
      <c r="T121" s="83">
        <v>19.266447283088219</v>
      </c>
      <c r="U121" s="83">
        <v>18.245128814100422</v>
      </c>
      <c r="V121" s="83">
        <v>18.780563038915883</v>
      </c>
      <c r="W121" s="83">
        <v>19.392358400771482</v>
      </c>
      <c r="X121" s="83">
        <v>17.238857560325616</v>
      </c>
      <c r="Y121" s="83">
        <v>15.818350828051546</v>
      </c>
      <c r="Z121" s="83">
        <v>15.865176987122707</v>
      </c>
      <c r="AA121" s="83">
        <v>15.768599672102912</v>
      </c>
      <c r="AB121" s="83">
        <v>15.542839209408994</v>
      </c>
      <c r="AC121" s="83">
        <v>15.457964952428972</v>
      </c>
      <c r="AD121" s="83">
        <v>8.4327654742151044</v>
      </c>
      <c r="AE121" s="83">
        <v>0.94783465283453938</v>
      </c>
      <c r="AF121" s="83">
        <v>4.6340593124118694E-2</v>
      </c>
      <c r="AG121" s="83">
        <v>0.10615404238555272</v>
      </c>
      <c r="AH121" s="83">
        <v>0.13853469903134896</v>
      </c>
      <c r="AI121" s="277">
        <v>8.3127342409312327E-2</v>
      </c>
      <c r="AJ121" s="277">
        <v>2.7709027120280724E-2</v>
      </c>
      <c r="AK121" s="277">
        <v>2.770902712028072E-2</v>
      </c>
      <c r="AL121" s="277">
        <v>2.7742815192684612E-2</v>
      </c>
      <c r="AM121" s="277">
        <f>AL121+(AN121-AL121)/2</f>
        <v>5.5434355788976708E-2</v>
      </c>
      <c r="AN121" s="277">
        <v>8.3125896385268794E-2</v>
      </c>
      <c r="AO121" s="277">
        <f>AN121+(AP121-AN121)/2</f>
        <v>8.3986401622848816E-2</v>
      </c>
      <c r="AP121" s="277">
        <v>8.4846906860428825E-2</v>
      </c>
      <c r="AQ121" s="277">
        <v>1.5860888127350464E-3</v>
      </c>
      <c r="AR121" s="277">
        <v>1.6447702204406842E-3</v>
      </c>
    </row>
    <row r="122" spans="1:44">
      <c r="A122" s="115" t="s">
        <v>322</v>
      </c>
      <c r="B122" s="118">
        <v>0</v>
      </c>
      <c r="C122" s="118">
        <v>0</v>
      </c>
      <c r="D122" s="118">
        <v>0</v>
      </c>
      <c r="E122" s="116">
        <v>0</v>
      </c>
      <c r="F122" s="116">
        <v>2.9411403866488013</v>
      </c>
      <c r="G122" s="116">
        <v>18.845322281387887</v>
      </c>
      <c r="H122" s="116">
        <v>45.861214492398915</v>
      </c>
      <c r="I122" s="116">
        <v>69.898635252693452</v>
      </c>
      <c r="J122" s="116">
        <v>91.73079527457368</v>
      </c>
      <c r="K122" s="116">
        <v>117.86347696995395</v>
      </c>
      <c r="L122" s="116">
        <v>148.26438231482709</v>
      </c>
      <c r="M122" s="116">
        <v>181.71189042622382</v>
      </c>
      <c r="N122" s="116">
        <v>215.40568554193123</v>
      </c>
      <c r="O122" s="116">
        <v>249.49856936429558</v>
      </c>
      <c r="P122" s="116">
        <v>282.54000494068617</v>
      </c>
      <c r="Q122" s="116">
        <v>302.31670818090453</v>
      </c>
      <c r="R122" s="116">
        <v>327.09540898301168</v>
      </c>
      <c r="S122" s="116">
        <v>352.59105045452736</v>
      </c>
      <c r="T122" s="116">
        <v>384.75828026849985</v>
      </c>
      <c r="U122" s="116">
        <v>397.81003550310459</v>
      </c>
      <c r="V122" s="116">
        <v>397.95753003440973</v>
      </c>
      <c r="W122" s="116">
        <v>421.57318011265488</v>
      </c>
      <c r="X122" s="116">
        <v>441.45211015442317</v>
      </c>
      <c r="Y122" s="116">
        <v>459.48119841212144</v>
      </c>
      <c r="Z122" s="116">
        <v>471.84001229938286</v>
      </c>
      <c r="AA122" s="116">
        <v>477.37681020236732</v>
      </c>
      <c r="AB122" s="116">
        <v>480.64395288805542</v>
      </c>
      <c r="AC122" s="116">
        <v>477.97870664486095</v>
      </c>
      <c r="AD122" s="116">
        <v>477.55040013175</v>
      </c>
      <c r="AE122" s="116">
        <v>482.55776060337098</v>
      </c>
      <c r="AF122" s="116">
        <v>470.27606367108905</v>
      </c>
      <c r="AG122" s="116">
        <v>466.77623973986141</v>
      </c>
      <c r="AH122" s="116">
        <v>465.96137333110312</v>
      </c>
      <c r="AI122" s="285">
        <v>453.00394260391016</v>
      </c>
      <c r="AJ122" s="285">
        <v>434.42742642841193</v>
      </c>
      <c r="AK122" s="285">
        <v>417.37449405371154</v>
      </c>
      <c r="AL122" s="285">
        <v>398.66564103902596</v>
      </c>
      <c r="AM122" s="285">
        <f>SUM(AM117:AM121)</f>
        <v>364.87434681533364</v>
      </c>
      <c r="AN122" s="285">
        <v>331.08305259164126</v>
      </c>
      <c r="AO122" s="285">
        <f>SUM(AO117:AO121)</f>
        <v>301.58323392462631</v>
      </c>
      <c r="AP122" s="285">
        <v>272.08341525761136</v>
      </c>
      <c r="AQ122" s="285">
        <v>65.399589980693676</v>
      </c>
      <c r="AR122" s="285">
        <v>11.676443309017664</v>
      </c>
    </row>
    <row r="123" spans="1:44">
      <c r="A123" s="119" t="s">
        <v>323</v>
      </c>
      <c r="B123" s="121">
        <v>0</v>
      </c>
      <c r="C123" s="121">
        <v>0</v>
      </c>
      <c r="D123" s="121">
        <v>0</v>
      </c>
      <c r="E123" s="120">
        <v>0.29076981072209074</v>
      </c>
      <c r="F123" s="120">
        <v>32.356095358755418</v>
      </c>
      <c r="G123" s="120">
        <v>114.42938344253784</v>
      </c>
      <c r="H123" s="120">
        <v>220.92583975844821</v>
      </c>
      <c r="I123" s="120">
        <v>342.28000844523092</v>
      </c>
      <c r="J123" s="120">
        <v>502.8109721992754</v>
      </c>
      <c r="K123" s="120">
        <v>753.91962085865089</v>
      </c>
      <c r="L123" s="120">
        <v>1040.9158068337249</v>
      </c>
      <c r="M123" s="120">
        <v>1293.6561025653889</v>
      </c>
      <c r="N123" s="120">
        <v>1552.4784655768115</v>
      </c>
      <c r="O123" s="120">
        <v>1844.8486874856972</v>
      </c>
      <c r="P123" s="120">
        <v>2135.5869283905249</v>
      </c>
      <c r="Q123" s="120">
        <v>2211.7629255532092</v>
      </c>
      <c r="R123" s="120">
        <v>2587.3625530377203</v>
      </c>
      <c r="S123" s="120">
        <v>2836.2251886185632</v>
      </c>
      <c r="T123" s="120">
        <v>3071.466906517097</v>
      </c>
      <c r="U123" s="120">
        <v>3079.547761843352</v>
      </c>
      <c r="V123" s="120">
        <v>3363.991902282537</v>
      </c>
      <c r="W123" s="120">
        <v>3373.7971591138148</v>
      </c>
      <c r="X123" s="120">
        <v>3461.3115886728242</v>
      </c>
      <c r="Y123" s="120">
        <v>3512.5550813140148</v>
      </c>
      <c r="Z123" s="120">
        <v>3511.6412167218164</v>
      </c>
      <c r="AA123" s="120">
        <v>3480.7251471015747</v>
      </c>
      <c r="AB123" s="120">
        <v>3442.2532025883806</v>
      </c>
      <c r="AC123" s="120">
        <v>3262.7300940352234</v>
      </c>
      <c r="AD123" s="120">
        <v>3002.6095940881592</v>
      </c>
      <c r="AE123" s="120">
        <v>2759.9471518019309</v>
      </c>
      <c r="AF123" s="120">
        <v>2481.6137833310745</v>
      </c>
      <c r="AG123" s="120">
        <v>2319.0797241562686</v>
      </c>
      <c r="AH123" s="120">
        <v>2146.9460691368149</v>
      </c>
      <c r="AI123" s="286">
        <v>1985.52449103304</v>
      </c>
      <c r="AJ123" s="286">
        <v>1710.1666250697015</v>
      </c>
      <c r="AK123" s="286">
        <v>1492.4649300397912</v>
      </c>
      <c r="AL123" s="286">
        <v>1353.9249900922935</v>
      </c>
      <c r="AM123" s="286">
        <f>+AM116+AM122</f>
        <v>1100.2777432561409</v>
      </c>
      <c r="AN123" s="286">
        <v>846.63049641998839</v>
      </c>
      <c r="AO123" s="286">
        <f>+AO116+AO122</f>
        <v>705.42720305265493</v>
      </c>
      <c r="AP123" s="286">
        <v>564.22390968532147</v>
      </c>
      <c r="AQ123" s="286">
        <v>86.213004124285632</v>
      </c>
      <c r="AR123" s="286">
        <v>11.676443309017664</v>
      </c>
    </row>
    <row r="124" spans="1:44">
      <c r="A124" s="122"/>
      <c r="B124" s="122"/>
      <c r="C124" s="122"/>
      <c r="D124" s="122"/>
      <c r="E124" s="122"/>
      <c r="F124" s="122"/>
      <c r="G124" s="122"/>
      <c r="H124" s="122"/>
      <c r="I124" s="122"/>
      <c r="J124" s="122"/>
      <c r="K124" s="122"/>
      <c r="L124" s="122"/>
      <c r="M124" s="122"/>
      <c r="N124" s="122"/>
      <c r="O124" s="122"/>
      <c r="P124" s="122"/>
      <c r="Q124" s="122"/>
      <c r="R124" s="122"/>
      <c r="S124" s="122"/>
      <c r="T124" s="122"/>
      <c r="U124" s="122"/>
      <c r="V124" s="122"/>
      <c r="W124" s="140"/>
      <c r="X124" s="140"/>
      <c r="Y124" s="140"/>
      <c r="Z124" s="140"/>
      <c r="AA124" s="140"/>
      <c r="AB124" s="140"/>
      <c r="AC124" s="140"/>
      <c r="AD124" s="140"/>
      <c r="AE124" s="140"/>
      <c r="AF124" s="122"/>
      <c r="AG124" s="122"/>
      <c r="AH124" s="122"/>
      <c r="AI124" s="33"/>
      <c r="AJ124" s="33"/>
      <c r="AK124" s="33"/>
      <c r="AL124" s="33">
        <v>0</v>
      </c>
      <c r="AM124" s="33"/>
      <c r="AN124" s="33"/>
      <c r="AO124" s="33"/>
      <c r="AP124" s="33">
        <v>0</v>
      </c>
      <c r="AQ124">
        <v>0</v>
      </c>
      <c r="AR124">
        <v>0</v>
      </c>
    </row>
    <row r="125" spans="1:44" ht="24">
      <c r="A125" s="123" t="s">
        <v>324</v>
      </c>
      <c r="B125" s="124">
        <v>0</v>
      </c>
      <c r="C125" s="124">
        <v>0</v>
      </c>
      <c r="D125" s="124">
        <v>0</v>
      </c>
      <c r="E125" s="124">
        <v>0</v>
      </c>
      <c r="F125" s="124">
        <v>0</v>
      </c>
      <c r="G125" s="124">
        <v>0</v>
      </c>
      <c r="H125" s="124">
        <v>0</v>
      </c>
      <c r="I125" s="124">
        <v>0</v>
      </c>
      <c r="J125" s="124">
        <v>0</v>
      </c>
      <c r="K125" s="124">
        <v>0</v>
      </c>
      <c r="L125" s="124">
        <v>0</v>
      </c>
      <c r="M125" s="124">
        <v>0</v>
      </c>
      <c r="N125" s="124">
        <v>0</v>
      </c>
      <c r="O125" s="124">
        <v>0</v>
      </c>
      <c r="P125" s="124">
        <v>0</v>
      </c>
      <c r="Q125" s="124">
        <v>0</v>
      </c>
      <c r="R125" s="124">
        <v>0</v>
      </c>
      <c r="S125" s="124">
        <v>0</v>
      </c>
      <c r="T125" s="124">
        <v>0</v>
      </c>
      <c r="U125" s="124">
        <v>0</v>
      </c>
      <c r="V125" s="124">
        <v>0</v>
      </c>
      <c r="W125" s="124">
        <v>0</v>
      </c>
      <c r="X125" s="124">
        <v>0</v>
      </c>
      <c r="Y125" s="124">
        <v>0</v>
      </c>
      <c r="Z125" s="124">
        <v>0</v>
      </c>
      <c r="AA125" s="124">
        <v>0</v>
      </c>
      <c r="AB125" s="124">
        <v>0</v>
      </c>
      <c r="AC125" s="124">
        <v>0</v>
      </c>
      <c r="AD125" s="124">
        <v>0</v>
      </c>
      <c r="AE125" s="124">
        <v>0</v>
      </c>
      <c r="AF125" s="124">
        <v>0</v>
      </c>
      <c r="AG125" s="124">
        <v>0</v>
      </c>
      <c r="AH125" s="124">
        <v>0</v>
      </c>
      <c r="AI125" s="124">
        <v>0</v>
      </c>
      <c r="AJ125" s="124">
        <v>0</v>
      </c>
      <c r="AK125" s="124">
        <v>0</v>
      </c>
      <c r="AL125" s="124">
        <v>0</v>
      </c>
      <c r="AM125" s="124">
        <f>AL125+(AN125-AL125)/2</f>
        <v>0</v>
      </c>
      <c r="AN125" s="124">
        <v>0</v>
      </c>
      <c r="AO125" s="124">
        <f>AN125+(AP125-AN125)/2</f>
        <v>0</v>
      </c>
      <c r="AP125" s="124">
        <v>0</v>
      </c>
      <c r="AQ125" s="124">
        <v>0</v>
      </c>
      <c r="AR125" s="124">
        <v>0</v>
      </c>
    </row>
    <row r="126" spans="1:44" ht="24">
      <c r="A126" s="123" t="s">
        <v>325</v>
      </c>
      <c r="B126" s="124">
        <v>0</v>
      </c>
      <c r="C126" s="124">
        <v>0</v>
      </c>
      <c r="D126" s="124">
        <v>0</v>
      </c>
      <c r="E126" s="124">
        <v>0</v>
      </c>
      <c r="F126" s="124">
        <v>0</v>
      </c>
      <c r="G126" s="124">
        <v>0</v>
      </c>
      <c r="H126" s="124">
        <v>0</v>
      </c>
      <c r="I126" s="124">
        <v>0</v>
      </c>
      <c r="J126" s="124">
        <v>0</v>
      </c>
      <c r="K126" s="124">
        <v>0</v>
      </c>
      <c r="L126" s="124">
        <v>0</v>
      </c>
      <c r="M126" s="124">
        <v>0</v>
      </c>
      <c r="N126" s="124">
        <v>0</v>
      </c>
      <c r="O126" s="124">
        <v>0</v>
      </c>
      <c r="P126" s="124">
        <v>0</v>
      </c>
      <c r="Q126" s="124">
        <v>0</v>
      </c>
      <c r="R126" s="124">
        <v>0</v>
      </c>
      <c r="S126" s="124">
        <v>0</v>
      </c>
      <c r="T126" s="124">
        <v>0</v>
      </c>
      <c r="U126" s="124">
        <v>0</v>
      </c>
      <c r="V126" s="124">
        <v>0</v>
      </c>
      <c r="W126" s="124">
        <v>0</v>
      </c>
      <c r="X126" s="124">
        <v>0</v>
      </c>
      <c r="Y126" s="124">
        <v>0</v>
      </c>
      <c r="Z126" s="124">
        <v>0</v>
      </c>
      <c r="AA126" s="124">
        <v>0</v>
      </c>
      <c r="AB126" s="124">
        <v>0</v>
      </c>
      <c r="AC126" s="124">
        <v>0</v>
      </c>
      <c r="AD126" s="124">
        <v>0</v>
      </c>
      <c r="AE126" s="124">
        <v>0</v>
      </c>
      <c r="AF126" s="124">
        <v>0</v>
      </c>
      <c r="AG126" s="124">
        <v>0</v>
      </c>
      <c r="AH126" s="124">
        <v>0</v>
      </c>
      <c r="AI126" s="124">
        <v>0</v>
      </c>
      <c r="AJ126" s="124">
        <v>0</v>
      </c>
      <c r="AK126" s="124">
        <v>0</v>
      </c>
      <c r="AL126" s="124">
        <v>0</v>
      </c>
      <c r="AM126" s="124">
        <f>AL126+(AN126-AL126)/2</f>
        <v>0</v>
      </c>
      <c r="AN126" s="124">
        <v>0</v>
      </c>
      <c r="AO126" s="124">
        <f>AN126+(AP126-AN126)/2</f>
        <v>0</v>
      </c>
      <c r="AP126" s="124">
        <v>0</v>
      </c>
      <c r="AQ126" s="124">
        <v>0</v>
      </c>
      <c r="AR126" s="124">
        <v>0</v>
      </c>
    </row>
    <row r="127" spans="1:44" ht="24">
      <c r="A127" s="123" t="s">
        <v>326</v>
      </c>
      <c r="B127" s="124">
        <v>0</v>
      </c>
      <c r="C127" s="124">
        <v>0</v>
      </c>
      <c r="D127" s="124">
        <v>0</v>
      </c>
      <c r="E127" s="124">
        <v>0</v>
      </c>
      <c r="F127" s="124">
        <v>5.0183898499784796</v>
      </c>
      <c r="G127" s="124">
        <v>37.392693354130749</v>
      </c>
      <c r="H127" s="124">
        <v>91.175529371462915</v>
      </c>
      <c r="I127" s="124">
        <v>117.33589730033827</v>
      </c>
      <c r="J127" s="124">
        <v>117.38466347017571</v>
      </c>
      <c r="K127" s="124">
        <v>117.42922775834766</v>
      </c>
      <c r="L127" s="124">
        <v>112.42408255404999</v>
      </c>
      <c r="M127" s="124">
        <v>107.70997314789784</v>
      </c>
      <c r="N127" s="124">
        <v>105.21805849695212</v>
      </c>
      <c r="O127" s="124">
        <v>110.47130225826318</v>
      </c>
      <c r="P127" s="124">
        <v>116.97031423577944</v>
      </c>
      <c r="Q127" s="124">
        <v>115.66192264040676</v>
      </c>
      <c r="R127" s="124">
        <v>114.21795616834657</v>
      </c>
      <c r="S127" s="124">
        <v>112.67470376419071</v>
      </c>
      <c r="T127" s="124">
        <v>111.22064610531619</v>
      </c>
      <c r="U127" s="124">
        <v>105.32481599553647</v>
      </c>
      <c r="V127" s="124">
        <v>108.41575121342416</v>
      </c>
      <c r="W127" s="124">
        <v>111.94750122576527</v>
      </c>
      <c r="X127" s="124">
        <v>99.515849902432223</v>
      </c>
      <c r="Y127" s="124">
        <v>91.315600305862574</v>
      </c>
      <c r="Z127" s="124">
        <v>91.585916653760108</v>
      </c>
      <c r="AA127" s="124">
        <v>91.028398642380495</v>
      </c>
      <c r="AB127" s="124">
        <v>89.725136854832684</v>
      </c>
      <c r="AC127" s="124">
        <v>89.235177831234566</v>
      </c>
      <c r="AD127" s="124">
        <v>48.680361808068177</v>
      </c>
      <c r="AE127" s="124">
        <v>5.4716254086865543</v>
      </c>
      <c r="AF127" s="124">
        <v>0.26751329045974032</v>
      </c>
      <c r="AG127" s="124">
        <v>0.61280219478636666</v>
      </c>
      <c r="AH127" s="124">
        <v>0.79972807170302618</v>
      </c>
      <c r="AI127" s="124">
        <v>0.47987449870413318</v>
      </c>
      <c r="AJ127" s="124">
        <v>0.15995766391100655</v>
      </c>
      <c r="AK127" s="124">
        <v>0.15995766391100649</v>
      </c>
      <c r="AL127" s="124">
        <v>1.5956726807303997E-4</v>
      </c>
      <c r="AM127" s="124">
        <f>AL127+(AN127-AL127)/2</f>
        <v>3.1970592480937729E-4</v>
      </c>
      <c r="AN127" s="124">
        <v>4.7984458154571452E-4</v>
      </c>
      <c r="AO127" s="124">
        <f>AN127+(AP127-AN127)/2</f>
        <v>3.5989796990786688E-4</v>
      </c>
      <c r="AP127" s="124">
        <v>2.3995135827001922E-4</v>
      </c>
      <c r="AQ127" s="124">
        <v>0</v>
      </c>
      <c r="AR127" s="124">
        <v>0</v>
      </c>
    </row>
    <row r="128" spans="1:44">
      <c r="A128" s="125" t="s">
        <v>327</v>
      </c>
      <c r="B128" s="126">
        <v>0</v>
      </c>
      <c r="C128" s="126">
        <v>0</v>
      </c>
      <c r="D128" s="126">
        <v>0</v>
      </c>
      <c r="E128" s="126">
        <v>0</v>
      </c>
      <c r="F128" s="126">
        <v>0</v>
      </c>
      <c r="G128" s="126">
        <v>0</v>
      </c>
      <c r="H128" s="126">
        <v>0</v>
      </c>
      <c r="I128" s="126">
        <v>0</v>
      </c>
      <c r="J128" s="126">
        <v>0</v>
      </c>
      <c r="K128" s="126">
        <v>0</v>
      </c>
      <c r="L128" s="126">
        <v>0</v>
      </c>
      <c r="M128" s="126">
        <v>0</v>
      </c>
      <c r="N128" s="126">
        <v>0</v>
      </c>
      <c r="O128" s="126">
        <v>0</v>
      </c>
      <c r="P128" s="126">
        <v>0</v>
      </c>
      <c r="Q128" s="126">
        <v>0</v>
      </c>
      <c r="R128" s="126">
        <v>0</v>
      </c>
      <c r="S128" s="126">
        <v>0</v>
      </c>
      <c r="T128" s="126">
        <v>0</v>
      </c>
      <c r="U128" s="126">
        <v>0</v>
      </c>
      <c r="V128" s="126">
        <v>0</v>
      </c>
      <c r="W128" s="126">
        <v>0</v>
      </c>
      <c r="X128" s="126">
        <v>0</v>
      </c>
      <c r="Y128" s="126">
        <v>0</v>
      </c>
      <c r="Z128" s="126">
        <v>0</v>
      </c>
      <c r="AA128" s="126">
        <v>0</v>
      </c>
      <c r="AB128" s="126">
        <v>0</v>
      </c>
      <c r="AC128" s="126">
        <v>0</v>
      </c>
      <c r="AD128" s="126">
        <v>0</v>
      </c>
      <c r="AE128" s="126">
        <v>0</v>
      </c>
      <c r="AF128" s="126">
        <v>0</v>
      </c>
      <c r="AG128" s="126">
        <v>0</v>
      </c>
      <c r="AH128" s="126">
        <v>0</v>
      </c>
      <c r="AI128" s="124">
        <v>0</v>
      </c>
      <c r="AJ128" s="124">
        <v>0</v>
      </c>
      <c r="AK128" s="124">
        <v>0</v>
      </c>
      <c r="AL128" s="124">
        <v>0</v>
      </c>
      <c r="AM128" s="124">
        <f>AL128+(AN128-AL128)/2</f>
        <v>0</v>
      </c>
      <c r="AN128" s="124">
        <v>0</v>
      </c>
      <c r="AO128" s="124">
        <f>AN128+(AP128-AN128)/2</f>
        <v>0</v>
      </c>
      <c r="AP128" s="124">
        <v>0</v>
      </c>
      <c r="AQ128" s="124">
        <v>0</v>
      </c>
      <c r="AR128" s="124">
        <v>0</v>
      </c>
    </row>
    <row r="129" spans="1:44">
      <c r="A129" s="127" t="s">
        <v>328</v>
      </c>
      <c r="B129" s="129">
        <v>0</v>
      </c>
      <c r="C129" s="129">
        <v>0</v>
      </c>
      <c r="D129" s="129">
        <v>0</v>
      </c>
      <c r="E129" s="129">
        <v>0</v>
      </c>
      <c r="F129" s="128">
        <v>5.0183898499784796</v>
      </c>
      <c r="G129" s="128">
        <v>37.392693354130749</v>
      </c>
      <c r="H129" s="128">
        <v>91.175529371462915</v>
      </c>
      <c r="I129" s="128">
        <v>117.33589730033827</v>
      </c>
      <c r="J129" s="128">
        <v>117.38466347017571</v>
      </c>
      <c r="K129" s="128">
        <v>117.42922775834766</v>
      </c>
      <c r="L129" s="128">
        <v>112.42408255404999</v>
      </c>
      <c r="M129" s="128">
        <v>107.70997314789784</v>
      </c>
      <c r="N129" s="128">
        <v>105.21805849695212</v>
      </c>
      <c r="O129" s="128">
        <v>110.47130225826318</v>
      </c>
      <c r="P129" s="128">
        <v>116.97031423577944</v>
      </c>
      <c r="Q129" s="128">
        <v>115.66192264040676</v>
      </c>
      <c r="R129" s="128">
        <v>114.21795616834657</v>
      </c>
      <c r="S129" s="128">
        <v>112.67470376419071</v>
      </c>
      <c r="T129" s="128">
        <v>111.22064610531619</v>
      </c>
      <c r="U129" s="128">
        <v>105.32481599553647</v>
      </c>
      <c r="V129" s="128">
        <v>108.41575121342416</v>
      </c>
      <c r="W129" s="128">
        <v>111.94750122576527</v>
      </c>
      <c r="X129" s="128">
        <v>99.515849902432223</v>
      </c>
      <c r="Y129" s="128">
        <v>91.315600305862574</v>
      </c>
      <c r="Z129" s="128">
        <v>91.585916653760108</v>
      </c>
      <c r="AA129" s="128">
        <v>91.028398642380495</v>
      </c>
      <c r="AB129" s="128">
        <v>89.725136854832684</v>
      </c>
      <c r="AC129" s="128">
        <v>89.235177831234566</v>
      </c>
      <c r="AD129" s="128">
        <v>48.680361808068177</v>
      </c>
      <c r="AE129" s="128">
        <v>5.4716254086865543</v>
      </c>
      <c r="AF129" s="128">
        <v>0.26751329045974032</v>
      </c>
      <c r="AG129" s="128">
        <v>0.61280219478636666</v>
      </c>
      <c r="AH129" s="128">
        <v>0.79972807170302618</v>
      </c>
      <c r="AI129" s="287">
        <v>0.47987449870413318</v>
      </c>
      <c r="AJ129" s="287">
        <v>0.15995766391100655</v>
      </c>
      <c r="AK129" s="287">
        <v>0.15995766391100649</v>
      </c>
      <c r="AL129" s="287">
        <v>1.5956726807303997E-4</v>
      </c>
      <c r="AM129" s="287">
        <f>SUM(AM125:AM128)</f>
        <v>3.1970592480937729E-4</v>
      </c>
      <c r="AN129" s="287">
        <v>4.7984458154571452E-4</v>
      </c>
      <c r="AO129" s="287">
        <f>SUM(AO125:AO128)</f>
        <v>3.5989796990786688E-4</v>
      </c>
      <c r="AP129" s="287">
        <v>2.3995135827001922E-4</v>
      </c>
      <c r="AQ129" s="287">
        <v>0</v>
      </c>
      <c r="AR129" s="287">
        <v>0</v>
      </c>
    </row>
    <row r="130" spans="1:44" ht="15">
      <c r="A130" s="501"/>
      <c r="B130" s="501"/>
      <c r="C130" s="501"/>
      <c r="D130" s="501"/>
      <c r="E130" s="501"/>
      <c r="F130" s="501"/>
      <c r="G130" s="501"/>
      <c r="H130" s="501"/>
      <c r="I130" s="501"/>
      <c r="J130" s="501"/>
      <c r="K130" s="501"/>
      <c r="L130" s="501"/>
      <c r="M130" s="501"/>
      <c r="N130" s="501"/>
      <c r="O130" s="501"/>
      <c r="P130" s="501"/>
      <c r="Q130" s="501"/>
      <c r="R130" s="501"/>
      <c r="S130" s="501"/>
      <c r="T130" s="501"/>
      <c r="U130" s="501"/>
      <c r="V130" s="501"/>
      <c r="W130" s="501"/>
      <c r="X130" s="501"/>
      <c r="Y130" s="501"/>
      <c r="Z130" s="501"/>
      <c r="AA130" s="501"/>
      <c r="AB130" s="501"/>
      <c r="AC130" s="61"/>
      <c r="AD130" s="61"/>
      <c r="AE130" s="61"/>
      <c r="AF130" s="61"/>
      <c r="AG130" s="61"/>
      <c r="AH130" s="61"/>
    </row>
    <row r="131" spans="1:44">
      <c r="A131" s="130" t="s">
        <v>329</v>
      </c>
      <c r="B131" s="131"/>
      <c r="C131" s="131"/>
      <c r="D131" s="131"/>
      <c r="E131" s="131"/>
      <c r="F131" s="131"/>
      <c r="G131" s="131"/>
      <c r="H131" s="131"/>
      <c r="I131" s="131"/>
      <c r="J131" s="131"/>
      <c r="K131" s="131"/>
      <c r="L131" s="131"/>
      <c r="M131" s="131"/>
      <c r="N131" s="131"/>
      <c r="O131" s="131"/>
      <c r="P131" s="131"/>
      <c r="Q131" s="131"/>
      <c r="R131" s="131"/>
      <c r="S131" s="131"/>
      <c r="T131" s="131"/>
      <c r="U131" s="131"/>
      <c r="V131" s="131"/>
      <c r="W131" s="131"/>
      <c r="X131" s="131"/>
      <c r="Y131" s="131"/>
      <c r="Z131" s="131"/>
      <c r="AA131" s="131"/>
      <c r="AB131" s="131"/>
      <c r="AC131" s="131"/>
      <c r="AD131" s="131"/>
      <c r="AE131" s="131"/>
      <c r="AF131" s="131"/>
      <c r="AG131" s="131"/>
      <c r="AH131" s="131"/>
      <c r="AI131" s="131"/>
      <c r="AJ131" s="131"/>
      <c r="AK131" s="391"/>
      <c r="AL131" s="505" t="s">
        <v>262</v>
      </c>
      <c r="AM131" s="505"/>
      <c r="AN131" s="505"/>
      <c r="AO131" s="505"/>
      <c r="AP131" s="505"/>
      <c r="AQ131" s="505"/>
      <c r="AR131" s="505"/>
    </row>
    <row r="132" spans="1:44" ht="52.8">
      <c r="A132" s="66" t="s">
        <v>613</v>
      </c>
      <c r="B132" s="393">
        <v>1990</v>
      </c>
      <c r="C132" s="393">
        <v>1991</v>
      </c>
      <c r="D132" s="393">
        <v>1992</v>
      </c>
      <c r="E132" s="393">
        <v>1993</v>
      </c>
      <c r="F132" s="393">
        <v>1994</v>
      </c>
      <c r="G132" s="393">
        <v>1995</v>
      </c>
      <c r="H132" s="393">
        <v>1996</v>
      </c>
      <c r="I132" s="393">
        <v>1997</v>
      </c>
      <c r="J132" s="393">
        <v>1998</v>
      </c>
      <c r="K132" s="393">
        <v>1999</v>
      </c>
      <c r="L132" s="393">
        <v>2000</v>
      </c>
      <c r="M132" s="393">
        <v>2001</v>
      </c>
      <c r="N132" s="393">
        <v>2002</v>
      </c>
      <c r="O132" s="393">
        <v>2003</v>
      </c>
      <c r="P132" s="393">
        <v>2004</v>
      </c>
      <c r="Q132" s="393">
        <v>2005</v>
      </c>
      <c r="R132" s="393">
        <v>2006</v>
      </c>
      <c r="S132" s="393">
        <v>2007</v>
      </c>
      <c r="T132" s="393">
        <v>2008</v>
      </c>
      <c r="U132" s="393">
        <v>2009</v>
      </c>
      <c r="V132" s="393">
        <v>2010</v>
      </c>
      <c r="W132" s="393">
        <v>2011</v>
      </c>
      <c r="X132" s="393">
        <v>2012</v>
      </c>
      <c r="Y132" s="393">
        <v>2013</v>
      </c>
      <c r="Z132" s="393">
        <v>2014</v>
      </c>
      <c r="AA132" s="393">
        <v>2015</v>
      </c>
      <c r="AB132" s="393">
        <v>2016</v>
      </c>
      <c r="AC132" s="393">
        <v>2017</v>
      </c>
      <c r="AD132" s="393">
        <v>2018</v>
      </c>
      <c r="AE132" s="393">
        <v>2019</v>
      </c>
      <c r="AF132" s="393">
        <v>2020</v>
      </c>
      <c r="AG132" s="397">
        <v>2021</v>
      </c>
      <c r="AH132" s="397">
        <v>2022</v>
      </c>
      <c r="AI132" s="393">
        <v>2023</v>
      </c>
      <c r="AJ132" s="394">
        <v>2024</v>
      </c>
      <c r="AK132" s="393">
        <v>2025</v>
      </c>
      <c r="AL132" s="394">
        <v>2026</v>
      </c>
      <c r="AM132" s="394">
        <v>2027</v>
      </c>
      <c r="AN132" s="393">
        <v>2028</v>
      </c>
      <c r="AO132" s="394">
        <v>2029</v>
      </c>
      <c r="AP132" s="393">
        <v>2030</v>
      </c>
      <c r="AQ132" s="393">
        <v>2040</v>
      </c>
      <c r="AR132" s="393">
        <v>2050</v>
      </c>
    </row>
    <row r="133" spans="1:44">
      <c r="A133" s="91" t="s">
        <v>85</v>
      </c>
      <c r="B133" s="83">
        <v>0</v>
      </c>
      <c r="C133" s="83">
        <v>0</v>
      </c>
      <c r="D133" s="83">
        <v>0</v>
      </c>
      <c r="E133" s="83">
        <v>0</v>
      </c>
      <c r="F133" s="83">
        <v>0</v>
      </c>
      <c r="G133" s="83">
        <v>0</v>
      </c>
      <c r="H133" s="83">
        <v>0</v>
      </c>
      <c r="I133" s="83">
        <v>0</v>
      </c>
      <c r="J133" s="83">
        <v>0</v>
      </c>
      <c r="K133" s="83">
        <v>0</v>
      </c>
      <c r="L133" s="83">
        <v>0</v>
      </c>
      <c r="M133" s="83">
        <v>0</v>
      </c>
      <c r="N133" s="83">
        <v>0</v>
      </c>
      <c r="O133" s="83">
        <v>0</v>
      </c>
      <c r="P133" s="83">
        <v>0</v>
      </c>
      <c r="Q133" s="83">
        <v>0</v>
      </c>
      <c r="R133" s="83">
        <v>0</v>
      </c>
      <c r="S133" s="83">
        <v>0</v>
      </c>
      <c r="T133" s="83">
        <v>0</v>
      </c>
      <c r="U133" s="83">
        <v>0</v>
      </c>
      <c r="V133" s="83">
        <v>0</v>
      </c>
      <c r="W133" s="83">
        <v>0</v>
      </c>
      <c r="X133" s="83">
        <v>0</v>
      </c>
      <c r="Y133" s="83">
        <v>0</v>
      </c>
      <c r="Z133" s="83">
        <v>0</v>
      </c>
      <c r="AA133" s="83">
        <v>0</v>
      </c>
      <c r="AB133" s="83">
        <v>0</v>
      </c>
      <c r="AC133" s="83">
        <v>0</v>
      </c>
      <c r="AD133" s="83">
        <v>0</v>
      </c>
      <c r="AE133" s="83">
        <v>0</v>
      </c>
      <c r="AF133" s="83">
        <v>0</v>
      </c>
      <c r="AG133" s="83">
        <v>0</v>
      </c>
      <c r="AH133" s="83">
        <v>0</v>
      </c>
      <c r="AI133" s="83">
        <v>0</v>
      </c>
      <c r="AJ133" s="83">
        <v>0</v>
      </c>
      <c r="AK133" s="83">
        <v>0</v>
      </c>
      <c r="AL133" s="83">
        <v>0</v>
      </c>
      <c r="AM133" s="83">
        <v>0</v>
      </c>
      <c r="AN133" s="83">
        <v>0</v>
      </c>
      <c r="AO133" s="83">
        <v>0</v>
      </c>
      <c r="AP133" s="83">
        <v>0</v>
      </c>
      <c r="AQ133" s="83">
        <v>0</v>
      </c>
      <c r="AR133" s="83">
        <v>0</v>
      </c>
    </row>
    <row r="134" spans="1:44">
      <c r="A134" s="91" t="s">
        <v>330</v>
      </c>
      <c r="B134" s="83">
        <v>0</v>
      </c>
      <c r="C134" s="83">
        <v>0</v>
      </c>
      <c r="D134" s="83">
        <v>0</v>
      </c>
      <c r="E134" s="83">
        <v>0</v>
      </c>
      <c r="F134" s="83">
        <v>0</v>
      </c>
      <c r="G134" s="83">
        <v>0</v>
      </c>
      <c r="H134" s="83">
        <v>0</v>
      </c>
      <c r="I134" s="83">
        <v>0</v>
      </c>
      <c r="J134" s="83">
        <v>0</v>
      </c>
      <c r="K134" s="83">
        <v>0</v>
      </c>
      <c r="L134" s="83">
        <v>0</v>
      </c>
      <c r="M134" s="83">
        <v>0</v>
      </c>
      <c r="N134" s="83">
        <v>0</v>
      </c>
      <c r="O134" s="83">
        <v>0</v>
      </c>
      <c r="P134" s="83">
        <v>0</v>
      </c>
      <c r="Q134" s="83">
        <v>0</v>
      </c>
      <c r="R134" s="83">
        <v>0</v>
      </c>
      <c r="S134" s="83">
        <v>0</v>
      </c>
      <c r="T134" s="83">
        <v>0</v>
      </c>
      <c r="U134" s="83">
        <v>0</v>
      </c>
      <c r="V134" s="83">
        <v>0</v>
      </c>
      <c r="W134" s="83">
        <v>0</v>
      </c>
      <c r="X134" s="83">
        <v>0</v>
      </c>
      <c r="Y134" s="83">
        <v>0</v>
      </c>
      <c r="Z134" s="83">
        <v>0</v>
      </c>
      <c r="AA134" s="83">
        <v>0</v>
      </c>
      <c r="AB134" s="83">
        <v>0</v>
      </c>
      <c r="AC134" s="83">
        <v>0</v>
      </c>
      <c r="AD134" s="83">
        <v>0</v>
      </c>
      <c r="AE134" s="83">
        <v>0</v>
      </c>
      <c r="AF134" s="83">
        <v>0</v>
      </c>
      <c r="AG134" s="83">
        <v>0</v>
      </c>
      <c r="AH134" s="83">
        <v>0</v>
      </c>
      <c r="AI134" s="83">
        <v>0</v>
      </c>
      <c r="AJ134" s="83">
        <v>0</v>
      </c>
      <c r="AK134" s="83">
        <v>0</v>
      </c>
      <c r="AL134" s="83">
        <v>0</v>
      </c>
      <c r="AM134" s="83">
        <v>0</v>
      </c>
      <c r="AN134" s="83">
        <v>0</v>
      </c>
      <c r="AO134" s="83">
        <v>0</v>
      </c>
      <c r="AP134" s="83">
        <v>0</v>
      </c>
      <c r="AQ134" s="83">
        <v>0</v>
      </c>
      <c r="AR134" s="83">
        <v>0</v>
      </c>
    </row>
    <row r="135" spans="1:44">
      <c r="A135" s="91" t="s">
        <v>331</v>
      </c>
      <c r="B135" s="83">
        <v>0</v>
      </c>
      <c r="C135" s="83">
        <v>0</v>
      </c>
      <c r="D135" s="83">
        <v>0</v>
      </c>
      <c r="E135" s="83">
        <v>0</v>
      </c>
      <c r="F135" s="83">
        <v>0</v>
      </c>
      <c r="G135" s="83">
        <v>0</v>
      </c>
      <c r="H135" s="83">
        <v>0</v>
      </c>
      <c r="I135" s="83">
        <v>0</v>
      </c>
      <c r="J135" s="83">
        <v>0</v>
      </c>
      <c r="K135" s="83">
        <v>0</v>
      </c>
      <c r="L135" s="83">
        <v>0</v>
      </c>
      <c r="M135" s="83">
        <v>0</v>
      </c>
      <c r="N135" s="83">
        <v>0</v>
      </c>
      <c r="O135" s="83">
        <v>0</v>
      </c>
      <c r="P135" s="83">
        <v>0</v>
      </c>
      <c r="Q135" s="83">
        <v>0</v>
      </c>
      <c r="R135" s="83">
        <v>0</v>
      </c>
      <c r="S135" s="83">
        <v>0</v>
      </c>
      <c r="T135" s="83">
        <v>0</v>
      </c>
      <c r="U135" s="83">
        <v>0</v>
      </c>
      <c r="V135" s="83">
        <v>0</v>
      </c>
      <c r="W135" s="83">
        <v>0</v>
      </c>
      <c r="X135" s="83">
        <v>0</v>
      </c>
      <c r="Y135" s="83">
        <v>0</v>
      </c>
      <c r="Z135" s="83">
        <v>0</v>
      </c>
      <c r="AA135" s="83">
        <v>0</v>
      </c>
      <c r="AB135" s="83">
        <v>0</v>
      </c>
      <c r="AC135" s="83">
        <v>0</v>
      </c>
      <c r="AD135" s="83">
        <v>0</v>
      </c>
      <c r="AE135" s="83">
        <v>0</v>
      </c>
      <c r="AF135" s="83">
        <v>0</v>
      </c>
      <c r="AG135" s="83">
        <v>0</v>
      </c>
      <c r="AH135" s="83">
        <v>0</v>
      </c>
      <c r="AI135" s="83">
        <v>0</v>
      </c>
      <c r="AJ135" s="83">
        <v>0</v>
      </c>
      <c r="AK135" s="83">
        <v>0</v>
      </c>
      <c r="AL135" s="83">
        <v>0</v>
      </c>
      <c r="AM135" s="83">
        <v>0</v>
      </c>
      <c r="AN135" s="83">
        <v>0</v>
      </c>
      <c r="AO135" s="83">
        <v>0</v>
      </c>
      <c r="AP135" s="83">
        <v>0</v>
      </c>
      <c r="AQ135" s="83">
        <v>0</v>
      </c>
      <c r="AR135" s="83">
        <v>0</v>
      </c>
    </row>
    <row r="136" spans="1:44">
      <c r="A136" s="91" t="s">
        <v>87</v>
      </c>
      <c r="B136" s="83">
        <v>0</v>
      </c>
      <c r="C136" s="83">
        <v>0</v>
      </c>
      <c r="D136" s="83">
        <v>0</v>
      </c>
      <c r="E136" s="83">
        <v>0</v>
      </c>
      <c r="F136" s="83">
        <v>0</v>
      </c>
      <c r="G136" s="83">
        <v>0</v>
      </c>
      <c r="H136" s="83">
        <v>0</v>
      </c>
      <c r="I136" s="83">
        <v>0</v>
      </c>
      <c r="J136" s="83">
        <v>0</v>
      </c>
      <c r="K136" s="83">
        <v>0</v>
      </c>
      <c r="L136" s="83">
        <v>0</v>
      </c>
      <c r="M136" s="83">
        <v>0</v>
      </c>
      <c r="N136" s="83">
        <v>0</v>
      </c>
      <c r="O136" s="83">
        <v>0</v>
      </c>
      <c r="P136" s="83">
        <v>0</v>
      </c>
      <c r="Q136" s="83">
        <v>0</v>
      </c>
      <c r="R136" s="83">
        <v>0</v>
      </c>
      <c r="S136" s="83">
        <v>0</v>
      </c>
      <c r="T136" s="83">
        <v>0</v>
      </c>
      <c r="U136" s="83">
        <v>0</v>
      </c>
      <c r="V136" s="83">
        <v>0</v>
      </c>
      <c r="W136" s="83">
        <v>0</v>
      </c>
      <c r="X136" s="83">
        <v>0</v>
      </c>
      <c r="Y136" s="83">
        <v>0</v>
      </c>
      <c r="Z136" s="83">
        <v>0</v>
      </c>
      <c r="AA136" s="83">
        <v>0</v>
      </c>
      <c r="AB136" s="83">
        <v>0</v>
      </c>
      <c r="AC136" s="83">
        <v>0</v>
      </c>
      <c r="AD136" s="83">
        <v>0</v>
      </c>
      <c r="AE136" s="83">
        <v>0</v>
      </c>
      <c r="AF136" s="83">
        <v>0</v>
      </c>
      <c r="AG136" s="83">
        <v>0</v>
      </c>
      <c r="AH136" s="83">
        <v>0</v>
      </c>
      <c r="AI136" s="83">
        <v>0</v>
      </c>
      <c r="AJ136" s="83">
        <v>0</v>
      </c>
      <c r="AK136" s="83">
        <v>0</v>
      </c>
      <c r="AL136" s="83">
        <v>0</v>
      </c>
      <c r="AM136" s="83">
        <v>0</v>
      </c>
      <c r="AN136" s="83">
        <v>0</v>
      </c>
      <c r="AO136" s="83">
        <v>0</v>
      </c>
      <c r="AP136" s="83">
        <v>0</v>
      </c>
      <c r="AQ136" s="83">
        <v>0</v>
      </c>
      <c r="AR136" s="83">
        <v>0</v>
      </c>
    </row>
    <row r="137" spans="1:44">
      <c r="A137" s="91" t="s">
        <v>88</v>
      </c>
      <c r="B137" s="83">
        <v>0</v>
      </c>
      <c r="C137" s="83">
        <v>0</v>
      </c>
      <c r="D137" s="83">
        <v>0</v>
      </c>
      <c r="E137" s="83">
        <v>0</v>
      </c>
      <c r="F137" s="83">
        <v>0</v>
      </c>
      <c r="G137" s="83">
        <v>0</v>
      </c>
      <c r="H137" s="83">
        <v>0</v>
      </c>
      <c r="I137" s="83">
        <v>0</v>
      </c>
      <c r="J137" s="83">
        <v>0</v>
      </c>
      <c r="K137" s="83">
        <v>0</v>
      </c>
      <c r="L137" s="83">
        <v>0</v>
      </c>
      <c r="M137" s="83">
        <v>0</v>
      </c>
      <c r="N137" s="83">
        <v>0</v>
      </c>
      <c r="O137" s="83">
        <v>0</v>
      </c>
      <c r="P137" s="83">
        <v>0</v>
      </c>
      <c r="Q137" s="83">
        <v>0</v>
      </c>
      <c r="R137" s="83">
        <v>0</v>
      </c>
      <c r="S137" s="83">
        <v>0</v>
      </c>
      <c r="T137" s="83">
        <v>0</v>
      </c>
      <c r="U137" s="83">
        <v>0</v>
      </c>
      <c r="V137" s="83">
        <v>0</v>
      </c>
      <c r="W137" s="83">
        <v>0</v>
      </c>
      <c r="X137" s="83">
        <v>0</v>
      </c>
      <c r="Y137" s="83">
        <v>0</v>
      </c>
      <c r="Z137" s="83">
        <v>0</v>
      </c>
      <c r="AA137" s="83">
        <v>0</v>
      </c>
      <c r="AB137" s="83">
        <v>0</v>
      </c>
      <c r="AC137" s="83">
        <v>0</v>
      </c>
      <c r="AD137" s="83">
        <v>0</v>
      </c>
      <c r="AE137" s="83">
        <v>0</v>
      </c>
      <c r="AF137" s="83">
        <v>0</v>
      </c>
      <c r="AG137" s="83">
        <v>0</v>
      </c>
      <c r="AH137" s="83">
        <v>0</v>
      </c>
      <c r="AI137" s="83">
        <v>0</v>
      </c>
      <c r="AJ137" s="83">
        <v>0</v>
      </c>
      <c r="AK137" s="83">
        <v>0</v>
      </c>
      <c r="AL137" s="83">
        <v>0</v>
      </c>
      <c r="AM137" s="83">
        <v>0</v>
      </c>
      <c r="AN137" s="83">
        <v>0</v>
      </c>
      <c r="AO137" s="83">
        <v>0</v>
      </c>
      <c r="AP137" s="83">
        <v>0</v>
      </c>
      <c r="AQ137" s="83">
        <v>0</v>
      </c>
      <c r="AR137" s="83">
        <v>0</v>
      </c>
    </row>
    <row r="138" spans="1:44">
      <c r="A138" s="91" t="s">
        <v>332</v>
      </c>
      <c r="B138" s="83">
        <v>0</v>
      </c>
      <c r="C138" s="83">
        <v>0</v>
      </c>
      <c r="D138" s="83">
        <v>0</v>
      </c>
      <c r="E138" s="83">
        <v>0</v>
      </c>
      <c r="F138" s="83">
        <v>0</v>
      </c>
      <c r="G138" s="83">
        <v>0</v>
      </c>
      <c r="H138" s="83">
        <v>0</v>
      </c>
      <c r="I138" s="83">
        <v>0</v>
      </c>
      <c r="J138" s="83">
        <v>0</v>
      </c>
      <c r="K138" s="83">
        <v>0</v>
      </c>
      <c r="L138" s="83">
        <v>0</v>
      </c>
      <c r="M138" s="83">
        <v>0</v>
      </c>
      <c r="N138" s="83">
        <v>0</v>
      </c>
      <c r="O138" s="83">
        <v>0</v>
      </c>
      <c r="P138" s="83">
        <v>0</v>
      </c>
      <c r="Q138" s="83">
        <v>0</v>
      </c>
      <c r="R138" s="83">
        <v>0</v>
      </c>
      <c r="S138" s="83">
        <v>0</v>
      </c>
      <c r="T138" s="83">
        <v>0</v>
      </c>
      <c r="U138" s="83">
        <v>0</v>
      </c>
      <c r="V138" s="83">
        <v>0</v>
      </c>
      <c r="W138" s="83">
        <v>0</v>
      </c>
      <c r="X138" s="83">
        <v>0</v>
      </c>
      <c r="Y138" s="83">
        <v>0</v>
      </c>
      <c r="Z138" s="83">
        <v>0</v>
      </c>
      <c r="AA138" s="83">
        <v>0</v>
      </c>
      <c r="AB138" s="83">
        <v>0</v>
      </c>
      <c r="AC138" s="83">
        <v>0</v>
      </c>
      <c r="AD138" s="83">
        <v>0</v>
      </c>
      <c r="AE138" s="83">
        <v>0</v>
      </c>
      <c r="AF138" s="83">
        <v>0</v>
      </c>
      <c r="AG138" s="83">
        <v>0</v>
      </c>
      <c r="AH138" s="83">
        <v>0</v>
      </c>
      <c r="AI138" s="83">
        <v>0</v>
      </c>
      <c r="AJ138" s="83">
        <v>0</v>
      </c>
      <c r="AK138" s="83">
        <v>0</v>
      </c>
      <c r="AL138" s="83">
        <v>0</v>
      </c>
      <c r="AM138" s="83">
        <v>0</v>
      </c>
      <c r="AN138" s="83">
        <v>0</v>
      </c>
      <c r="AO138" s="83">
        <v>0</v>
      </c>
      <c r="AP138" s="83">
        <v>0</v>
      </c>
      <c r="AQ138" s="83">
        <v>0</v>
      </c>
      <c r="AR138" s="83">
        <v>0</v>
      </c>
    </row>
    <row r="139" spans="1:44">
      <c r="A139" s="91" t="s">
        <v>170</v>
      </c>
      <c r="B139" s="83">
        <v>0</v>
      </c>
      <c r="C139" s="83">
        <v>0</v>
      </c>
      <c r="D139" s="83">
        <v>0</v>
      </c>
      <c r="E139" s="83">
        <v>0</v>
      </c>
      <c r="F139" s="83">
        <v>0</v>
      </c>
      <c r="G139" s="83">
        <v>0</v>
      </c>
      <c r="H139" s="83">
        <v>0</v>
      </c>
      <c r="I139" s="83">
        <v>0</v>
      </c>
      <c r="J139" s="83">
        <v>0</v>
      </c>
      <c r="K139" s="83">
        <v>0</v>
      </c>
      <c r="L139" s="83">
        <v>0</v>
      </c>
      <c r="M139" s="83">
        <v>0</v>
      </c>
      <c r="N139" s="83">
        <v>0</v>
      </c>
      <c r="O139" s="83">
        <v>0</v>
      </c>
      <c r="P139" s="83">
        <v>0</v>
      </c>
      <c r="Q139" s="83">
        <v>0</v>
      </c>
      <c r="R139" s="83">
        <v>0</v>
      </c>
      <c r="S139" s="83">
        <v>0</v>
      </c>
      <c r="T139" s="83">
        <v>0</v>
      </c>
      <c r="U139" s="83">
        <v>0</v>
      </c>
      <c r="V139" s="83">
        <v>0</v>
      </c>
      <c r="W139" s="83">
        <v>0</v>
      </c>
      <c r="X139" s="83">
        <v>0</v>
      </c>
      <c r="Y139" s="83">
        <v>0</v>
      </c>
      <c r="Z139" s="83">
        <v>0</v>
      </c>
      <c r="AA139" s="83">
        <v>0</v>
      </c>
      <c r="AB139" s="83">
        <v>0</v>
      </c>
      <c r="AC139" s="83">
        <v>0</v>
      </c>
      <c r="AD139" s="83">
        <v>0</v>
      </c>
      <c r="AE139" s="83">
        <v>0</v>
      </c>
      <c r="AF139" s="83">
        <v>0</v>
      </c>
      <c r="AG139" s="83">
        <v>0</v>
      </c>
      <c r="AH139" s="83">
        <v>0</v>
      </c>
      <c r="AI139" s="83">
        <v>0</v>
      </c>
      <c r="AJ139" s="83">
        <v>0</v>
      </c>
      <c r="AK139" s="83">
        <v>0</v>
      </c>
      <c r="AL139" s="83">
        <v>0</v>
      </c>
      <c r="AM139" s="83">
        <v>0</v>
      </c>
      <c r="AN139" s="83">
        <v>0</v>
      </c>
      <c r="AO139" s="83">
        <v>0</v>
      </c>
      <c r="AP139" s="83">
        <v>0</v>
      </c>
      <c r="AQ139" s="83">
        <v>0</v>
      </c>
      <c r="AR139" s="83">
        <v>0</v>
      </c>
    </row>
    <row r="140" spans="1:44">
      <c r="A140" s="91" t="s">
        <v>333</v>
      </c>
      <c r="B140" s="83">
        <v>0</v>
      </c>
      <c r="C140" s="83">
        <v>0</v>
      </c>
      <c r="D140" s="83">
        <v>0</v>
      </c>
      <c r="E140" s="83">
        <v>0</v>
      </c>
      <c r="F140" s="83">
        <v>0</v>
      </c>
      <c r="G140" s="83">
        <v>0</v>
      </c>
      <c r="H140" s="83">
        <v>0</v>
      </c>
      <c r="I140" s="83">
        <v>0</v>
      </c>
      <c r="J140" s="83">
        <v>0</v>
      </c>
      <c r="K140" s="83">
        <v>0</v>
      </c>
      <c r="L140" s="83">
        <v>0</v>
      </c>
      <c r="M140" s="83">
        <v>0</v>
      </c>
      <c r="N140" s="83">
        <v>0</v>
      </c>
      <c r="O140" s="83">
        <v>0</v>
      </c>
      <c r="P140" s="83">
        <v>0</v>
      </c>
      <c r="Q140" s="83">
        <v>0</v>
      </c>
      <c r="R140" s="83">
        <v>0</v>
      </c>
      <c r="S140" s="83">
        <v>0</v>
      </c>
      <c r="T140" s="83">
        <v>0</v>
      </c>
      <c r="U140" s="83">
        <v>0</v>
      </c>
      <c r="V140" s="83">
        <v>0</v>
      </c>
      <c r="W140" s="83">
        <v>0</v>
      </c>
      <c r="X140" s="83">
        <v>0</v>
      </c>
      <c r="Y140" s="83">
        <v>0</v>
      </c>
      <c r="Z140" s="83">
        <v>0</v>
      </c>
      <c r="AA140" s="83">
        <v>0</v>
      </c>
      <c r="AB140" s="83">
        <v>0</v>
      </c>
      <c r="AC140" s="83">
        <v>0</v>
      </c>
      <c r="AD140" s="83">
        <v>0</v>
      </c>
      <c r="AE140" s="83">
        <v>0</v>
      </c>
      <c r="AF140" s="83">
        <v>0</v>
      </c>
      <c r="AG140" s="83">
        <v>0</v>
      </c>
      <c r="AH140" s="83">
        <v>0</v>
      </c>
      <c r="AI140" s="83">
        <v>0</v>
      </c>
      <c r="AJ140" s="83">
        <v>0</v>
      </c>
      <c r="AK140" s="83">
        <v>0</v>
      </c>
      <c r="AL140" s="83">
        <v>0</v>
      </c>
      <c r="AM140" s="83">
        <v>0</v>
      </c>
      <c r="AN140" s="83">
        <v>0</v>
      </c>
      <c r="AO140" s="83">
        <v>0</v>
      </c>
      <c r="AP140" s="83">
        <v>0</v>
      </c>
      <c r="AQ140" s="83">
        <v>0</v>
      </c>
      <c r="AR140" s="83">
        <v>0</v>
      </c>
    </row>
    <row r="141" spans="1:44">
      <c r="A141" s="132" t="s">
        <v>334</v>
      </c>
      <c r="B141" s="133">
        <v>0</v>
      </c>
      <c r="C141" s="133">
        <v>0</v>
      </c>
      <c r="D141" s="133">
        <v>0</v>
      </c>
      <c r="E141" s="133">
        <v>0</v>
      </c>
      <c r="F141" s="133">
        <v>0</v>
      </c>
      <c r="G141" s="133">
        <v>0</v>
      </c>
      <c r="H141" s="133">
        <v>0</v>
      </c>
      <c r="I141" s="133">
        <v>0</v>
      </c>
      <c r="J141" s="133">
        <v>0</v>
      </c>
      <c r="K141" s="133">
        <v>0</v>
      </c>
      <c r="L141" s="133">
        <v>0</v>
      </c>
      <c r="M141" s="133">
        <v>0</v>
      </c>
      <c r="N141" s="133">
        <v>0</v>
      </c>
      <c r="O141" s="133">
        <v>0</v>
      </c>
      <c r="P141" s="133">
        <v>0</v>
      </c>
      <c r="Q141" s="133">
        <v>0</v>
      </c>
      <c r="R141" s="133">
        <v>0</v>
      </c>
      <c r="S141" s="133">
        <v>0</v>
      </c>
      <c r="T141" s="133">
        <v>0</v>
      </c>
      <c r="U141" s="133">
        <v>0</v>
      </c>
      <c r="V141" s="133">
        <v>0</v>
      </c>
      <c r="W141" s="133">
        <v>0</v>
      </c>
      <c r="X141" s="133">
        <v>0</v>
      </c>
      <c r="Y141" s="133">
        <v>0</v>
      </c>
      <c r="Z141" s="133">
        <v>0</v>
      </c>
      <c r="AA141" s="133">
        <v>0</v>
      </c>
      <c r="AB141" s="133">
        <v>0</v>
      </c>
      <c r="AC141" s="133">
        <v>0</v>
      </c>
      <c r="AD141" s="133">
        <v>0</v>
      </c>
      <c r="AE141" s="133">
        <v>0</v>
      </c>
      <c r="AF141" s="133">
        <v>0</v>
      </c>
      <c r="AG141" s="133">
        <v>0</v>
      </c>
      <c r="AH141" s="133">
        <v>0</v>
      </c>
      <c r="AI141" s="133">
        <v>0</v>
      </c>
      <c r="AJ141" s="133">
        <v>0</v>
      </c>
      <c r="AK141" s="133">
        <v>0</v>
      </c>
      <c r="AL141" s="133">
        <v>0</v>
      </c>
      <c r="AM141" s="133">
        <v>0</v>
      </c>
      <c r="AN141" s="133">
        <v>0</v>
      </c>
      <c r="AO141" s="133">
        <v>0</v>
      </c>
      <c r="AP141" s="133">
        <v>0</v>
      </c>
      <c r="AQ141" s="133">
        <v>0</v>
      </c>
      <c r="AR141" s="133">
        <v>0</v>
      </c>
    </row>
  </sheetData>
  <mergeCells count="12">
    <mergeCell ref="A2:BG2"/>
    <mergeCell ref="A130:AB130"/>
    <mergeCell ref="A74:AB74"/>
    <mergeCell ref="AL36:AR36"/>
    <mergeCell ref="AL23:AR23"/>
    <mergeCell ref="AL21:AR21"/>
    <mergeCell ref="AL5:AR5"/>
    <mergeCell ref="AL131:AR131"/>
    <mergeCell ref="AL93:AR93"/>
    <mergeCell ref="AL75:AR75"/>
    <mergeCell ref="AL57:AR57"/>
    <mergeCell ref="AL49:AR4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CB769-5E69-4B69-948F-4280ECBC255D}">
  <dimension ref="A1:AJ51"/>
  <sheetViews>
    <sheetView workbookViewId="0"/>
  </sheetViews>
  <sheetFormatPr baseColWidth="10" defaultRowHeight="14.4" outlineLevelCol="1"/>
  <cols>
    <col min="2" max="2" width="50.33203125" customWidth="1"/>
    <col min="4" max="6" width="10.6640625" customWidth="1"/>
    <col min="7" max="9" width="10.6640625" customWidth="1" outlineLevel="1"/>
    <col min="10" max="10" width="10.6640625" customWidth="1"/>
    <col min="11" max="14" width="10.6640625" customWidth="1" outlineLevel="1"/>
    <col min="16" max="19" width="11.5546875" customWidth="1" outlineLevel="1"/>
    <col min="21" max="24" width="11.5546875" customWidth="1" outlineLevel="1"/>
    <col min="26" max="29" width="11.5546875" customWidth="1" outlineLevel="1"/>
    <col min="31" max="34" width="11.5546875" customWidth="1" outlineLevel="1"/>
    <col min="36" max="36" width="26.88671875" customWidth="1"/>
    <col min="37" max="16384" width="11.5546875" style="327"/>
  </cols>
  <sheetData>
    <row r="1" spans="1:36" customFormat="1">
      <c r="A1" t="s">
        <v>383</v>
      </c>
      <c r="B1" t="s">
        <v>384</v>
      </c>
      <c r="C1" t="s">
        <v>195</v>
      </c>
      <c r="D1" t="s">
        <v>478</v>
      </c>
      <c r="E1" t="s">
        <v>477</v>
      </c>
      <c r="F1" t="s">
        <v>476</v>
      </c>
      <c r="G1" t="s">
        <v>475</v>
      </c>
      <c r="H1" t="s">
        <v>474</v>
      </c>
      <c r="I1" t="s">
        <v>473</v>
      </c>
      <c r="J1" t="s">
        <v>472</v>
      </c>
      <c r="K1" t="s">
        <v>471</v>
      </c>
      <c r="L1" t="s">
        <v>470</v>
      </c>
      <c r="M1" t="s">
        <v>469</v>
      </c>
      <c r="N1" t="s">
        <v>468</v>
      </c>
      <c r="O1" t="s">
        <v>385</v>
      </c>
      <c r="P1" t="s">
        <v>448</v>
      </c>
      <c r="Q1" t="s">
        <v>454</v>
      </c>
      <c r="R1" t="s">
        <v>455</v>
      </c>
      <c r="S1" t="s">
        <v>456</v>
      </c>
      <c r="T1" t="s">
        <v>450</v>
      </c>
      <c r="U1" t="s">
        <v>457</v>
      </c>
      <c r="V1" t="s">
        <v>460</v>
      </c>
      <c r="W1" t="s">
        <v>459</v>
      </c>
      <c r="X1" t="s">
        <v>458</v>
      </c>
      <c r="Y1" t="s">
        <v>449</v>
      </c>
      <c r="Z1" t="s">
        <v>451</v>
      </c>
      <c r="AA1" t="s">
        <v>463</v>
      </c>
      <c r="AB1" t="s">
        <v>462</v>
      </c>
      <c r="AC1" t="s">
        <v>461</v>
      </c>
      <c r="AD1" t="s">
        <v>452</v>
      </c>
      <c r="AE1" t="s">
        <v>464</v>
      </c>
      <c r="AF1" t="s">
        <v>467</v>
      </c>
      <c r="AG1" t="s">
        <v>466</v>
      </c>
      <c r="AH1" t="s">
        <v>465</v>
      </c>
      <c r="AI1" t="s">
        <v>386</v>
      </c>
      <c r="AJ1" t="s">
        <v>387</v>
      </c>
    </row>
    <row r="2" spans="1:36" s="388" customFormat="1">
      <c r="A2" s="388" t="s">
        <v>388</v>
      </c>
      <c r="B2" s="388" t="s">
        <v>389</v>
      </c>
      <c r="C2" s="388" t="s">
        <v>486</v>
      </c>
      <c r="D2" s="328">
        <v>67.257981999999998</v>
      </c>
      <c r="E2" s="328">
        <v>67.441850000000002</v>
      </c>
      <c r="F2" s="328">
        <v>67.400000000000006</v>
      </c>
      <c r="G2" s="328">
        <v>67.5</v>
      </c>
      <c r="H2" s="328">
        <v>67.7</v>
      </c>
      <c r="I2" s="328">
        <v>67.8</v>
      </c>
      <c r="J2" s="328">
        <v>68</v>
      </c>
      <c r="K2" s="328">
        <v>68.099999999999994</v>
      </c>
      <c r="L2" s="328">
        <v>68.2</v>
      </c>
      <c r="M2" s="328">
        <v>68.3</v>
      </c>
      <c r="N2" s="328">
        <v>68.400000000000006</v>
      </c>
      <c r="O2" s="328">
        <v>68.599999999999994</v>
      </c>
      <c r="P2" s="328">
        <v>68.7</v>
      </c>
      <c r="Q2" s="328">
        <v>68.7</v>
      </c>
      <c r="R2" s="328">
        <v>68.8</v>
      </c>
      <c r="S2" s="328">
        <v>68.900000000000006</v>
      </c>
      <c r="T2" s="328">
        <v>69</v>
      </c>
      <c r="U2" s="328">
        <v>69</v>
      </c>
      <c r="V2" s="328">
        <v>69.099999999999994</v>
      </c>
      <c r="W2" s="328">
        <v>69.2</v>
      </c>
      <c r="X2" s="328">
        <v>69.2</v>
      </c>
      <c r="Y2" s="328">
        <v>69.2</v>
      </c>
      <c r="Z2" s="328">
        <v>69.3</v>
      </c>
      <c r="AA2" s="328">
        <v>69.3</v>
      </c>
      <c r="AB2" s="328">
        <v>69.3</v>
      </c>
      <c r="AC2" s="328">
        <v>69.3</v>
      </c>
      <c r="AD2" s="328">
        <v>69.3</v>
      </c>
      <c r="AE2" s="328">
        <v>69.3</v>
      </c>
      <c r="AF2" s="328">
        <v>69.3</v>
      </c>
      <c r="AG2" s="328">
        <v>69.3</v>
      </c>
      <c r="AH2" s="328">
        <v>69.2</v>
      </c>
      <c r="AI2" s="328">
        <v>69.2</v>
      </c>
      <c r="AJ2" s="328" t="s">
        <v>390</v>
      </c>
    </row>
    <row r="3" spans="1:36" s="388" customFormat="1">
      <c r="A3" s="388" t="s">
        <v>391</v>
      </c>
      <c r="B3" s="388" t="s">
        <v>392</v>
      </c>
      <c r="C3" s="388" t="s">
        <v>393</v>
      </c>
      <c r="D3" s="328">
        <f>Tableau145[[#This Row],[2020]]</f>
        <v>35894763.30655013</v>
      </c>
      <c r="E3" s="328">
        <v>35894763.30655013</v>
      </c>
      <c r="F3" s="328">
        <f>Tableau145[[#This Row],[2019]]+(Tableau145[[#This Row],[2030]]-Tableau145[[#This Row],[2019]])*2/11</f>
        <v>36351073.186075509</v>
      </c>
      <c r="G3" s="328">
        <f>Tableau145[[#This Row],[2019]]+(Tableau145[[#This Row],[2030]]-Tableau145[[#This Row],[2019]])*3/11</f>
        <v>36579228.125838198</v>
      </c>
      <c r="H3" s="328">
        <f>Tableau145[[#This Row],[2019]]+(Tableau145[[#This Row],[2030]]-Tableau145[[#This Row],[2019]])*4/11</f>
        <v>36807383.065600887</v>
      </c>
      <c r="I3" s="328">
        <f>Tableau145[[#This Row],[2019]]+(Tableau145[[#This Row],[2030]]-Tableau145[[#This Row],[2019]])*5/11</f>
        <v>37035538.005363576</v>
      </c>
      <c r="J3" s="328">
        <f>Tableau145[[#This Row],[2019]]+(Tableau145[[#This Row],[2030]]-Tableau145[[#This Row],[2019]])*6/11</f>
        <v>37263692.945126265</v>
      </c>
      <c r="K3" s="328">
        <f>Tableau145[[#This Row],[2019]]+(Tableau145[[#This Row],[2030]]-Tableau145[[#This Row],[2019]])*7/11</f>
        <v>37491847.884888954</v>
      </c>
      <c r="L3" s="328">
        <f>Tableau145[[#This Row],[2019]]+(Tableau145[[#This Row],[2030]]-Tableau145[[#This Row],[2019]])*8/11</f>
        <v>37720002.824651644</v>
      </c>
      <c r="M3" s="328">
        <f>Tableau145[[#This Row],[2019]]+(Tableau145[[#This Row],[2030]]-Tableau145[[#This Row],[2019]])*9/11</f>
        <v>37948157.764414333</v>
      </c>
      <c r="N3" s="328">
        <f>Tableau145[[#This Row],[2019]]+(Tableau145[[#This Row],[2030]]-Tableau145[[#This Row],[2019]])*10/11</f>
        <v>38176312.704177022</v>
      </c>
      <c r="O3" s="328">
        <v>38404467.643939711</v>
      </c>
      <c r="P3" s="328">
        <f>Tableau145[[#This Row],[2030]]+(Tableau145[[#This Row],[2040]]-Tableau145[[#This Row],[2030]])*1/10</f>
        <v>38561857.991938263</v>
      </c>
      <c r="Q3" s="328">
        <f>Tableau145[[#This Row],[2030]]+(Tableau145[[#This Row],[2040]]-Tableau145[[#This Row],[2030]])*2/10</f>
        <v>38719248.339936823</v>
      </c>
      <c r="R3" s="328">
        <f>Tableau145[[#This Row],[2030]]+(Tableau145[[#This Row],[2040]]-Tableau145[[#This Row],[2030]])*3/10</f>
        <v>38876638.687935382</v>
      </c>
      <c r="S3" s="328">
        <f>Tableau145[[#This Row],[2030]]+(Tableau145[[#This Row],[2040]]-Tableau145[[#This Row],[2030]])*4/10</f>
        <v>39034029.035933934</v>
      </c>
      <c r="T3" s="328">
        <f>Tableau145[[#This Row],[2030]]+(Tableau145[[#This Row],[2040]]-Tableau145[[#This Row],[2030]])*5/10</f>
        <v>39191419.383932486</v>
      </c>
      <c r="U3" s="328">
        <f>Tableau145[[#This Row],[2030]]+(Tableau145[[#This Row],[2040]]-Tableau145[[#This Row],[2030]])*6/10</f>
        <v>39348809.731931046</v>
      </c>
      <c r="V3" s="328">
        <f>Tableau145[[#This Row],[2030]]+(Tableau145[[#This Row],[2040]]-Tableau145[[#This Row],[2030]])*7/10</f>
        <v>39506200.079929605</v>
      </c>
      <c r="W3" s="328">
        <f>Tableau145[[#This Row],[2030]]+(Tableau145[[#This Row],[2040]]-Tableau145[[#This Row],[2030]])*8/10</f>
        <v>39663590.427928157</v>
      </c>
      <c r="X3" s="328">
        <f>Tableau145[[#This Row],[2030]]+(Tableau145[[#This Row],[2040]]-Tableau145[[#This Row],[2030]])*9/10</f>
        <v>39820980.775926709</v>
      </c>
      <c r="Y3" s="328">
        <v>39978371.123925269</v>
      </c>
      <c r="Z3" s="328">
        <f>Tableau145[[#This Row],[2040]]+(Tableau145[[#This Row],[2050]]-Tableau145[[#This Row],[2040]])*1/10</f>
        <v>40017003.980398998</v>
      </c>
      <c r="AA3" s="328">
        <f>Tableau145[[#This Row],[2040]]+(Tableau145[[#This Row],[2050]]-Tableau145[[#This Row],[2040]])*2/10</f>
        <v>40055636.836872719</v>
      </c>
      <c r="AB3" s="328">
        <f>Tableau145[[#This Row],[2040]]+(Tableau145[[#This Row],[2050]]-Tableau145[[#This Row],[2040]])*3/10</f>
        <v>40094269.693346448</v>
      </c>
      <c r="AC3" s="328">
        <f>Tableau145[[#This Row],[2040]]+(Tableau145[[#This Row],[2050]]-Tableau145[[#This Row],[2040]])*4/10</f>
        <v>40132902.54982017</v>
      </c>
      <c r="AD3" s="328">
        <f>Tableau145[[#This Row],[2040]]+(Tableau145[[#This Row],[2050]]-Tableau145[[#This Row],[2040]])*5/10</f>
        <v>40171535.406293899</v>
      </c>
      <c r="AE3" s="328">
        <f>Tableau145[[#This Row],[2040]]+(Tableau145[[#This Row],[2050]]-Tableau145[[#This Row],[2040]])*6/10</f>
        <v>40210168.262767628</v>
      </c>
      <c r="AF3" s="328">
        <f>Tableau145[[#This Row],[2040]]+(Tableau145[[#This Row],[2050]]-Tableau145[[#This Row],[2040]])*7/10</f>
        <v>40248801.119241349</v>
      </c>
      <c r="AG3" s="328">
        <f>Tableau145[[#This Row],[2040]]+(Tableau145[[#This Row],[2050]]-Tableau145[[#This Row],[2040]])*8/10</f>
        <v>40287433.975715078</v>
      </c>
      <c r="AH3" s="328">
        <f>Tableau145[[#This Row],[2040]]+(Tableau145[[#This Row],[2050]]-Tableau145[[#This Row],[2040]])*9/10</f>
        <v>40326066.8321888</v>
      </c>
      <c r="AI3" s="328">
        <v>40364699.688662529</v>
      </c>
      <c r="AJ3" s="328" t="s">
        <v>390</v>
      </c>
    </row>
    <row r="4" spans="1:36" s="388" customFormat="1">
      <c r="A4" s="388" t="s">
        <v>391</v>
      </c>
      <c r="B4" s="388" t="s">
        <v>394</v>
      </c>
      <c r="C4" s="388" t="s">
        <v>395</v>
      </c>
      <c r="D4" s="328">
        <f>Tableau145[[#This Row],[2020]]</f>
        <v>3345</v>
      </c>
      <c r="E4" s="328">
        <v>3345</v>
      </c>
      <c r="F4" s="328">
        <f>Tableau145[[#This Row],[2019]]+(Tableau145[[#This Row],[2030]]-Tableau145[[#This Row],[2019]])*2/11</f>
        <v>3371.909090909091</v>
      </c>
      <c r="G4" s="328">
        <f>Tableau145[[#This Row],[2019]]+(Tableau145[[#This Row],[2030]]-Tableau145[[#This Row],[2019]])*3/11</f>
        <v>3385.3636363636365</v>
      </c>
      <c r="H4" s="328">
        <f>Tableau145[[#This Row],[2019]]+(Tableau145[[#This Row],[2030]]-Tableau145[[#This Row],[2019]])*4/11</f>
        <v>3398.818181818182</v>
      </c>
      <c r="I4" s="328">
        <f>Tableau145[[#This Row],[2019]]+(Tableau145[[#This Row],[2030]]-Tableau145[[#This Row],[2019]])*5/11</f>
        <v>3412.2727272727275</v>
      </c>
      <c r="J4" s="328">
        <f>Tableau145[[#This Row],[2019]]+(Tableau145[[#This Row],[2030]]-Tableau145[[#This Row],[2019]])*6/11</f>
        <v>3425.7272727272725</v>
      </c>
      <c r="K4" s="328">
        <f>Tableau145[[#This Row],[2019]]+(Tableau145[[#This Row],[2030]]-Tableau145[[#This Row],[2019]])*7/11</f>
        <v>3439.181818181818</v>
      </c>
      <c r="L4" s="328">
        <f>Tableau145[[#This Row],[2019]]+(Tableau145[[#This Row],[2030]]-Tableau145[[#This Row],[2019]])*8/11</f>
        <v>3452.6363636363635</v>
      </c>
      <c r="M4" s="328">
        <f>Tableau145[[#This Row],[2019]]+(Tableau145[[#This Row],[2030]]-Tableau145[[#This Row],[2019]])*9/11</f>
        <v>3466.090909090909</v>
      </c>
      <c r="N4" s="328">
        <f>Tableau145[[#This Row],[2019]]+(Tableau145[[#This Row],[2030]]-Tableau145[[#This Row],[2019]])*10/11</f>
        <v>3479.5454545454545</v>
      </c>
      <c r="O4" s="328">
        <v>3493</v>
      </c>
      <c r="P4" s="328">
        <f>Tableau145[[#This Row],[2030]]+(Tableau145[[#This Row],[2050]]-Tableau145[[#This Row],[2030]])*1/20</f>
        <v>3497.95</v>
      </c>
      <c r="Q4" s="328">
        <f>Tableau145[[#This Row],[2030]]+(Tableau145[[#This Row],[2050]]-Tableau145[[#This Row],[2030]])*2/20</f>
        <v>3502.9</v>
      </c>
      <c r="R4" s="328">
        <f>Tableau145[[#This Row],[2030]]+(Tableau145[[#This Row],[2050]]-Tableau145[[#This Row],[2030]])*3/20</f>
        <v>3507.85</v>
      </c>
      <c r="S4" s="328">
        <f>Tableau145[[#This Row],[2030]]+(Tableau145[[#This Row],[2050]]-Tableau145[[#This Row],[2030]])*4/20</f>
        <v>3512.8</v>
      </c>
      <c r="T4" s="328">
        <f>Tableau145[[#This Row],[2030]]+(Tableau145[[#This Row],[2050]]-Tableau145[[#This Row],[2030]])*5/20</f>
        <v>3517.75</v>
      </c>
      <c r="U4" s="328">
        <f>Tableau145[[#This Row],[2030]]+(Tableau145[[#This Row],[2050]]-Tableau145[[#This Row],[2030]])*6/20</f>
        <v>3522.7</v>
      </c>
      <c r="V4" s="328">
        <f>Tableau145[[#This Row],[2030]]+(Tableau145[[#This Row],[2050]]-Tableau145[[#This Row],[2030]])*7/20</f>
        <v>3527.65</v>
      </c>
      <c r="W4" s="328">
        <f>Tableau145[[#This Row],[2030]]+(Tableau145[[#This Row],[2050]]-Tableau145[[#This Row],[2030]])*8/20</f>
        <v>3532.6</v>
      </c>
      <c r="X4" s="328">
        <f>Tableau145[[#This Row],[2030]]+(Tableau145[[#This Row],[2050]]-Tableau145[[#This Row],[2030]])*9/20</f>
        <v>3537.55</v>
      </c>
      <c r="Y4" s="328">
        <f>Tableau145[[#This Row],[2030]]+(Tableau145[[#This Row],[2050]]-Tableau145[[#This Row],[2030]])*10/20</f>
        <v>3542.5</v>
      </c>
      <c r="Z4" s="328">
        <f>Tableau145[[#This Row],[2030]]+(Tableau145[[#This Row],[2050]]-Tableau145[[#This Row],[2030]])*11/20</f>
        <v>3547.45</v>
      </c>
      <c r="AA4" s="328">
        <f>Tableau145[[#This Row],[2030]]+(Tableau145[[#This Row],[2050]]-Tableau145[[#This Row],[2030]])*12/20</f>
        <v>3552.4</v>
      </c>
      <c r="AB4" s="328">
        <f>Tableau145[[#This Row],[2030]]+(Tableau145[[#This Row],[2050]]-Tableau145[[#This Row],[2030]])*13/20</f>
        <v>3557.35</v>
      </c>
      <c r="AC4" s="328">
        <f>Tableau145[[#This Row],[2030]]+(Tableau145[[#This Row],[2050]]-Tableau145[[#This Row],[2030]])*14/20</f>
        <v>3562.3</v>
      </c>
      <c r="AD4" s="328">
        <f>Tableau145[[#This Row],[2030]]+(Tableau145[[#This Row],[2050]]-Tableau145[[#This Row],[2030]])*15/20</f>
        <v>3567.25</v>
      </c>
      <c r="AE4" s="328">
        <f>Tableau145[[#This Row],[2030]]+(Tableau145[[#This Row],[2050]]-Tableau145[[#This Row],[2030]])*16/20</f>
        <v>3572.2</v>
      </c>
      <c r="AF4" s="328">
        <f>Tableau145[[#This Row],[2030]]+(Tableau145[[#This Row],[2050]]-Tableau145[[#This Row],[2030]])*17/20</f>
        <v>3577.15</v>
      </c>
      <c r="AG4" s="328">
        <f>Tableau145[[#This Row],[2030]]+(Tableau145[[#This Row],[2050]]-Tableau145[[#This Row],[2030]])*18/20</f>
        <v>3582.1</v>
      </c>
      <c r="AH4" s="328">
        <f>Tableau145[[#This Row],[2030]]+(Tableau145[[#This Row],[2050]]-Tableau145[[#This Row],[2030]])*19/20</f>
        <v>3587.05</v>
      </c>
      <c r="AI4" s="328">
        <v>3592</v>
      </c>
      <c r="AJ4" s="328" t="s">
        <v>390</v>
      </c>
    </row>
    <row r="5" spans="1:36" s="388" customFormat="1">
      <c r="A5" s="388" t="s">
        <v>391</v>
      </c>
      <c r="B5" s="388" t="s">
        <v>396</v>
      </c>
      <c r="C5" s="388" t="s">
        <v>662</v>
      </c>
      <c r="D5" s="328">
        <f>Tableau145[[#This Row],[2020]]</f>
        <v>983437.0555157949</v>
      </c>
      <c r="E5" s="328">
        <v>983437.0555157949</v>
      </c>
      <c r="F5" s="328">
        <f>Tableau145[[#This Row],[2019]]+(Tableau145[[#This Row],[2030]]-Tableau145[[#This Row],[2019]])*2/11</f>
        <v>986051.1689538979</v>
      </c>
      <c r="G5" s="328">
        <f>Tableau145[[#This Row],[2019]]+(Tableau145[[#This Row],[2030]]-Tableau145[[#This Row],[2019]])*3/11</f>
        <v>987358.22567294945</v>
      </c>
      <c r="H5" s="328">
        <f>Tableau145[[#This Row],[2019]]+(Tableau145[[#This Row],[2030]]-Tableau145[[#This Row],[2019]])*4/11</f>
        <v>988665.28239200101</v>
      </c>
      <c r="I5" s="328">
        <f>Tableau145[[#This Row],[2019]]+(Tableau145[[#This Row],[2030]]-Tableau145[[#This Row],[2019]])*5/11</f>
        <v>989972.33911105257</v>
      </c>
      <c r="J5" s="328">
        <f>Tableau145[[#This Row],[2019]]+(Tableau145[[#This Row],[2030]]-Tableau145[[#This Row],[2019]])*6/11</f>
        <v>991279.39583010401</v>
      </c>
      <c r="K5" s="328">
        <f>Tableau145[[#This Row],[2019]]+(Tableau145[[#This Row],[2030]]-Tableau145[[#This Row],[2019]])*7/11</f>
        <v>992586.45254915557</v>
      </c>
      <c r="L5" s="328">
        <f>Tableau145[[#This Row],[2019]]+(Tableau145[[#This Row],[2030]]-Tableau145[[#This Row],[2019]])*8/11</f>
        <v>993893.50926820713</v>
      </c>
      <c r="M5" s="328">
        <f>Tableau145[[#This Row],[2019]]+(Tableau145[[#This Row],[2030]]-Tableau145[[#This Row],[2019]])*9/11</f>
        <v>995200.56598725868</v>
      </c>
      <c r="N5" s="328">
        <f>Tableau145[[#This Row],[2019]]+(Tableau145[[#This Row],[2030]]-Tableau145[[#This Row],[2019]])*10/11</f>
        <v>996507.62270631013</v>
      </c>
      <c r="O5" s="328">
        <v>997814.67942536168</v>
      </c>
      <c r="P5" s="328">
        <f>Tableau145[[#This Row],[2030]]+(Tableau145[[#This Row],[2040]]-Tableau145[[#This Row],[2030]])*1/10</f>
        <v>997807.64296645613</v>
      </c>
      <c r="Q5" s="328">
        <f>Tableau145[[#This Row],[2030]]+(Tableau145[[#This Row],[2040]]-Tableau145[[#This Row],[2030]])*2/10</f>
        <v>997800.60650755058</v>
      </c>
      <c r="R5" s="328">
        <f>Tableau145[[#This Row],[2030]]+(Tableau145[[#This Row],[2040]]-Tableau145[[#This Row],[2030]])*3/10</f>
        <v>997793.57004864502</v>
      </c>
      <c r="S5" s="328">
        <f>Tableau145[[#This Row],[2030]]+(Tableau145[[#This Row],[2040]]-Tableau145[[#This Row],[2030]])*4/10</f>
        <v>997786.53358973947</v>
      </c>
      <c r="T5" s="328">
        <f>Tableau145[[#This Row],[2030]]+(Tableau145[[#This Row],[2040]]-Tableau145[[#This Row],[2030]])*5/10</f>
        <v>997779.49713083392</v>
      </c>
      <c r="U5" s="328">
        <f>Tableau145[[#This Row],[2030]]+(Tableau145[[#This Row],[2040]]-Tableau145[[#This Row],[2030]])*6/10</f>
        <v>997772.46067192836</v>
      </c>
      <c r="V5" s="328">
        <f>Tableau145[[#This Row],[2030]]+(Tableau145[[#This Row],[2040]]-Tableau145[[#This Row],[2030]])*7/10</f>
        <v>997765.42421302281</v>
      </c>
      <c r="W5" s="328">
        <f>Tableau145[[#This Row],[2030]]+(Tableau145[[#This Row],[2040]]-Tableau145[[#This Row],[2030]])*8/10</f>
        <v>997758.38775411726</v>
      </c>
      <c r="X5" s="328">
        <f>Tableau145[[#This Row],[2030]]+(Tableau145[[#This Row],[2040]]-Tableau145[[#This Row],[2030]])*9/10</f>
        <v>997751.3512952117</v>
      </c>
      <c r="Y5" s="328">
        <v>997744.31483630615</v>
      </c>
      <c r="Z5" s="328">
        <f>Tableau145[[#This Row],[2040]]+(Tableau145[[#This Row],[2050]]-Tableau145[[#This Row],[2040]])*1/10</f>
        <v>994438.70600060816</v>
      </c>
      <c r="AA5" s="328">
        <f>Tableau145[[#This Row],[2040]]+(Tableau145[[#This Row],[2050]]-Tableau145[[#This Row],[2040]])*2/10</f>
        <v>991133.09716491005</v>
      </c>
      <c r="AB5" s="328">
        <f>Tableau145[[#This Row],[2040]]+(Tableau145[[#This Row],[2050]]-Tableau145[[#This Row],[2040]])*3/10</f>
        <v>987827.48832921206</v>
      </c>
      <c r="AC5" s="328">
        <f>Tableau145[[#This Row],[2040]]+(Tableau145[[#This Row],[2050]]-Tableau145[[#This Row],[2040]])*4/10</f>
        <v>984521.87949351408</v>
      </c>
      <c r="AD5" s="328">
        <f>Tableau145[[#This Row],[2040]]+(Tableau145[[#This Row],[2050]]-Tableau145[[#This Row],[2040]])*5/10</f>
        <v>981216.27065781597</v>
      </c>
      <c r="AE5" s="328">
        <f>Tableau145[[#This Row],[2040]]+(Tableau145[[#This Row],[2050]]-Tableau145[[#This Row],[2040]])*6/10</f>
        <v>977910.66182211798</v>
      </c>
      <c r="AF5" s="328">
        <f>Tableau145[[#This Row],[2040]]+(Tableau145[[#This Row],[2050]]-Tableau145[[#This Row],[2040]])*7/10</f>
        <v>974605.05298641999</v>
      </c>
      <c r="AG5" s="328">
        <f>Tableau145[[#This Row],[2040]]+(Tableau145[[#This Row],[2050]]-Tableau145[[#This Row],[2040]])*8/10</f>
        <v>971299.444150722</v>
      </c>
      <c r="AH5" s="328">
        <f>Tableau145[[#This Row],[2040]]+(Tableau145[[#This Row],[2050]]-Tableau145[[#This Row],[2040]])*9/10</f>
        <v>967993.8353150239</v>
      </c>
      <c r="AI5" s="328">
        <v>964688.22647932591</v>
      </c>
      <c r="AJ5" s="328" t="s">
        <v>390</v>
      </c>
    </row>
    <row r="6" spans="1:36" s="388" customFormat="1">
      <c r="A6" s="388" t="s">
        <v>257</v>
      </c>
      <c r="B6" s="388" t="s">
        <v>397</v>
      </c>
      <c r="C6" s="388" t="s">
        <v>398</v>
      </c>
      <c r="D6" s="328">
        <v>1020.0217212542356</v>
      </c>
      <c r="E6" s="328">
        <v>774.88972464520077</v>
      </c>
      <c r="F6" s="328">
        <v>862.20181119127244</v>
      </c>
      <c r="G6" s="328">
        <v>980.49201251733871</v>
      </c>
      <c r="H6" s="328">
        <v>978.83548952492299</v>
      </c>
      <c r="I6" s="328">
        <f>(Tableau145[[#This Row],[2023]]+Tableau145[[#This Row],[2025]])/2</f>
        <v>988.2050929709892</v>
      </c>
      <c r="J6" s="328">
        <v>997.57469641705529</v>
      </c>
      <c r="K6" s="328">
        <f>Tableau145[[#This Row],[2025]]+(Tableau145[[#This Row],[2030]]-Tableau145[[#This Row],[2025]])*1/5</f>
        <v>1006.9442998631214</v>
      </c>
      <c r="L6" s="328">
        <f>Tableau145[[#This Row],[2025]]+(Tableau145[[#This Row],[2030]]-Tableau145[[#This Row],[2025]])*2/5</f>
        <v>1016.3139033091874</v>
      </c>
      <c r="M6" s="328">
        <f>Tableau145[[#This Row],[2025]]+(Tableau145[[#This Row],[2030]]-Tableau145[[#This Row],[2025]])*3/5</f>
        <v>1025.6835067552533</v>
      </c>
      <c r="N6" s="328">
        <f>Tableau145[[#This Row],[2025]]+(Tableau145[[#This Row],[2030]]-Tableau145[[#This Row],[2025]])*4/5</f>
        <v>1035.0531102013194</v>
      </c>
      <c r="O6" s="328">
        <v>1044.4227136473855</v>
      </c>
      <c r="P6" s="328">
        <f>Tableau145[[#This Row],[2030]]+(Tableau145[[#This Row],[2035]]-Tableau145[[#This Row],[2030]])*1/5</f>
        <v>1047.767048203315</v>
      </c>
      <c r="Q6" s="328">
        <f>Tableau145[[#This Row],[2030]]+(Tableau145[[#This Row],[2035]]-Tableau145[[#This Row],[2030]])*2/5</f>
        <v>1051.1113827592444</v>
      </c>
      <c r="R6" s="328">
        <f>Tableau145[[#This Row],[2030]]+(Tableau145[[#This Row],[2035]]-Tableau145[[#This Row],[2030]])*3/5</f>
        <v>1054.4557173151736</v>
      </c>
      <c r="S6" s="328">
        <f>Tableau145[[#This Row],[2030]]+(Tableau145[[#This Row],[2035]]-Tableau145[[#This Row],[2030]])*4/5</f>
        <v>1057.8000518711031</v>
      </c>
      <c r="T6" s="328">
        <v>1061.1443864270325</v>
      </c>
      <c r="U6" s="328">
        <f>Tableau145[[#This Row],[2035]]+(Tableau145[[#This Row],[2040]]-Tableau145[[#This Row],[2035]])*1/5</f>
        <v>1064.4887209829619</v>
      </c>
      <c r="V6" s="328">
        <f>Tableau145[[#This Row],[2035]]+(Tableau145[[#This Row],[2040]]-Tableau145[[#This Row],[2035]])*2/5</f>
        <v>1067.8330555388911</v>
      </c>
      <c r="W6" s="328">
        <f>Tableau145[[#This Row],[2035]]+(Tableau145[[#This Row],[2040]]-Tableau145[[#This Row],[2035]])*3/5</f>
        <v>1071.1773900948206</v>
      </c>
      <c r="X6" s="328">
        <f>Tableau145[[#This Row],[2035]]+(Tableau145[[#This Row],[2040]]-Tableau145[[#This Row],[2035]])*4/5</f>
        <v>1074.5217246507498</v>
      </c>
      <c r="Y6" s="328">
        <v>1077.8660592066792</v>
      </c>
      <c r="Z6" s="328">
        <f>Tableau145[[#This Row],[2040]]+(Tableau145[[#This Row],[2045]]-Tableau145[[#This Row],[2040]])*1/5</f>
        <v>1081.2103937626086</v>
      </c>
      <c r="AA6" s="328">
        <f>Tableau145[[#This Row],[2040]]+(Tableau145[[#This Row],[2045]]-Tableau145[[#This Row],[2040]])*2/5</f>
        <v>1084.5547283185379</v>
      </c>
      <c r="AB6" s="328">
        <f>Tableau145[[#This Row],[2040]]+(Tableau145[[#This Row],[2045]]-Tableau145[[#This Row],[2040]])*3/5</f>
        <v>1087.8990628744673</v>
      </c>
      <c r="AC6" s="328">
        <f>Tableau145[[#This Row],[2040]]+(Tableau145[[#This Row],[2045]]-Tableau145[[#This Row],[2040]])*4/5</f>
        <v>1091.2433974303965</v>
      </c>
      <c r="AD6" s="328">
        <v>1094.5877319863259</v>
      </c>
      <c r="AE6" s="328">
        <f>Tableau145[[#This Row],[2045]]+(Tableau145[[#This Row],[2050]]-Tableau145[[#This Row],[2045]])*1/5</f>
        <v>1097.9320665422554</v>
      </c>
      <c r="AF6" s="328">
        <f>Tableau145[[#This Row],[2045]]+(Tableau145[[#This Row],[2050]]-Tableau145[[#This Row],[2045]])*2/5</f>
        <v>1101.2764010981848</v>
      </c>
      <c r="AG6" s="328">
        <f>Tableau145[[#This Row],[2045]]+(Tableau145[[#This Row],[2050]]-Tableau145[[#This Row],[2045]])*3/5</f>
        <v>1104.6207356541145</v>
      </c>
      <c r="AH6" s="328">
        <f>Tableau145[[#This Row],[2045]]+(Tableau145[[#This Row],[2050]]-Tableau145[[#This Row],[2045]])*4/5</f>
        <v>1107.9650702100439</v>
      </c>
      <c r="AI6" s="328">
        <v>1111.3094047659733</v>
      </c>
      <c r="AJ6" s="328" t="s">
        <v>390</v>
      </c>
    </row>
    <row r="7" spans="1:36" s="388" customFormat="1">
      <c r="A7" s="388" t="s">
        <v>257</v>
      </c>
      <c r="B7" s="388" t="s">
        <v>479</v>
      </c>
      <c r="C7" s="388" t="s">
        <v>398</v>
      </c>
      <c r="D7" s="328">
        <v>816.90372483163151</v>
      </c>
      <c r="E7" s="328">
        <v>651.06009944825337</v>
      </c>
      <c r="F7" s="328">
        <v>712.31109241462502</v>
      </c>
      <c r="G7" s="328">
        <v>790.09048282104311</v>
      </c>
      <c r="H7" s="328">
        <v>777.4910198492571</v>
      </c>
      <c r="I7" s="328">
        <f>(Tableau145[[#This Row],[2023]]+Tableau145[[#This Row],[2025]])/2</f>
        <v>779.23648154354044</v>
      </c>
      <c r="J7" s="328">
        <v>780.98194323782377</v>
      </c>
      <c r="K7" s="328">
        <f>Tableau145[[#This Row],[2025]]+(Tableau145[[#This Row],[2030]]-Tableau145[[#This Row],[2025]])*1/5</f>
        <v>782.72740493210699</v>
      </c>
      <c r="L7" s="328">
        <f>Tableau145[[#This Row],[2025]]+(Tableau145[[#This Row],[2030]]-Tableau145[[#This Row],[2025]])*2/5</f>
        <v>784.47286662639033</v>
      </c>
      <c r="M7" s="328">
        <f>Tableau145[[#This Row],[2025]]+(Tableau145[[#This Row],[2030]]-Tableau145[[#This Row],[2025]])*3/5</f>
        <v>786.21832832067355</v>
      </c>
      <c r="N7" s="328">
        <f>Tableau145[[#This Row],[2025]]+(Tableau145[[#This Row],[2030]]-Tableau145[[#This Row],[2025]])*4/5</f>
        <v>787.96379001495688</v>
      </c>
      <c r="O7" s="328">
        <v>789.70925170924011</v>
      </c>
      <c r="P7" s="328">
        <f>Tableau145[[#This Row],[2030]]+(Tableau145[[#This Row],[2035]]-Tableau145[[#This Row],[2030]])*1/5</f>
        <v>789.41604898877313</v>
      </c>
      <c r="Q7" s="328">
        <f>Tableau145[[#This Row],[2030]]+(Tableau145[[#This Row],[2035]]-Tableau145[[#This Row],[2030]])*2/5</f>
        <v>789.12284626830626</v>
      </c>
      <c r="R7" s="328">
        <f>Tableau145[[#This Row],[2030]]+(Tableau145[[#This Row],[2035]]-Tableau145[[#This Row],[2030]])*3/5</f>
        <v>788.82964354783928</v>
      </c>
      <c r="S7" s="328">
        <f>Tableau145[[#This Row],[2030]]+(Tableau145[[#This Row],[2035]]-Tableau145[[#This Row],[2030]])*4/5</f>
        <v>788.53644082737242</v>
      </c>
      <c r="T7" s="328">
        <v>788.24323810690544</v>
      </c>
      <c r="U7" s="328">
        <f>Tableau145[[#This Row],[2035]]+(Tableau145[[#This Row],[2040]]-Tableau145[[#This Row],[2035]])*1/5</f>
        <v>787.95003538643857</v>
      </c>
      <c r="V7" s="328">
        <f>Tableau145[[#This Row],[2035]]+(Tableau145[[#This Row],[2040]]-Tableau145[[#This Row],[2035]])*2/5</f>
        <v>787.65683266597159</v>
      </c>
      <c r="W7" s="328">
        <f>Tableau145[[#This Row],[2035]]+(Tableau145[[#This Row],[2040]]-Tableau145[[#This Row],[2035]])*3/5</f>
        <v>787.36362994550473</v>
      </c>
      <c r="X7" s="328">
        <f>Tableau145[[#This Row],[2035]]+(Tableau145[[#This Row],[2040]]-Tableau145[[#This Row],[2035]])*4/5</f>
        <v>787.07042722503775</v>
      </c>
      <c r="Y7" s="328">
        <v>786.77722450457088</v>
      </c>
      <c r="Z7" s="328">
        <f>Tableau145[[#This Row],[2040]]+(Tableau145[[#This Row],[2045]]-Tableau145[[#This Row],[2040]])*1/5</f>
        <v>786.4840217841039</v>
      </c>
      <c r="AA7" s="328">
        <f>Tableau145[[#This Row],[2040]]+(Tableau145[[#This Row],[2045]]-Tableau145[[#This Row],[2040]])*2/5</f>
        <v>786.19081906363704</v>
      </c>
      <c r="AB7" s="328">
        <f>Tableau145[[#This Row],[2040]]+(Tableau145[[#This Row],[2045]]-Tableau145[[#This Row],[2040]])*3/5</f>
        <v>785.89761634317006</v>
      </c>
      <c r="AC7" s="328">
        <f>Tableau145[[#This Row],[2040]]+(Tableau145[[#This Row],[2045]]-Tableau145[[#This Row],[2040]])*4/5</f>
        <v>785.60441362270319</v>
      </c>
      <c r="AD7" s="328">
        <v>785.31121090223621</v>
      </c>
      <c r="AE7" s="328">
        <f>Tableau145[[#This Row],[2045]]+(Tableau145[[#This Row],[2050]]-Tableau145[[#This Row],[2045]])*1/5</f>
        <v>785.01800818176935</v>
      </c>
      <c r="AF7" s="328">
        <f>Tableau145[[#This Row],[2045]]+(Tableau145[[#This Row],[2050]]-Tableau145[[#This Row],[2045]])*2/5</f>
        <v>784.72480546130237</v>
      </c>
      <c r="AG7" s="328">
        <f>Tableau145[[#This Row],[2045]]+(Tableau145[[#This Row],[2050]]-Tableau145[[#This Row],[2045]])*3/5</f>
        <v>784.4316027408355</v>
      </c>
      <c r="AH7" s="328">
        <f>Tableau145[[#This Row],[2045]]+(Tableau145[[#This Row],[2050]]-Tableau145[[#This Row],[2045]])*4/5</f>
        <v>784.13840002036852</v>
      </c>
      <c r="AI7" s="328">
        <v>783.84519729990166</v>
      </c>
      <c r="AJ7" s="328" t="s">
        <v>390</v>
      </c>
    </row>
    <row r="8" spans="1:36" s="388" customFormat="1">
      <c r="A8" s="388" t="s">
        <v>257</v>
      </c>
      <c r="B8" s="388" t="s">
        <v>399</v>
      </c>
      <c r="C8" s="388" t="s">
        <v>398</v>
      </c>
      <c r="D8" s="328">
        <v>11.340237796767951</v>
      </c>
      <c r="E8" s="328">
        <v>9.5825009382689181</v>
      </c>
      <c r="F8" s="328">
        <v>9.8220634617256408</v>
      </c>
      <c r="G8" s="328">
        <v>11.069465521364798</v>
      </c>
      <c r="H8" s="328">
        <v>10.416367055604274</v>
      </c>
      <c r="I8" s="328">
        <f>(Tableau145[[#This Row],[2023]]+Tableau145[[#This Row],[2025]])/2</f>
        <v>10.418745872378882</v>
      </c>
      <c r="J8" s="328">
        <v>10.421124689153487</v>
      </c>
      <c r="K8" s="328">
        <f>Tableau145[[#This Row],[2025]]+(Tableau145[[#This Row],[2030]]-Tableau145[[#This Row],[2025]])*1/5</f>
        <v>10.423503505928092</v>
      </c>
      <c r="L8" s="328">
        <f>Tableau145[[#This Row],[2025]]+(Tableau145[[#This Row],[2030]]-Tableau145[[#This Row],[2025]])*2/5</f>
        <v>10.425882322702698</v>
      </c>
      <c r="M8" s="328">
        <f>Tableau145[[#This Row],[2025]]+(Tableau145[[#This Row],[2030]]-Tableau145[[#This Row],[2025]])*3/5</f>
        <v>10.428261139477305</v>
      </c>
      <c r="N8" s="328">
        <f>Tableau145[[#This Row],[2025]]+(Tableau145[[#This Row],[2030]]-Tableau145[[#This Row],[2025]])*4/5</f>
        <v>10.430639956251911</v>
      </c>
      <c r="O8" s="328">
        <v>10.433018773026516</v>
      </c>
      <c r="P8" s="328">
        <f>Tableau145[[#This Row],[2030]]+(Tableau145[[#This Row],[2035]]-Tableau145[[#This Row],[2030]])*1/5</f>
        <v>10.421678535229749</v>
      </c>
      <c r="Q8" s="328">
        <f>Tableau145[[#This Row],[2030]]+(Tableau145[[#This Row],[2035]]-Tableau145[[#This Row],[2030]])*2/5</f>
        <v>10.410338297432981</v>
      </c>
      <c r="R8" s="328">
        <f>Tableau145[[#This Row],[2030]]+(Tableau145[[#This Row],[2035]]-Tableau145[[#This Row],[2030]])*3/5</f>
        <v>10.398998059636211</v>
      </c>
      <c r="S8" s="328">
        <f>Tableau145[[#This Row],[2030]]+(Tableau145[[#This Row],[2035]]-Tableau145[[#This Row],[2030]])*4/5</f>
        <v>10.387657821839444</v>
      </c>
      <c r="T8" s="328">
        <v>10.376317584042676</v>
      </c>
      <c r="U8" s="328">
        <f>Tableau145[[#This Row],[2035]]+(Tableau145[[#This Row],[2040]]-Tableau145[[#This Row],[2035]])*1/5</f>
        <v>10.364977346245908</v>
      </c>
      <c r="V8" s="328">
        <f>Tableau145[[#This Row],[2035]]+(Tableau145[[#This Row],[2040]]-Tableau145[[#This Row],[2035]])*2/5</f>
        <v>10.35363710844914</v>
      </c>
      <c r="W8" s="328">
        <f>Tableau145[[#This Row],[2035]]+(Tableau145[[#This Row],[2040]]-Tableau145[[#This Row],[2035]])*3/5</f>
        <v>10.342296870652373</v>
      </c>
      <c r="X8" s="328">
        <f>Tableau145[[#This Row],[2035]]+(Tableau145[[#This Row],[2040]]-Tableau145[[#This Row],[2035]])*4/5</f>
        <v>10.330956632855605</v>
      </c>
      <c r="Y8" s="328">
        <v>10.319616395058837</v>
      </c>
      <c r="Z8" s="328">
        <f>Tableau145[[#This Row],[2040]]+(Tableau145[[#This Row],[2045]]-Tableau145[[#This Row],[2040]])*1/5</f>
        <v>10.308276157262069</v>
      </c>
      <c r="AA8" s="328">
        <f>Tableau145[[#This Row],[2040]]+(Tableau145[[#This Row],[2045]]-Tableau145[[#This Row],[2040]])*2/5</f>
        <v>10.296935919465302</v>
      </c>
      <c r="AB8" s="328">
        <f>Tableau145[[#This Row],[2040]]+(Tableau145[[#This Row],[2045]]-Tableau145[[#This Row],[2040]])*3/5</f>
        <v>10.285595681668532</v>
      </c>
      <c r="AC8" s="328">
        <f>Tableau145[[#This Row],[2040]]+(Tableau145[[#This Row],[2045]]-Tableau145[[#This Row],[2040]])*4/5</f>
        <v>10.274255443871764</v>
      </c>
      <c r="AD8" s="328">
        <v>10.262915206074997</v>
      </c>
      <c r="AE8" s="328">
        <f>Tableau145[[#This Row],[2045]]+(Tableau145[[#This Row],[2050]]-Tableau145[[#This Row],[2045]])*1/5</f>
        <v>10.251574968278229</v>
      </c>
      <c r="AF8" s="328">
        <f>Tableau145[[#This Row],[2045]]+(Tableau145[[#This Row],[2050]]-Tableau145[[#This Row],[2045]])*2/5</f>
        <v>10.240234730481461</v>
      </c>
      <c r="AG8" s="328">
        <f>Tableau145[[#This Row],[2045]]+(Tableau145[[#This Row],[2050]]-Tableau145[[#This Row],[2045]])*3/5</f>
        <v>10.228894492684692</v>
      </c>
      <c r="AH8" s="328">
        <f>Tableau145[[#This Row],[2045]]+(Tableau145[[#This Row],[2050]]-Tableau145[[#This Row],[2045]])*4/5</f>
        <v>10.217554254887924</v>
      </c>
      <c r="AI8" s="328">
        <v>10.206214017091156</v>
      </c>
      <c r="AJ8" s="328" t="s">
        <v>390</v>
      </c>
    </row>
    <row r="9" spans="1:36" s="388" customFormat="1">
      <c r="A9" s="388" t="s">
        <v>257</v>
      </c>
      <c r="B9" s="388" t="s">
        <v>400</v>
      </c>
      <c r="C9" s="388" t="s">
        <v>398</v>
      </c>
      <c r="D9" s="328">
        <v>60.753596066877499</v>
      </c>
      <c r="E9" s="328">
        <v>37.843776957743799</v>
      </c>
      <c r="F9" s="328">
        <v>41.707118937197876</v>
      </c>
      <c r="G9" s="328">
        <v>48.04219399356478</v>
      </c>
      <c r="H9" s="328">
        <v>53.825321333385901</v>
      </c>
      <c r="I9" s="328">
        <f>(Tableau145[[#This Row],[2023]]+Tableau145[[#This Row],[2025]])/2</f>
        <v>56.10631352406854</v>
      </c>
      <c r="J9" s="328">
        <v>58.387305714751179</v>
      </c>
      <c r="K9" s="328">
        <f>Tableau145[[#This Row],[2025]]+(Tableau145[[#This Row],[2030]]-Tableau145[[#This Row],[2025]])*1/5</f>
        <v>60.668297905433818</v>
      </c>
      <c r="L9" s="328">
        <f>Tableau145[[#This Row],[2025]]+(Tableau145[[#This Row],[2030]]-Tableau145[[#This Row],[2025]])*2/5</f>
        <v>62.949290096116449</v>
      </c>
      <c r="M9" s="328">
        <f>Tableau145[[#This Row],[2025]]+(Tableau145[[#This Row],[2030]]-Tableau145[[#This Row],[2025]])*3/5</f>
        <v>65.230282286799081</v>
      </c>
      <c r="N9" s="328">
        <f>Tableau145[[#This Row],[2025]]+(Tableau145[[#This Row],[2030]]-Tableau145[[#This Row],[2025]])*4/5</f>
        <v>67.51127447748172</v>
      </c>
      <c r="O9" s="328">
        <v>69.792266668164359</v>
      </c>
      <c r="P9" s="328">
        <f>Tableau145[[#This Row],[2030]]+(Tableau145[[#This Row],[2035]]-Tableau145[[#This Row],[2030]])*1/5</f>
        <v>69.931775365804228</v>
      </c>
      <c r="Q9" s="328">
        <f>Tableau145[[#This Row],[2030]]+(Tableau145[[#This Row],[2035]]-Tableau145[[#This Row],[2030]])*2/5</f>
        <v>70.071284063444082</v>
      </c>
      <c r="R9" s="328">
        <f>Tableau145[[#This Row],[2030]]+(Tableau145[[#This Row],[2035]]-Tableau145[[#This Row],[2030]])*3/5</f>
        <v>70.210792761083951</v>
      </c>
      <c r="S9" s="328">
        <f>Tableau145[[#This Row],[2030]]+(Tableau145[[#This Row],[2035]]-Tableau145[[#This Row],[2030]])*4/5</f>
        <v>70.350301458723806</v>
      </c>
      <c r="T9" s="328">
        <v>70.489810156363674</v>
      </c>
      <c r="U9" s="328">
        <f>Tableau145[[#This Row],[2035]]+(Tableau145[[#This Row],[2040]]-Tableau145[[#This Row],[2035]])*1/5</f>
        <v>70.629318854003543</v>
      </c>
      <c r="V9" s="328">
        <f>Tableau145[[#This Row],[2035]]+(Tableau145[[#This Row],[2040]]-Tableau145[[#This Row],[2035]])*2/5</f>
        <v>70.768827551643398</v>
      </c>
      <c r="W9" s="328">
        <f>Tableau145[[#This Row],[2035]]+(Tableau145[[#This Row],[2040]]-Tableau145[[#This Row],[2035]])*3/5</f>
        <v>70.908336249283266</v>
      </c>
      <c r="X9" s="328">
        <f>Tableau145[[#This Row],[2035]]+(Tableau145[[#This Row],[2040]]-Tableau145[[#This Row],[2035]])*4/5</f>
        <v>71.047844946923121</v>
      </c>
      <c r="Y9" s="328">
        <v>71.18735364456299</v>
      </c>
      <c r="Z9" s="328">
        <f>Tableau145[[#This Row],[2040]]+(Tableau145[[#This Row],[2045]]-Tableau145[[#This Row],[2040]])*1/5</f>
        <v>71.326862342202858</v>
      </c>
      <c r="AA9" s="328">
        <f>Tableau145[[#This Row],[2040]]+(Tableau145[[#This Row],[2045]]-Tableau145[[#This Row],[2040]])*2/5</f>
        <v>71.466371039842713</v>
      </c>
      <c r="AB9" s="328">
        <f>Tableau145[[#This Row],[2040]]+(Tableau145[[#This Row],[2045]]-Tableau145[[#This Row],[2040]])*3/5</f>
        <v>71.605879737482582</v>
      </c>
      <c r="AC9" s="328">
        <f>Tableau145[[#This Row],[2040]]+(Tableau145[[#This Row],[2045]]-Tableau145[[#This Row],[2040]])*4/5</f>
        <v>71.745388435122436</v>
      </c>
      <c r="AD9" s="328">
        <v>71.884897132762305</v>
      </c>
      <c r="AE9" s="328">
        <f>Tableau145[[#This Row],[2045]]+(Tableau145[[#This Row],[2050]]-Tableau145[[#This Row],[2045]])*1/5</f>
        <v>72.024405830402173</v>
      </c>
      <c r="AF9" s="328">
        <f>Tableau145[[#This Row],[2045]]+(Tableau145[[#This Row],[2050]]-Tableau145[[#This Row],[2045]])*2/5</f>
        <v>72.163914528042028</v>
      </c>
      <c r="AG9" s="328">
        <f>Tableau145[[#This Row],[2045]]+(Tableau145[[#This Row],[2050]]-Tableau145[[#This Row],[2045]])*3/5</f>
        <v>72.303423225681897</v>
      </c>
      <c r="AH9" s="328">
        <f>Tableau145[[#This Row],[2045]]+(Tableau145[[#This Row],[2050]]-Tableau145[[#This Row],[2045]])*4/5</f>
        <v>72.442931923321751</v>
      </c>
      <c r="AI9" s="328">
        <v>72.58244062096162</v>
      </c>
      <c r="AJ9" s="328" t="s">
        <v>390</v>
      </c>
    </row>
    <row r="10" spans="1:36" s="388" customFormat="1">
      <c r="A10" s="388" t="s">
        <v>257</v>
      </c>
      <c r="B10" s="388" t="s">
        <v>401</v>
      </c>
      <c r="C10" s="388" t="s">
        <v>398</v>
      </c>
      <c r="D10" s="328">
        <v>109.34016255895861</v>
      </c>
      <c r="E10" s="328">
        <v>62.181347300934732</v>
      </c>
      <c r="F10" s="328">
        <v>81.304536377723835</v>
      </c>
      <c r="G10" s="328">
        <v>110.81587018136599</v>
      </c>
      <c r="H10" s="328">
        <v>116.36178128667574</v>
      </c>
      <c r="I10" s="328">
        <f>(Tableau145[[#This Row],[2023]]+Tableau145[[#This Row],[2025]])/2</f>
        <v>120.19412345957269</v>
      </c>
      <c r="J10" s="328">
        <v>124.02646563246967</v>
      </c>
      <c r="K10" s="328">
        <f>Tableau145[[#This Row],[2025]]+(Tableau145[[#This Row],[2030]]-Tableau145[[#This Row],[2025]])*1/5</f>
        <v>127.85880780536664</v>
      </c>
      <c r="L10" s="328">
        <f>Tableau145[[#This Row],[2025]]+(Tableau145[[#This Row],[2030]]-Tableau145[[#This Row],[2025]])*2/5</f>
        <v>131.69114997826361</v>
      </c>
      <c r="M10" s="328">
        <f>Tableau145[[#This Row],[2025]]+(Tableau145[[#This Row],[2030]]-Tableau145[[#This Row],[2025]])*3/5</f>
        <v>135.52349215116058</v>
      </c>
      <c r="N10" s="328">
        <f>Tableau145[[#This Row],[2025]]+(Tableau145[[#This Row],[2030]]-Tableau145[[#This Row],[2025]])*4/5</f>
        <v>139.35583432405755</v>
      </c>
      <c r="O10" s="328">
        <v>143.18817649695453</v>
      </c>
      <c r="P10" s="328">
        <f>Tableau145[[#This Row],[2030]]+(Tableau145[[#This Row],[2035]]-Tableau145[[#This Row],[2030]])*1/5</f>
        <v>145.55254531350772</v>
      </c>
      <c r="Q10" s="328">
        <f>Tableau145[[#This Row],[2030]]+(Tableau145[[#This Row],[2035]]-Tableau145[[#This Row],[2030]])*2/5</f>
        <v>147.91691413006095</v>
      </c>
      <c r="R10" s="328">
        <f>Tableau145[[#This Row],[2030]]+(Tableau145[[#This Row],[2035]]-Tableau145[[#This Row],[2030]])*3/5</f>
        <v>150.28128294661414</v>
      </c>
      <c r="S10" s="328">
        <f>Tableau145[[#This Row],[2030]]+(Tableau145[[#This Row],[2035]]-Tableau145[[#This Row],[2030]])*4/5</f>
        <v>152.64565176316736</v>
      </c>
      <c r="T10" s="328">
        <v>155.01002057972056</v>
      </c>
      <c r="U10" s="328">
        <f>Tableau145[[#This Row],[2035]]+(Tableau145[[#This Row],[2040]]-Tableau145[[#This Row],[2035]])*1/5</f>
        <v>157.37438939627376</v>
      </c>
      <c r="V10" s="328">
        <f>Tableau145[[#This Row],[2035]]+(Tableau145[[#This Row],[2040]]-Tableau145[[#This Row],[2035]])*2/5</f>
        <v>159.73875821282695</v>
      </c>
      <c r="W10" s="328">
        <f>Tableau145[[#This Row],[2035]]+(Tableau145[[#This Row],[2040]]-Tableau145[[#This Row],[2035]])*3/5</f>
        <v>162.10312702938018</v>
      </c>
      <c r="X10" s="328">
        <f>Tableau145[[#This Row],[2035]]+(Tableau145[[#This Row],[2040]]-Tableau145[[#This Row],[2035]])*4/5</f>
        <v>164.46749584593337</v>
      </c>
      <c r="Y10" s="328">
        <v>166.83186466248657</v>
      </c>
      <c r="Z10" s="328">
        <f>Tableau145[[#This Row],[2040]]+(Tableau145[[#This Row],[2045]]-Tableau145[[#This Row],[2040]])*1/5</f>
        <v>169.19623347903976</v>
      </c>
      <c r="AA10" s="328">
        <f>Tableau145[[#This Row],[2040]]+(Tableau145[[#This Row],[2045]]-Tableau145[[#This Row],[2040]])*2/5</f>
        <v>171.56060229559299</v>
      </c>
      <c r="AB10" s="328">
        <f>Tableau145[[#This Row],[2040]]+(Tableau145[[#This Row],[2045]]-Tableau145[[#This Row],[2040]])*3/5</f>
        <v>173.92497111214618</v>
      </c>
      <c r="AC10" s="328">
        <f>Tableau145[[#This Row],[2040]]+(Tableau145[[#This Row],[2045]]-Tableau145[[#This Row],[2040]])*4/5</f>
        <v>176.28933992869941</v>
      </c>
      <c r="AD10" s="328">
        <v>178.6537087452526</v>
      </c>
      <c r="AE10" s="328">
        <f>Tableau145[[#This Row],[2045]]+(Tableau145[[#This Row],[2050]]-Tableau145[[#This Row],[2045]])*1/5</f>
        <v>181.0180775618058</v>
      </c>
      <c r="AF10" s="328">
        <f>Tableau145[[#This Row],[2045]]+(Tableau145[[#This Row],[2050]]-Tableau145[[#This Row],[2045]])*2/5</f>
        <v>183.38244637835902</v>
      </c>
      <c r="AG10" s="328">
        <f>Tableau145[[#This Row],[2045]]+(Tableau145[[#This Row],[2050]]-Tableau145[[#This Row],[2045]])*3/5</f>
        <v>185.74681519491222</v>
      </c>
      <c r="AH10" s="328">
        <f>Tableau145[[#This Row],[2045]]+(Tableau145[[#This Row],[2050]]-Tableau145[[#This Row],[2045]])*4/5</f>
        <v>188.11118401146544</v>
      </c>
      <c r="AI10" s="328">
        <v>190.47555282801864</v>
      </c>
      <c r="AJ10" s="328" t="s">
        <v>390</v>
      </c>
    </row>
    <row r="11" spans="1:36" s="388" customFormat="1">
      <c r="A11" s="388" t="s">
        <v>257</v>
      </c>
      <c r="B11" s="388" t="s">
        <v>402</v>
      </c>
      <c r="C11" s="388" t="s">
        <v>398</v>
      </c>
      <c r="D11" s="328">
        <v>53.163252247000003</v>
      </c>
      <c r="E11" s="328">
        <v>27.0341340815</v>
      </c>
      <c r="F11" s="328">
        <v>33.380178104500004</v>
      </c>
      <c r="G11" s="328">
        <v>49.851595642500001</v>
      </c>
      <c r="H11" s="328">
        <v>49.9585536385</v>
      </c>
      <c r="I11" s="328">
        <f>(Tableau145[[#This Row],[2023]]+Tableau145[[#This Row],[2025]])/2</f>
        <v>51.011611149011998</v>
      </c>
      <c r="J11" s="328">
        <v>52.064668659524003</v>
      </c>
      <c r="K11" s="328">
        <f>Tableau145[[#This Row],[2025]]+(Tableau145[[#This Row],[2030]]-Tableau145[[#This Row],[2025]])*1/5</f>
        <v>52.655538928763946</v>
      </c>
      <c r="L11" s="328">
        <f>Tableau145[[#This Row],[2025]]+(Tableau145[[#This Row],[2030]]-Tableau145[[#This Row],[2025]])*2/5</f>
        <v>53.246409198003882</v>
      </c>
      <c r="M11" s="328">
        <f>Tableau145[[#This Row],[2025]]+(Tableau145[[#This Row],[2030]]-Tableau145[[#This Row],[2025]])*3/5</f>
        <v>53.837279467243825</v>
      </c>
      <c r="N11" s="328">
        <f>Tableau145[[#This Row],[2025]]+(Tableau145[[#This Row],[2030]]-Tableau145[[#This Row],[2025]])*4/5</f>
        <v>54.428149736483761</v>
      </c>
      <c r="O11" s="328">
        <v>55.019020005723704</v>
      </c>
      <c r="P11" s="328">
        <f>Tableau145[[#This Row],[2030]]+(Tableau145[[#This Row],[2035]]-Tableau145[[#This Row],[2030]])*1/5</f>
        <v>54.066838243495205</v>
      </c>
      <c r="Q11" s="328">
        <f>Tableau145[[#This Row],[2030]]+(Tableau145[[#This Row],[2035]]-Tableau145[[#This Row],[2030]])*2/5</f>
        <v>53.114656481266707</v>
      </c>
      <c r="R11" s="328">
        <f>Tableau145[[#This Row],[2030]]+(Tableau145[[#This Row],[2035]]-Tableau145[[#This Row],[2030]])*3/5</f>
        <v>52.162474719038201</v>
      </c>
      <c r="S11" s="328">
        <f>Tableau145[[#This Row],[2030]]+(Tableau145[[#This Row],[2035]]-Tableau145[[#This Row],[2030]])*4/5</f>
        <v>51.210292956809703</v>
      </c>
      <c r="T11" s="328">
        <v>50.258111194581204</v>
      </c>
      <c r="U11" s="328">
        <f>Tableau145[[#This Row],[2035]]+(Tableau145[[#This Row],[2040]]-Tableau145[[#This Row],[2035]])*1/5</f>
        <v>50.005694642666526</v>
      </c>
      <c r="V11" s="328">
        <f>Tableau145[[#This Row],[2035]]+(Tableau145[[#This Row],[2040]]-Tableau145[[#This Row],[2035]])*2/5</f>
        <v>49.753278090751849</v>
      </c>
      <c r="W11" s="328">
        <f>Tableau145[[#This Row],[2035]]+(Tableau145[[#This Row],[2040]]-Tableau145[[#This Row],[2035]])*3/5</f>
        <v>49.500861538837178</v>
      </c>
      <c r="X11" s="328">
        <f>Tableau145[[#This Row],[2035]]+(Tableau145[[#This Row],[2040]]-Tableau145[[#This Row],[2035]])*4/5</f>
        <v>49.2484449869225</v>
      </c>
      <c r="Y11" s="328">
        <v>48.996028435007823</v>
      </c>
      <c r="Z11" s="328">
        <f>Tableau145[[#This Row],[2040]]+(Tableau145[[#This Row],[2045]]-Tableau145[[#This Row],[2040]])*1/5</f>
        <v>49.475415282664798</v>
      </c>
      <c r="AA11" s="328">
        <f>Tableau145[[#This Row],[2040]]+(Tableau145[[#This Row],[2045]]-Tableau145[[#This Row],[2040]])*2/5</f>
        <v>49.954802130321767</v>
      </c>
      <c r="AB11" s="328">
        <f>Tableau145[[#This Row],[2040]]+(Tableau145[[#This Row],[2045]]-Tableau145[[#This Row],[2040]])*3/5</f>
        <v>50.434188977978742</v>
      </c>
      <c r="AC11" s="328">
        <f>Tableau145[[#This Row],[2040]]+(Tableau145[[#This Row],[2045]]-Tableau145[[#This Row],[2040]])*4/5</f>
        <v>50.913575825635711</v>
      </c>
      <c r="AD11" s="328">
        <v>51.392962673292686</v>
      </c>
      <c r="AE11" s="328">
        <f>Tableau145[[#This Row],[2045]]+(Tableau145[[#This Row],[2050]]-Tableau145[[#This Row],[2045]])*1/5</f>
        <v>52.123863631754226</v>
      </c>
      <c r="AF11" s="328">
        <f>Tableau145[[#This Row],[2045]]+(Tableau145[[#This Row],[2050]]-Tableau145[[#This Row],[2045]])*2/5</f>
        <v>52.854764590215773</v>
      </c>
      <c r="AG11" s="328">
        <f>Tableau145[[#This Row],[2045]]+(Tableau145[[#This Row],[2050]]-Tableau145[[#This Row],[2045]])*3/5</f>
        <v>53.585665548677312</v>
      </c>
      <c r="AH11" s="328">
        <f>Tableau145[[#This Row],[2045]]+(Tableau145[[#This Row],[2050]]-Tableau145[[#This Row],[2045]])*4/5</f>
        <v>54.316566507138859</v>
      </c>
      <c r="AI11" s="328">
        <v>55.047467465600398</v>
      </c>
      <c r="AJ11" s="328" t="s">
        <v>390</v>
      </c>
    </row>
    <row r="12" spans="1:36" s="388" customFormat="1">
      <c r="A12" s="388" t="s">
        <v>257</v>
      </c>
      <c r="B12" s="388" t="s">
        <v>403</v>
      </c>
      <c r="C12" s="388" t="s">
        <v>398</v>
      </c>
      <c r="D12" s="328">
        <v>183.66098073149999</v>
      </c>
      <c r="E12" s="328">
        <v>47.119073972000002</v>
      </c>
      <c r="F12" s="328">
        <v>56.064445320499999</v>
      </c>
      <c r="G12" s="328">
        <v>136.8160081035</v>
      </c>
      <c r="H12" s="328">
        <v>172.0572909345</v>
      </c>
      <c r="I12" s="328">
        <f>(Tableau145[[#This Row],[2023]]+Tableau145[[#This Row],[2025]])/2</f>
        <v>186.68254315009614</v>
      </c>
      <c r="J12" s="328">
        <v>201.3077953656923</v>
      </c>
      <c r="K12" s="328">
        <f>Tableau145[[#This Row],[2025]]+(Tableau145[[#This Row],[2030]]-Tableau145[[#This Row],[2025]])*1/5</f>
        <v>204.08630121103596</v>
      </c>
      <c r="L12" s="328">
        <f>Tableau145[[#This Row],[2025]]+(Tableau145[[#This Row],[2030]]-Tableau145[[#This Row],[2025]])*2/5</f>
        <v>206.86480705637962</v>
      </c>
      <c r="M12" s="328">
        <f>Tableau145[[#This Row],[2025]]+(Tableau145[[#This Row],[2030]]-Tableau145[[#This Row],[2025]])*3/5</f>
        <v>209.64331290172328</v>
      </c>
      <c r="N12" s="328">
        <f>Tableau145[[#This Row],[2025]]+(Tableau145[[#This Row],[2030]]-Tableau145[[#This Row],[2025]])*4/5</f>
        <v>212.42181874706694</v>
      </c>
      <c r="O12" s="328">
        <v>215.2003245924106</v>
      </c>
      <c r="P12" s="328">
        <f>Tableau145[[#This Row],[2030]]+(Tableau145[[#This Row],[2035]]-Tableau145[[#This Row],[2030]])*1/5</f>
        <v>214.93396689622099</v>
      </c>
      <c r="Q12" s="328">
        <f>Tableau145[[#This Row],[2030]]+(Tableau145[[#This Row],[2035]]-Tableau145[[#This Row],[2030]])*2/5</f>
        <v>214.66760920003139</v>
      </c>
      <c r="R12" s="328">
        <f>Tableau145[[#This Row],[2030]]+(Tableau145[[#This Row],[2035]]-Tableau145[[#This Row],[2030]])*3/5</f>
        <v>214.40125150384182</v>
      </c>
      <c r="S12" s="328">
        <f>Tableau145[[#This Row],[2030]]+(Tableau145[[#This Row],[2035]]-Tableau145[[#This Row],[2030]])*4/5</f>
        <v>214.13489380765222</v>
      </c>
      <c r="T12" s="328">
        <v>213.86853611146262</v>
      </c>
      <c r="U12" s="328">
        <f>Tableau145[[#This Row],[2035]]+(Tableau145[[#This Row],[2040]]-Tableau145[[#This Row],[2035]])*1/5</f>
        <v>214.44260162410256</v>
      </c>
      <c r="V12" s="328">
        <f>Tableau145[[#This Row],[2035]]+(Tableau145[[#This Row],[2040]]-Tableau145[[#This Row],[2035]])*2/5</f>
        <v>215.01666713674254</v>
      </c>
      <c r="W12" s="328">
        <f>Tableau145[[#This Row],[2035]]+(Tableau145[[#This Row],[2040]]-Tableau145[[#This Row],[2035]])*3/5</f>
        <v>215.59073264938249</v>
      </c>
      <c r="X12" s="328">
        <f>Tableau145[[#This Row],[2035]]+(Tableau145[[#This Row],[2040]]-Tableau145[[#This Row],[2035]])*4/5</f>
        <v>216.16479816202246</v>
      </c>
      <c r="Y12" s="328">
        <v>216.73886367466241</v>
      </c>
      <c r="Z12" s="328">
        <f>Tableau145[[#This Row],[2040]]+(Tableau145[[#This Row],[2045]]-Tableau145[[#This Row],[2040]])*1/5</f>
        <v>217.10429499497616</v>
      </c>
      <c r="AA12" s="328">
        <f>Tableau145[[#This Row],[2040]]+(Tableau145[[#This Row],[2045]]-Tableau145[[#This Row],[2040]])*2/5</f>
        <v>217.46972631528993</v>
      </c>
      <c r="AB12" s="328">
        <f>Tableau145[[#This Row],[2040]]+(Tableau145[[#This Row],[2045]]-Tableau145[[#This Row],[2040]])*3/5</f>
        <v>217.83515763560368</v>
      </c>
      <c r="AC12" s="328">
        <f>Tableau145[[#This Row],[2040]]+(Tableau145[[#This Row],[2045]]-Tableau145[[#This Row],[2040]])*4/5</f>
        <v>218.20058895591745</v>
      </c>
      <c r="AD12" s="328">
        <v>218.5660202762312</v>
      </c>
      <c r="AE12" s="328">
        <f>Tableau145[[#This Row],[2045]]+(Tableau145[[#This Row],[2050]]-Tableau145[[#This Row],[2045]])*1/5</f>
        <v>218.93145159654495</v>
      </c>
      <c r="AF12" s="328">
        <f>Tableau145[[#This Row],[2045]]+(Tableau145[[#This Row],[2050]]-Tableau145[[#This Row],[2045]])*2/5</f>
        <v>219.29688291685872</v>
      </c>
      <c r="AG12" s="328">
        <f>Tableau145[[#This Row],[2045]]+(Tableau145[[#This Row],[2050]]-Tableau145[[#This Row],[2045]])*3/5</f>
        <v>219.66231423717247</v>
      </c>
      <c r="AH12" s="328">
        <f>Tableau145[[#This Row],[2045]]+(Tableau145[[#This Row],[2050]]-Tableau145[[#This Row],[2045]])*4/5</f>
        <v>220.02774555748624</v>
      </c>
      <c r="AI12" s="328">
        <v>220.39317687779999</v>
      </c>
      <c r="AJ12" s="328" t="s">
        <v>390</v>
      </c>
    </row>
    <row r="13" spans="1:36" s="388" customFormat="1">
      <c r="A13" s="388" t="s">
        <v>257</v>
      </c>
      <c r="B13" s="388" t="s">
        <v>404</v>
      </c>
      <c r="C13" s="388" t="s">
        <v>405</v>
      </c>
      <c r="D13" s="328">
        <v>338.69274668665798</v>
      </c>
      <c r="E13" s="328">
        <v>325.258803209451</v>
      </c>
      <c r="F13" s="328">
        <v>338.40861351854159</v>
      </c>
      <c r="G13" s="328">
        <v>335.3021634231855</v>
      </c>
      <c r="H13" s="328">
        <v>321.76156657547489</v>
      </c>
      <c r="I13" s="328">
        <f>(Tableau145[[#This Row],[2023]]+Tableau145[[#This Row],[2025]])/2</f>
        <v>331.32676562135873</v>
      </c>
      <c r="J13" s="328">
        <v>340.89196466724258</v>
      </c>
      <c r="K13" s="328">
        <f>Tableau145[[#This Row],[2025]]+(Tableau145[[#This Row],[2030]]-Tableau145[[#This Row],[2025]])*1/5</f>
        <v>342.75523174859495</v>
      </c>
      <c r="L13" s="328">
        <f>Tableau145[[#This Row],[2025]]+(Tableau145[[#This Row],[2030]]-Tableau145[[#This Row],[2025]])*2/5</f>
        <v>344.61849882994727</v>
      </c>
      <c r="M13" s="328">
        <f>Tableau145[[#This Row],[2025]]+(Tableau145[[#This Row],[2030]]-Tableau145[[#This Row],[2025]])*3/5</f>
        <v>346.48176591129965</v>
      </c>
      <c r="N13" s="328">
        <f>Tableau145[[#This Row],[2025]]+(Tableau145[[#This Row],[2030]]-Tableau145[[#This Row],[2025]])*4/5</f>
        <v>348.34503299265197</v>
      </c>
      <c r="O13" s="328">
        <v>350.20830007400434</v>
      </c>
      <c r="P13" s="328">
        <f>Tableau145[[#This Row],[2030]]+(Tableau145[[#This Row],[2035]]-Tableau145[[#This Row],[2030]])*1/5</f>
        <v>351.54613642341661</v>
      </c>
      <c r="Q13" s="328">
        <f>Tableau145[[#This Row],[2030]]+(Tableau145[[#This Row],[2035]]-Tableau145[[#This Row],[2030]])*2/5</f>
        <v>352.88397277282894</v>
      </c>
      <c r="R13" s="328">
        <f>Tableau145[[#This Row],[2030]]+(Tableau145[[#This Row],[2035]]-Tableau145[[#This Row],[2030]])*3/5</f>
        <v>354.22180912224121</v>
      </c>
      <c r="S13" s="328">
        <f>Tableau145[[#This Row],[2030]]+(Tableau145[[#This Row],[2035]]-Tableau145[[#This Row],[2030]])*4/5</f>
        <v>355.55964547165354</v>
      </c>
      <c r="T13" s="328">
        <v>356.89748182106581</v>
      </c>
      <c r="U13" s="328">
        <f>Tableau145[[#This Row],[2035]]+(Tableau145[[#This Row],[2040]]-Tableau145[[#This Row],[2035]])*1/5</f>
        <v>358.23531817047814</v>
      </c>
      <c r="V13" s="328">
        <f>Tableau145[[#This Row],[2035]]+(Tableau145[[#This Row],[2040]]-Tableau145[[#This Row],[2035]])*2/5</f>
        <v>359.57315451989047</v>
      </c>
      <c r="W13" s="328">
        <f>Tableau145[[#This Row],[2035]]+(Tableau145[[#This Row],[2040]]-Tableau145[[#This Row],[2035]])*3/5</f>
        <v>360.91099086930274</v>
      </c>
      <c r="X13" s="328">
        <f>Tableau145[[#This Row],[2035]]+(Tableau145[[#This Row],[2040]]-Tableau145[[#This Row],[2035]])*4/5</f>
        <v>362.24882721871506</v>
      </c>
      <c r="Y13" s="328">
        <v>363.58666356812739</v>
      </c>
      <c r="Z13" s="328">
        <f>Tableau145[[#This Row],[2040]]+(Tableau145[[#This Row],[2045]]-Tableau145[[#This Row],[2040]])*1/5</f>
        <v>364.92449991753966</v>
      </c>
      <c r="AA13" s="328">
        <f>Tableau145[[#This Row],[2040]]+(Tableau145[[#This Row],[2045]]-Tableau145[[#This Row],[2040]])*2/5</f>
        <v>366.26233626695199</v>
      </c>
      <c r="AB13" s="328">
        <f>Tableau145[[#This Row],[2040]]+(Tableau145[[#This Row],[2045]]-Tableau145[[#This Row],[2040]])*3/5</f>
        <v>367.60017261636426</v>
      </c>
      <c r="AC13" s="328">
        <f>Tableau145[[#This Row],[2040]]+(Tableau145[[#This Row],[2045]]-Tableau145[[#This Row],[2040]])*4/5</f>
        <v>368.93800896577659</v>
      </c>
      <c r="AD13" s="328">
        <v>370.27584531518886</v>
      </c>
      <c r="AE13" s="328">
        <f>Tableau145[[#This Row],[2045]]+(Tableau145[[#This Row],[2050]]-Tableau145[[#This Row],[2045]])*1/5</f>
        <v>371.61368166460113</v>
      </c>
      <c r="AF13" s="328">
        <f>Tableau145[[#This Row],[2045]]+(Tableau145[[#This Row],[2050]]-Tableau145[[#This Row],[2045]])*2/5</f>
        <v>372.95151801401346</v>
      </c>
      <c r="AG13" s="328">
        <f>Tableau145[[#This Row],[2045]]+(Tableau145[[#This Row],[2050]]-Tableau145[[#This Row],[2045]])*3/5</f>
        <v>374.28935436342573</v>
      </c>
      <c r="AH13" s="328">
        <f>Tableau145[[#This Row],[2045]]+(Tableau145[[#This Row],[2050]]-Tableau145[[#This Row],[2045]])*4/5</f>
        <v>375.62719071283806</v>
      </c>
      <c r="AI13" s="328">
        <v>376.96502706225033</v>
      </c>
      <c r="AJ13" s="328" t="s">
        <v>390</v>
      </c>
    </row>
    <row r="14" spans="1:36" s="388" customFormat="1">
      <c r="A14" s="388" t="s">
        <v>257</v>
      </c>
      <c r="B14" s="388" t="s">
        <v>406</v>
      </c>
      <c r="C14" s="388" t="s">
        <v>405</v>
      </c>
      <c r="D14" s="328">
        <v>296.787581103658</v>
      </c>
      <c r="E14" s="328">
        <v>286.974526169451</v>
      </c>
      <c r="F14" s="328">
        <v>295.3734227435416</v>
      </c>
      <c r="G14" s="328">
        <v>293.42703572918549</v>
      </c>
      <c r="H14" s="328">
        <v>286.44293440047488</v>
      </c>
      <c r="I14" s="328">
        <f>(Tableau145[[#This Row],[2023]]+Tableau145[[#This Row],[2025]])/2</f>
        <v>293.21393165382415</v>
      </c>
      <c r="J14" s="328">
        <v>299.98492890717347</v>
      </c>
      <c r="K14" s="328">
        <f>Tableau145[[#This Row],[2025]]+(Tableau145[[#This Row],[2030]]-Tableau145[[#This Row],[2025]])*1/5</f>
        <v>295.32085453743144</v>
      </c>
      <c r="L14" s="328">
        <f>Tableau145[[#This Row],[2025]]+(Tableau145[[#This Row],[2030]]-Tableau145[[#This Row],[2025]])*2/5</f>
        <v>290.65678016768948</v>
      </c>
      <c r="M14" s="328">
        <f>Tableau145[[#This Row],[2025]]+(Tableau145[[#This Row],[2030]]-Tableau145[[#This Row],[2025]])*3/5</f>
        <v>285.99270579794745</v>
      </c>
      <c r="N14" s="328">
        <f>Tableau145[[#This Row],[2025]]+(Tableau145[[#This Row],[2030]]-Tableau145[[#This Row],[2025]])*4/5</f>
        <v>281.32863142820548</v>
      </c>
      <c r="O14" s="328">
        <v>276.66455705846346</v>
      </c>
      <c r="P14" s="328">
        <f>Tableau145[[#This Row],[2030]]+(Tableau145[[#This Row],[2035]]-Tableau145[[#This Row],[2030]])*1/5</f>
        <v>276.29385784721489</v>
      </c>
      <c r="Q14" s="328">
        <f>Tableau145[[#This Row],[2030]]+(Tableau145[[#This Row],[2035]]-Tableau145[[#This Row],[2030]])*2/5</f>
        <v>275.92315863596633</v>
      </c>
      <c r="R14" s="328">
        <f>Tableau145[[#This Row],[2030]]+(Tableau145[[#This Row],[2035]]-Tableau145[[#This Row],[2030]])*3/5</f>
        <v>275.55245942471782</v>
      </c>
      <c r="S14" s="328">
        <f>Tableau145[[#This Row],[2030]]+(Tableau145[[#This Row],[2035]]-Tableau145[[#This Row],[2030]])*4/5</f>
        <v>275.18176021346926</v>
      </c>
      <c r="T14" s="328">
        <v>274.8110610022207</v>
      </c>
      <c r="U14" s="328">
        <f>Tableau145[[#This Row],[2035]]+(Tableau145[[#This Row],[2040]]-Tableau145[[#This Row],[2035]])*1/5</f>
        <v>274.38684833699568</v>
      </c>
      <c r="V14" s="328">
        <f>Tableau145[[#This Row],[2035]]+(Tableau145[[#This Row],[2040]]-Tableau145[[#This Row],[2035]])*2/5</f>
        <v>273.96263567177067</v>
      </c>
      <c r="W14" s="328">
        <f>Tableau145[[#This Row],[2035]]+(Tableau145[[#This Row],[2040]]-Tableau145[[#This Row],[2035]])*3/5</f>
        <v>273.5384230065456</v>
      </c>
      <c r="X14" s="328">
        <f>Tableau145[[#This Row],[2035]]+(Tableau145[[#This Row],[2040]]-Tableau145[[#This Row],[2035]])*4/5</f>
        <v>273.11421034132059</v>
      </c>
      <c r="Y14" s="328">
        <v>272.68999767609557</v>
      </c>
      <c r="Z14" s="328">
        <f>Tableau145[[#This Row],[2040]]+(Tableau145[[#This Row],[2045]]-Tableau145[[#This Row],[2040]])*1/5</f>
        <v>272.21227155689405</v>
      </c>
      <c r="AA14" s="328">
        <f>Tableau145[[#This Row],[2040]]+(Tableau145[[#This Row],[2045]]-Tableau145[[#This Row],[2040]])*2/5</f>
        <v>271.73454543769253</v>
      </c>
      <c r="AB14" s="328">
        <f>Tableau145[[#This Row],[2040]]+(Tableau145[[#This Row],[2045]]-Tableau145[[#This Row],[2040]])*3/5</f>
        <v>271.25681931849095</v>
      </c>
      <c r="AC14" s="328">
        <f>Tableau145[[#This Row],[2040]]+(Tableau145[[#This Row],[2045]]-Tableau145[[#This Row],[2040]])*4/5</f>
        <v>270.77909319928943</v>
      </c>
      <c r="AD14" s="328">
        <v>270.30136708008791</v>
      </c>
      <c r="AE14" s="328">
        <f>Tableau145[[#This Row],[2045]]+(Tableau145[[#This Row],[2050]]-Tableau145[[#This Row],[2045]])*1/5</f>
        <v>269.77012750690989</v>
      </c>
      <c r="AF14" s="328">
        <f>Tableau145[[#This Row],[2045]]+(Tableau145[[#This Row],[2050]]-Tableau145[[#This Row],[2045]])*2/5</f>
        <v>269.23888793373186</v>
      </c>
      <c r="AG14" s="328">
        <f>Tableau145[[#This Row],[2045]]+(Tableau145[[#This Row],[2050]]-Tableau145[[#This Row],[2045]])*3/5</f>
        <v>268.70764836055378</v>
      </c>
      <c r="AH14" s="328">
        <f>Tableau145[[#This Row],[2045]]+(Tableau145[[#This Row],[2050]]-Tableau145[[#This Row],[2045]])*4/5</f>
        <v>268.17640878737575</v>
      </c>
      <c r="AI14" s="328">
        <v>267.64516921419772</v>
      </c>
      <c r="AJ14" s="328" t="s">
        <v>390</v>
      </c>
    </row>
    <row r="15" spans="1:36" s="388" customFormat="1">
      <c r="A15" s="388" t="s">
        <v>257</v>
      </c>
      <c r="B15" s="388" t="s">
        <v>407</v>
      </c>
      <c r="C15" s="388" t="s">
        <v>408</v>
      </c>
      <c r="D15" s="328">
        <v>86.835036579000004</v>
      </c>
      <c r="E15" s="328">
        <v>75.871079579000011</v>
      </c>
      <c r="F15" s="328">
        <v>85.12178458599999</v>
      </c>
      <c r="G15" s="328">
        <v>85.106931555999992</v>
      </c>
      <c r="H15" s="328">
        <v>83.867414691999997</v>
      </c>
      <c r="I15" s="328">
        <f>(Tableau145[[#This Row],[2023]]+Tableau145[[#This Row],[2025]])/2</f>
        <v>83.961628933320668</v>
      </c>
      <c r="J15" s="328">
        <v>84.055843174641339</v>
      </c>
      <c r="K15" s="328">
        <f>Tableau145[[#This Row],[2025]]+(Tableau145[[#This Row],[2030]]-Tableau145[[#This Row],[2025]])*1/5</f>
        <v>84.006639923124922</v>
      </c>
      <c r="L15" s="328">
        <f>Tableau145[[#This Row],[2025]]+(Tableau145[[#This Row],[2030]]-Tableau145[[#This Row],[2025]])*2/5</f>
        <v>83.957436671608519</v>
      </c>
      <c r="M15" s="328">
        <f>Tableau145[[#This Row],[2025]]+(Tableau145[[#This Row],[2030]]-Tableau145[[#This Row],[2025]])*3/5</f>
        <v>83.908233420092103</v>
      </c>
      <c r="N15" s="328">
        <f>Tableau145[[#This Row],[2025]]+(Tableau145[[#This Row],[2030]]-Tableau145[[#This Row],[2025]])*4/5</f>
        <v>83.8590301685757</v>
      </c>
      <c r="O15" s="328">
        <v>83.809826917059283</v>
      </c>
      <c r="P15" s="328">
        <f>Tableau145[[#This Row],[2030]]+(Tableau145[[#This Row],[2035]]-Tableau145[[#This Row],[2030]])*1/5</f>
        <v>83.703927403926301</v>
      </c>
      <c r="Q15" s="328">
        <f>Tableau145[[#This Row],[2030]]+(Tableau145[[#This Row],[2035]]-Tableau145[[#This Row],[2030]])*2/5</f>
        <v>83.598027890793318</v>
      </c>
      <c r="R15" s="328">
        <f>Tableau145[[#This Row],[2030]]+(Tableau145[[#This Row],[2035]]-Tableau145[[#This Row],[2030]])*3/5</f>
        <v>83.492128377660336</v>
      </c>
      <c r="S15" s="328">
        <f>Tableau145[[#This Row],[2030]]+(Tableau145[[#This Row],[2035]]-Tableau145[[#This Row],[2030]])*4/5</f>
        <v>83.386228864527354</v>
      </c>
      <c r="T15" s="328">
        <v>83.280329351394371</v>
      </c>
      <c r="U15" s="328">
        <f>Tableau145[[#This Row],[2035]]+(Tableau145[[#This Row],[2040]]-Tableau145[[#This Row],[2035]])*1/5</f>
        <v>83.177158049191434</v>
      </c>
      <c r="V15" s="328">
        <f>Tableau145[[#This Row],[2035]]+(Tableau145[[#This Row],[2040]]-Tableau145[[#This Row],[2035]])*2/5</f>
        <v>83.073986746988496</v>
      </c>
      <c r="W15" s="328">
        <f>Tableau145[[#This Row],[2035]]+(Tableau145[[#This Row],[2040]]-Tableau145[[#This Row],[2035]])*3/5</f>
        <v>82.970815444785543</v>
      </c>
      <c r="X15" s="328">
        <f>Tableau145[[#This Row],[2035]]+(Tableau145[[#This Row],[2040]]-Tableau145[[#This Row],[2035]])*4/5</f>
        <v>82.867644142582606</v>
      </c>
      <c r="Y15" s="328">
        <v>82.764472840379668</v>
      </c>
      <c r="Z15" s="328">
        <f>Tableau145[[#This Row],[2040]]+(Tableau145[[#This Row],[2045]]-Tableau145[[#This Row],[2040]])*1/5</f>
        <v>82.66392678275308</v>
      </c>
      <c r="AA15" s="328">
        <f>Tableau145[[#This Row],[2040]]+(Tableau145[[#This Row],[2045]]-Tableau145[[#This Row],[2040]])*2/5</f>
        <v>82.563380725126478</v>
      </c>
      <c r="AB15" s="328">
        <f>Tableau145[[#This Row],[2040]]+(Tableau145[[#This Row],[2045]]-Tableau145[[#This Row],[2040]])*3/5</f>
        <v>82.462834667499891</v>
      </c>
      <c r="AC15" s="328">
        <f>Tableau145[[#This Row],[2040]]+(Tableau145[[#This Row],[2045]]-Tableau145[[#This Row],[2040]])*4/5</f>
        <v>82.362288609873289</v>
      </c>
      <c r="AD15" s="328">
        <v>82.261742552246702</v>
      </c>
      <c r="AE15" s="328">
        <f>Tableau145[[#This Row],[2045]]+(Tableau145[[#This Row],[2050]]-Tableau145[[#This Row],[2045]])*1/5</f>
        <v>82.163723817679852</v>
      </c>
      <c r="AF15" s="328">
        <f>Tableau145[[#This Row],[2045]]+(Tableau145[[#This Row],[2050]]-Tableau145[[#This Row],[2045]])*2/5</f>
        <v>82.065705083113002</v>
      </c>
      <c r="AG15" s="328">
        <f>Tableau145[[#This Row],[2045]]+(Tableau145[[#This Row],[2050]]-Tableau145[[#This Row],[2045]])*3/5</f>
        <v>81.967686348546152</v>
      </c>
      <c r="AH15" s="328">
        <f>Tableau145[[#This Row],[2045]]+(Tableau145[[#This Row],[2050]]-Tableau145[[#This Row],[2045]])*4/5</f>
        <v>81.869667613979303</v>
      </c>
      <c r="AI15" s="328">
        <v>81.771648879412453</v>
      </c>
      <c r="AJ15" s="328" t="s">
        <v>390</v>
      </c>
    </row>
    <row r="16" spans="1:36" s="388" customFormat="1">
      <c r="A16" s="388" t="s">
        <v>257</v>
      </c>
      <c r="B16" s="388" t="s">
        <v>409</v>
      </c>
      <c r="C16" s="388" t="s">
        <v>405</v>
      </c>
      <c r="D16" s="328">
        <v>33.908709999999999</v>
      </c>
      <c r="E16" s="328">
        <v>31.296559999999999</v>
      </c>
      <c r="F16" s="328">
        <v>35.769720999999997</v>
      </c>
      <c r="G16" s="328">
        <v>35.281855999999998</v>
      </c>
      <c r="H16" s="328">
        <v>29.398990999999999</v>
      </c>
      <c r="I16" s="328">
        <f>(Tableau145[[#This Row],[2023]]+Tableau145[[#This Row],[2025]])/2</f>
        <v>31.744093733362128</v>
      </c>
      <c r="J16" s="328">
        <v>34.08919646672426</v>
      </c>
      <c r="K16" s="328">
        <f>Tableau145[[#This Row],[2025]]+(Tableau145[[#This Row],[2030]]-Tableau145[[#This Row],[2025]])*1/5</f>
        <v>39.878855976043567</v>
      </c>
      <c r="L16" s="328">
        <f>Tableau145[[#This Row],[2025]]+(Tableau145[[#This Row],[2030]]-Tableau145[[#This Row],[2025]])*2/5</f>
        <v>45.668515485362867</v>
      </c>
      <c r="M16" s="328">
        <f>Tableau145[[#This Row],[2025]]+(Tableau145[[#This Row],[2030]]-Tableau145[[#This Row],[2025]])*3/5</f>
        <v>51.458174994682174</v>
      </c>
      <c r="N16" s="328">
        <f>Tableau145[[#This Row],[2025]]+(Tableau145[[#This Row],[2030]]-Tableau145[[#This Row],[2025]])*4/5</f>
        <v>57.247834504001474</v>
      </c>
      <c r="O16" s="328">
        <v>63.037494013320782</v>
      </c>
      <c r="P16" s="328">
        <f>Tableau145[[#This Row],[2030]]+(Tableau145[[#This Row],[2035]]-Tableau145[[#This Row],[2030]])*1/5</f>
        <v>64.527445742588725</v>
      </c>
      <c r="Q16" s="328">
        <f>Tableau145[[#This Row],[2030]]+(Tableau145[[#This Row],[2035]]-Tableau145[[#This Row],[2030]])*2/5</f>
        <v>66.017397471856668</v>
      </c>
      <c r="R16" s="328">
        <f>Tableau145[[#This Row],[2030]]+(Tableau145[[#This Row],[2035]]-Tableau145[[#This Row],[2030]])*3/5</f>
        <v>67.507349201124612</v>
      </c>
      <c r="S16" s="328">
        <f>Tableau145[[#This Row],[2030]]+(Tableau145[[#This Row],[2035]]-Tableau145[[#This Row],[2030]])*4/5</f>
        <v>68.997300930392555</v>
      </c>
      <c r="T16" s="328">
        <v>70.487252659660498</v>
      </c>
      <c r="U16" s="328">
        <f>Tableau145[[#This Row],[2035]]+(Tableau145[[#This Row],[2040]]-Tableau145[[#This Row],[2035]])*1/5</f>
        <v>72.024028661157871</v>
      </c>
      <c r="V16" s="328">
        <f>Tableau145[[#This Row],[2035]]+(Tableau145[[#This Row],[2040]]-Tableau145[[#This Row],[2035]])*2/5</f>
        <v>73.560804662655258</v>
      </c>
      <c r="W16" s="328">
        <f>Tableau145[[#This Row],[2035]]+(Tableau145[[#This Row],[2040]]-Tableau145[[#This Row],[2035]])*3/5</f>
        <v>75.09758066415263</v>
      </c>
      <c r="X16" s="328">
        <f>Tableau145[[#This Row],[2035]]+(Tableau145[[#This Row],[2040]]-Tableau145[[#This Row],[2035]])*4/5</f>
        <v>76.634356665650017</v>
      </c>
      <c r="Y16" s="328">
        <v>78.17113266714739</v>
      </c>
      <c r="Z16" s="328">
        <f>Tableau145[[#This Row],[2040]]+(Tableau145[[#This Row],[2045]]-Tableau145[[#This Row],[2040]])*1/5</f>
        <v>79.754732940874192</v>
      </c>
      <c r="AA16" s="328">
        <f>Tableau145[[#This Row],[2040]]+(Tableau145[[#This Row],[2045]]-Tableau145[[#This Row],[2040]])*2/5</f>
        <v>81.338333214600993</v>
      </c>
      <c r="AB16" s="328">
        <f>Tableau145[[#This Row],[2040]]+(Tableau145[[#This Row],[2045]]-Tableau145[[#This Row],[2040]])*3/5</f>
        <v>82.921933488327795</v>
      </c>
      <c r="AC16" s="328">
        <f>Tableau145[[#This Row],[2040]]+(Tableau145[[#This Row],[2045]]-Tableau145[[#This Row],[2040]])*4/5</f>
        <v>84.505533762054597</v>
      </c>
      <c r="AD16" s="328">
        <v>86.089134035781399</v>
      </c>
      <c r="AE16" s="328">
        <f>Tableau145[[#This Row],[2045]]+(Tableau145[[#This Row],[2050]]-Tableau145[[#This Row],[2045]])*1/5</f>
        <v>87.71955858173763</v>
      </c>
      <c r="AF16" s="328">
        <f>Tableau145[[#This Row],[2045]]+(Tableau145[[#This Row],[2050]]-Tableau145[[#This Row],[2045]])*2/5</f>
        <v>89.349983127693875</v>
      </c>
      <c r="AG16" s="328">
        <f>Tableau145[[#This Row],[2045]]+(Tableau145[[#This Row],[2050]]-Tableau145[[#This Row],[2045]])*3/5</f>
        <v>90.980407673650106</v>
      </c>
      <c r="AH16" s="328">
        <f>Tableau145[[#This Row],[2045]]+(Tableau145[[#This Row],[2050]]-Tableau145[[#This Row],[2045]])*4/5</f>
        <v>92.610832219606351</v>
      </c>
      <c r="AI16" s="328">
        <v>94.241256765562582</v>
      </c>
      <c r="AJ16" s="328" t="s">
        <v>390</v>
      </c>
    </row>
    <row r="17" spans="1:36" s="388" customFormat="1">
      <c r="A17" s="388" t="s">
        <v>257</v>
      </c>
      <c r="B17" s="388" t="s">
        <v>410</v>
      </c>
      <c r="C17" s="388" t="s">
        <v>405</v>
      </c>
      <c r="D17" s="328">
        <v>7.9964555830000004</v>
      </c>
      <c r="E17" s="328">
        <v>6.9877170399999997</v>
      </c>
      <c r="F17" s="328">
        <v>7.2654697749999997</v>
      </c>
      <c r="G17" s="328">
        <v>6.5932716940000002</v>
      </c>
      <c r="H17" s="328">
        <v>5.9196411749999998</v>
      </c>
      <c r="I17" s="328">
        <f>(Tableau145[[#This Row],[2023]]+Tableau145[[#This Row],[2025]])/2</f>
        <v>6.3687402341724262</v>
      </c>
      <c r="J17" s="328">
        <v>6.8178392933448517</v>
      </c>
      <c r="K17" s="328">
        <f>Tableau145[[#This Row],[2025]]+(Tableau145[[#This Row],[2030]]-Tableau145[[#This Row],[2025]])*1/5</f>
        <v>7.5555212351199073</v>
      </c>
      <c r="L17" s="328">
        <f>Tableau145[[#This Row],[2025]]+(Tableau145[[#This Row],[2030]]-Tableau145[[#This Row],[2025]])*2/5</f>
        <v>8.2932031768949628</v>
      </c>
      <c r="M17" s="328">
        <f>Tableau145[[#This Row],[2025]]+(Tableau145[[#This Row],[2030]]-Tableau145[[#This Row],[2025]])*3/5</f>
        <v>9.0308851186700192</v>
      </c>
      <c r="N17" s="328">
        <f>Tableau145[[#This Row],[2025]]+(Tableau145[[#This Row],[2030]]-Tableau145[[#This Row],[2025]])*4/5</f>
        <v>9.7685670604450756</v>
      </c>
      <c r="O17" s="328">
        <v>10.50624900222013</v>
      </c>
      <c r="P17" s="328">
        <f>Tableau145[[#This Row],[2030]]+(Tableau145[[#This Row],[2035]]-Tableau145[[#This Row],[2030]])*1/5</f>
        <v>10.724832833613032</v>
      </c>
      <c r="Q17" s="328">
        <f>Tableau145[[#This Row],[2030]]+(Tableau145[[#This Row],[2035]]-Tableau145[[#This Row],[2030]])*2/5</f>
        <v>10.943416665005934</v>
      </c>
      <c r="R17" s="328">
        <f>Tableau145[[#This Row],[2030]]+(Tableau145[[#This Row],[2035]]-Tableau145[[#This Row],[2030]])*3/5</f>
        <v>11.162000496398836</v>
      </c>
      <c r="S17" s="328">
        <f>Tableau145[[#This Row],[2030]]+(Tableau145[[#This Row],[2035]]-Tableau145[[#This Row],[2030]])*4/5</f>
        <v>11.380584327791738</v>
      </c>
      <c r="T17" s="328">
        <v>11.599168159184639</v>
      </c>
      <c r="U17" s="328">
        <f>Tableau145[[#This Row],[2035]]+(Tableau145[[#This Row],[2040]]-Tableau145[[#This Row],[2035]])*1/5</f>
        <v>11.824441172324603</v>
      </c>
      <c r="V17" s="328">
        <f>Tableau145[[#This Row],[2035]]+(Tableau145[[#This Row],[2040]]-Tableau145[[#This Row],[2035]])*2/5</f>
        <v>12.049714185464568</v>
      </c>
      <c r="W17" s="328">
        <f>Tableau145[[#This Row],[2035]]+(Tableau145[[#This Row],[2040]]-Tableau145[[#This Row],[2035]])*3/5</f>
        <v>12.274987198604531</v>
      </c>
      <c r="X17" s="328">
        <f>Tableau145[[#This Row],[2035]]+(Tableau145[[#This Row],[2040]]-Tableau145[[#This Row],[2035]])*4/5</f>
        <v>12.500260211744497</v>
      </c>
      <c r="Y17" s="328">
        <v>12.72553322488446</v>
      </c>
      <c r="Z17" s="328">
        <f>Tableau145[[#This Row],[2040]]+(Tableau145[[#This Row],[2045]]-Tableau145[[#This Row],[2040]])*1/5</f>
        <v>12.957495419771485</v>
      </c>
      <c r="AA17" s="328">
        <f>Tableau145[[#This Row],[2040]]+(Tableau145[[#This Row],[2045]]-Tableau145[[#This Row],[2040]])*2/5</f>
        <v>13.189457614658508</v>
      </c>
      <c r="AB17" s="328">
        <f>Tableau145[[#This Row],[2040]]+(Tableau145[[#This Row],[2045]]-Tableau145[[#This Row],[2040]])*3/5</f>
        <v>13.421419809545533</v>
      </c>
      <c r="AC17" s="328">
        <f>Tableau145[[#This Row],[2040]]+(Tableau145[[#This Row],[2045]]-Tableau145[[#This Row],[2040]])*4/5</f>
        <v>13.653382004432556</v>
      </c>
      <c r="AD17" s="328">
        <v>13.885344199319581</v>
      </c>
      <c r="AE17" s="328">
        <f>Tableau145[[#This Row],[2045]]+(Tableau145[[#This Row],[2050]]-Tableau145[[#This Row],[2045]])*1/5</f>
        <v>14.123995575953668</v>
      </c>
      <c r="AF17" s="328">
        <f>Tableau145[[#This Row],[2045]]+(Tableau145[[#This Row],[2050]]-Tableau145[[#This Row],[2045]])*2/5</f>
        <v>14.362646952587754</v>
      </c>
      <c r="AG17" s="328">
        <f>Tableau145[[#This Row],[2045]]+(Tableau145[[#This Row],[2050]]-Tableau145[[#This Row],[2045]])*3/5</f>
        <v>14.601298329221841</v>
      </c>
      <c r="AH17" s="328">
        <f>Tableau145[[#This Row],[2045]]+(Tableau145[[#This Row],[2050]]-Tableau145[[#This Row],[2045]])*4/5</f>
        <v>14.839949705855927</v>
      </c>
      <c r="AI17" s="328">
        <v>15.078601082490014</v>
      </c>
      <c r="AJ17" s="328" t="s">
        <v>390</v>
      </c>
    </row>
    <row r="18" spans="1:36" s="388" customFormat="1">
      <c r="A18" s="388" t="s">
        <v>157</v>
      </c>
      <c r="B18" s="388" t="s">
        <v>411</v>
      </c>
      <c r="C18" s="388" t="s">
        <v>412</v>
      </c>
      <c r="D18" s="328">
        <v>18050.757000000001</v>
      </c>
      <c r="E18" s="328">
        <v>17700.752</v>
      </c>
      <c r="F18" s="328">
        <v>17224.597000000002</v>
      </c>
      <c r="G18" s="328">
        <v>16876.598999999998</v>
      </c>
      <c r="H18" s="328">
        <v>16711.302742766715</v>
      </c>
      <c r="I18" s="328">
        <f>(Tableau145[[#This Row],[2023]]+Tableau145[[#This Row],[2025]])/2</f>
        <v>16546.006485533428</v>
      </c>
      <c r="J18" s="328">
        <v>16380.710228300142</v>
      </c>
      <c r="K18" s="328">
        <f>Tableau145[[#This Row],[2025]]+(Tableau145[[#This Row],[2028]]-Tableau145[[#This Row],[2025]])*1/3</f>
        <v>16215.413971066857</v>
      </c>
      <c r="L18" s="328">
        <f>Tableau145[[#This Row],[2025]]+(Tableau145[[#This Row],[2028]]-Tableau145[[#This Row],[2025]])*2/3</f>
        <v>16050.11771383357</v>
      </c>
      <c r="M18" s="328">
        <v>15884.821456600284</v>
      </c>
      <c r="N18" s="328">
        <f>(Tableau145[[#This Row],[2028]]+Tableau145[[#This Row],[2030]])/2</f>
        <v>15719.525199366999</v>
      </c>
      <c r="O18" s="328">
        <v>15554.228942133714</v>
      </c>
      <c r="P18" s="328">
        <f>Tableau145[[#This Row],[2030]]+(Tableau145[[#This Row],[2033]]-Tableau145[[#This Row],[2030]])*1/3</f>
        <v>15370.699530687987</v>
      </c>
      <c r="Q18" s="328">
        <f>Tableau145[[#This Row],[2030]]+(Tableau145[[#This Row],[2033]]-Tableau145[[#This Row],[2030]])*2/3</f>
        <v>15187.170119242259</v>
      </c>
      <c r="R18" s="328">
        <v>15003.640707796532</v>
      </c>
      <c r="S18" s="328">
        <f>(Tableau145[[#This Row],[2033]]+Tableau145[[#This Row],[2035]])/2</f>
        <v>14820.111296350802</v>
      </c>
      <c r="T18" s="328">
        <v>14636.581884905074</v>
      </c>
      <c r="U18" s="328">
        <f>Tableau145[[#This Row],[2035]]+(Tableau145[[#This Row],[2038]]-Tableau145[[#This Row],[2035]])*1/3</f>
        <v>14453.052473459347</v>
      </c>
      <c r="V18" s="328">
        <f>Tableau145[[#This Row],[2035]]+(Tableau145[[#This Row],[2038]]-Tableau145[[#This Row],[2035]])*2/3</f>
        <v>14269.523062013619</v>
      </c>
      <c r="W18" s="328">
        <v>14085.993650567892</v>
      </c>
      <c r="X18" s="328">
        <f>(Tableau145[[#This Row],[2038]]+Tableau145[[#This Row],[2040]])/2</f>
        <v>13902.464239122164</v>
      </c>
      <c r="Y18" s="328">
        <v>13718.934827676438</v>
      </c>
      <c r="Z18" s="328">
        <f>Tableau145[[#This Row],[2040]]+(Tableau145[[#This Row],[2045]]-Tableau145[[#This Row],[2040]])*1/5</f>
        <v>13535.405416230709</v>
      </c>
      <c r="AA18" s="328">
        <f>Tableau145[[#This Row],[2040]]+(Tableau145[[#This Row],[2045]]-Tableau145[[#This Row],[2040]])*2/5</f>
        <v>13351.876004784981</v>
      </c>
      <c r="AB18" s="328">
        <f>Tableau145[[#This Row],[2040]]+(Tableau145[[#This Row],[2045]]-Tableau145[[#This Row],[2040]])*3/5</f>
        <v>13168.346593339254</v>
      </c>
      <c r="AC18" s="328">
        <f>Tableau145[[#This Row],[2040]]+(Tableau145[[#This Row],[2045]]-Tableau145[[#This Row],[2040]])*4/5</f>
        <v>12984.817181893526</v>
      </c>
      <c r="AD18" s="328">
        <v>12801.287770447798</v>
      </c>
      <c r="AE18" s="328">
        <f>Tableau145[[#This Row],[2045]]+(Tableau145[[#This Row],[2050]]-Tableau145[[#This Row],[2045]])*1/5</f>
        <v>12617.758359002069</v>
      </c>
      <c r="AF18" s="328">
        <f>Tableau145[[#This Row],[2045]]+(Tableau145[[#This Row],[2050]]-Tableau145[[#This Row],[2045]])*2/5</f>
        <v>12434.228947556343</v>
      </c>
      <c r="AG18" s="328">
        <f>Tableau145[[#This Row],[2045]]+(Tableau145[[#This Row],[2050]]-Tableau145[[#This Row],[2045]])*3/5</f>
        <v>12250.699536110615</v>
      </c>
      <c r="AH18" s="328">
        <f>Tableau145[[#This Row],[2045]]+(Tableau145[[#This Row],[2050]]-Tableau145[[#This Row],[2045]])*4/5</f>
        <v>12067.170124664888</v>
      </c>
      <c r="AI18" s="328">
        <v>11883.64071321916</v>
      </c>
      <c r="AJ18" s="328" t="s">
        <v>390</v>
      </c>
    </row>
    <row r="19" spans="1:36" s="388" customFormat="1">
      <c r="A19" s="388" t="s">
        <v>157</v>
      </c>
      <c r="B19" s="388" t="s">
        <v>413</v>
      </c>
      <c r="C19" s="388" t="s">
        <v>412</v>
      </c>
      <c r="D19" s="328">
        <v>13285.266999999994</v>
      </c>
      <c r="E19" s="328">
        <v>13305.549999999996</v>
      </c>
      <c r="F19" s="328">
        <v>12880.241999999995</v>
      </c>
      <c r="G19" s="328">
        <v>12137.091</v>
      </c>
      <c r="H19" s="328">
        <v>12116.829</v>
      </c>
      <c r="I19" s="328">
        <f>(Tableau145[[#This Row],[2023]]+Tableau145[[#This Row],[2025]])/2</f>
        <v>12096.566999999999</v>
      </c>
      <c r="J19" s="328">
        <v>12076.304999999998</v>
      </c>
      <c r="K19" s="328">
        <f>Tableau145[[#This Row],[2025]]+(Tableau145[[#This Row],[2028]]-Tableau145[[#This Row],[2025]])*1/3</f>
        <v>12056.042999999998</v>
      </c>
      <c r="L19" s="328">
        <f>Tableau145[[#This Row],[2025]]+(Tableau145[[#This Row],[2028]]-Tableau145[[#This Row],[2025]])*2/3</f>
        <v>12035.780999999997</v>
      </c>
      <c r="M19" s="328">
        <v>12015.518999999997</v>
      </c>
      <c r="N19" s="328">
        <f>(Tableau145[[#This Row],[2028]]+Tableau145[[#This Row],[2030]])/2</f>
        <v>11995.256999999998</v>
      </c>
      <c r="O19" s="328">
        <v>11974.994999999997</v>
      </c>
      <c r="P19" s="328">
        <f>Tableau145[[#This Row],[2030]]+(Tableau145[[#This Row],[2033]]-Tableau145[[#This Row],[2030]])*1/3</f>
        <v>11841.939499999997</v>
      </c>
      <c r="Q19" s="328">
        <f>Tableau145[[#This Row],[2030]]+(Tableau145[[#This Row],[2033]]-Tableau145[[#This Row],[2030]])*2/3</f>
        <v>11708.883999999996</v>
      </c>
      <c r="R19" s="328">
        <v>11575.828499999996</v>
      </c>
      <c r="S19" s="328">
        <f>(Tableau145[[#This Row],[2033]]+Tableau145[[#This Row],[2035]])/2</f>
        <v>11442.772999999997</v>
      </c>
      <c r="T19" s="328">
        <v>11309.717499999997</v>
      </c>
      <c r="U19" s="328">
        <f>Tableau145[[#This Row],[2035]]+(Tableau145[[#This Row],[2038]]-Tableau145[[#This Row],[2035]])*1/3</f>
        <v>11176.661999999997</v>
      </c>
      <c r="V19" s="328">
        <f>Tableau145[[#This Row],[2035]]+(Tableau145[[#This Row],[2038]]-Tableau145[[#This Row],[2035]])*2/3</f>
        <v>11043.606499999996</v>
      </c>
      <c r="W19" s="328">
        <v>10910.550999999996</v>
      </c>
      <c r="X19" s="328">
        <f>(Tableau145[[#This Row],[2038]]+Tableau145[[#This Row],[2040]])/2</f>
        <v>10777.495499999997</v>
      </c>
      <c r="Y19" s="328">
        <v>10644.439999999999</v>
      </c>
      <c r="Z19" s="328">
        <f>Tableau145[[#This Row],[2040]]+(Tableau145[[#This Row],[2045]]-Tableau145[[#This Row],[2040]])*1/5</f>
        <v>10511.384499999998</v>
      </c>
      <c r="AA19" s="328">
        <f>Tableau145[[#This Row],[2040]]+(Tableau145[[#This Row],[2045]]-Tableau145[[#This Row],[2040]])*2/5</f>
        <v>10378.328999999998</v>
      </c>
      <c r="AB19" s="328">
        <f>Tableau145[[#This Row],[2040]]+(Tableau145[[#This Row],[2045]]-Tableau145[[#This Row],[2040]])*3/5</f>
        <v>10245.273499999999</v>
      </c>
      <c r="AC19" s="328">
        <f>Tableau145[[#This Row],[2040]]+(Tableau145[[#This Row],[2045]]-Tableau145[[#This Row],[2040]])*4/5</f>
        <v>10112.217999999999</v>
      </c>
      <c r="AD19" s="328">
        <v>9979.1624999999985</v>
      </c>
      <c r="AE19" s="328">
        <f>Tableau145[[#This Row],[2045]]+(Tableau145[[#This Row],[2050]]-Tableau145[[#This Row],[2045]])*1/5</f>
        <v>9846.1069999999982</v>
      </c>
      <c r="AF19" s="328">
        <f>Tableau145[[#This Row],[2045]]+(Tableau145[[#This Row],[2050]]-Tableau145[[#This Row],[2045]])*2/5</f>
        <v>9713.0514999999978</v>
      </c>
      <c r="AG19" s="328">
        <f>Tableau145[[#This Row],[2045]]+(Tableau145[[#This Row],[2050]]-Tableau145[[#This Row],[2045]])*3/5</f>
        <v>9579.9959999999974</v>
      </c>
      <c r="AH19" s="328">
        <f>Tableau145[[#This Row],[2045]]+(Tableau145[[#This Row],[2050]]-Tableau145[[#This Row],[2045]])*4/5</f>
        <v>9446.940499999997</v>
      </c>
      <c r="AI19" s="328">
        <v>9313.8849999999966</v>
      </c>
      <c r="AJ19" s="328" t="s">
        <v>390</v>
      </c>
    </row>
    <row r="20" spans="1:36" s="388" customFormat="1">
      <c r="A20" s="388" t="s">
        <v>157</v>
      </c>
      <c r="B20" s="388" t="s">
        <v>414</v>
      </c>
      <c r="C20" s="388" t="s">
        <v>412</v>
      </c>
      <c r="D20" s="328">
        <v>293841</v>
      </c>
      <c r="E20" s="328">
        <v>291988</v>
      </c>
      <c r="F20" s="328">
        <v>287786.99999999994</v>
      </c>
      <c r="G20" s="328">
        <v>269896.99999999994</v>
      </c>
      <c r="H20" s="328">
        <v>272658.37499999994</v>
      </c>
      <c r="I20" s="328">
        <f>(Tableau145[[#This Row],[2023]]+Tableau145[[#This Row],[2025]])/2</f>
        <v>275419.74999999994</v>
      </c>
      <c r="J20" s="328">
        <v>278181.12499999994</v>
      </c>
      <c r="K20" s="328">
        <f>Tableau145[[#This Row],[2025]]+(Tableau145[[#This Row],[2028]]-Tableau145[[#This Row],[2025]])*1/3</f>
        <v>280942.49999999994</v>
      </c>
      <c r="L20" s="328">
        <f>Tableau145[[#This Row],[2025]]+(Tableau145[[#This Row],[2028]]-Tableau145[[#This Row],[2025]])*2/3</f>
        <v>283703.87499999994</v>
      </c>
      <c r="M20" s="328">
        <v>286465.24999999994</v>
      </c>
      <c r="N20" s="328">
        <f>(Tableau145[[#This Row],[2028]]+Tableau145[[#This Row],[2030]])/2</f>
        <v>289226.625</v>
      </c>
      <c r="O20" s="328">
        <v>291988</v>
      </c>
      <c r="P20" s="328">
        <f>Tableau145[[#This Row],[2030]]+(Tableau145[[#This Row],[2033]]-Tableau145[[#This Row],[2030]])*1/3</f>
        <v>291988</v>
      </c>
      <c r="Q20" s="328">
        <f>Tableau145[[#This Row],[2030]]+(Tableau145[[#This Row],[2033]]-Tableau145[[#This Row],[2030]])*2/3</f>
        <v>291988</v>
      </c>
      <c r="R20" s="328">
        <v>291988</v>
      </c>
      <c r="S20" s="328">
        <f>(Tableau145[[#This Row],[2033]]+Tableau145[[#This Row],[2035]])/2</f>
        <v>291988</v>
      </c>
      <c r="T20" s="328">
        <v>291988</v>
      </c>
      <c r="U20" s="328">
        <f>Tableau145[[#This Row],[2035]]+(Tableau145[[#This Row],[2038]]-Tableau145[[#This Row],[2035]])*1/3</f>
        <v>291988</v>
      </c>
      <c r="V20" s="328">
        <f>Tableau145[[#This Row],[2035]]+(Tableau145[[#This Row],[2038]]-Tableau145[[#This Row],[2035]])*2/3</f>
        <v>291988</v>
      </c>
      <c r="W20" s="328">
        <v>291988</v>
      </c>
      <c r="X20" s="328">
        <f>(Tableau145[[#This Row],[2038]]+Tableau145[[#This Row],[2040]])/2</f>
        <v>291988</v>
      </c>
      <c r="Y20" s="328">
        <v>291988</v>
      </c>
      <c r="Z20" s="328">
        <f>Tableau145[[#This Row],[2040]]+(Tableau145[[#This Row],[2045]]-Tableau145[[#This Row],[2040]])*1/5</f>
        <v>291988</v>
      </c>
      <c r="AA20" s="328">
        <f>Tableau145[[#This Row],[2040]]+(Tableau145[[#This Row],[2045]]-Tableau145[[#This Row],[2040]])*2/5</f>
        <v>291988</v>
      </c>
      <c r="AB20" s="328">
        <f>Tableau145[[#This Row],[2040]]+(Tableau145[[#This Row],[2045]]-Tableau145[[#This Row],[2040]])*3/5</f>
        <v>291988</v>
      </c>
      <c r="AC20" s="328">
        <f>Tableau145[[#This Row],[2040]]+(Tableau145[[#This Row],[2045]]-Tableau145[[#This Row],[2040]])*4/5</f>
        <v>291988</v>
      </c>
      <c r="AD20" s="328">
        <v>291988</v>
      </c>
      <c r="AE20" s="328">
        <f>Tableau145[[#This Row],[2045]]+(Tableau145[[#This Row],[2050]]-Tableau145[[#This Row],[2045]])*1/5</f>
        <v>291988</v>
      </c>
      <c r="AF20" s="328">
        <f>Tableau145[[#This Row],[2045]]+(Tableau145[[#This Row],[2050]]-Tableau145[[#This Row],[2045]])*2/5</f>
        <v>291988</v>
      </c>
      <c r="AG20" s="328">
        <f>Tableau145[[#This Row],[2045]]+(Tableau145[[#This Row],[2050]]-Tableau145[[#This Row],[2045]])*3/5</f>
        <v>291988</v>
      </c>
      <c r="AH20" s="328">
        <f>Tableau145[[#This Row],[2045]]+(Tableau145[[#This Row],[2050]]-Tableau145[[#This Row],[2045]])*4/5</f>
        <v>291988</v>
      </c>
      <c r="AI20" s="328">
        <v>291988</v>
      </c>
      <c r="AJ20" s="328" t="s">
        <v>390</v>
      </c>
    </row>
    <row r="21" spans="1:36" s="388" customFormat="1">
      <c r="A21" s="388" t="s">
        <v>157</v>
      </c>
      <c r="B21" s="412" t="s">
        <v>415</v>
      </c>
      <c r="C21" s="388" t="s">
        <v>416</v>
      </c>
      <c r="D21" s="328">
        <v>26643.519</v>
      </c>
      <c r="E21" s="328">
        <v>26487.996999999999</v>
      </c>
      <c r="F21" s="328">
        <v>26630.472095544555</v>
      </c>
      <c r="G21" s="328">
        <v>26648.293191089113</v>
      </c>
      <c r="H21" s="328">
        <v>26548.049954062175</v>
      </c>
      <c r="I21" s="328">
        <f>(Tableau145[[#This Row],[2023]]+Tableau145[[#This Row],[2025]])/2</f>
        <v>26447.806717035237</v>
      </c>
      <c r="J21" s="328">
        <v>26347.563480008299</v>
      </c>
      <c r="K21" s="328">
        <f>Tableau145[[#This Row],[2025]]+(Tableau145[[#This Row],[2028]]-Tableau145[[#This Row],[2025]])*1/3</f>
        <v>26247.320242981365</v>
      </c>
      <c r="L21" s="328">
        <f>Tableau145[[#This Row],[2025]]+(Tableau145[[#This Row],[2028]]-Tableau145[[#This Row],[2025]])*2/3</f>
        <v>26147.077005954434</v>
      </c>
      <c r="M21" s="328">
        <v>26046.833768927499</v>
      </c>
      <c r="N21" s="328">
        <f>(Tableau145[[#This Row],[2028]]+Tableau145[[#This Row],[2030]])/2</f>
        <v>25946.590531900561</v>
      </c>
      <c r="O21" s="328">
        <v>25846.347294873623</v>
      </c>
      <c r="P21" s="328">
        <f>Tableau145[[#This Row],[2030]]+(Tableau145[[#This Row],[2033]]-Tableau145[[#This Row],[2030]])*1/3</f>
        <v>25783.410201970597</v>
      </c>
      <c r="Q21" s="328">
        <f>Tableau145[[#This Row],[2030]]+(Tableau145[[#This Row],[2033]]-Tableau145[[#This Row],[2030]])*2/3</f>
        <v>25720.47310906757</v>
      </c>
      <c r="R21" s="328">
        <v>25657.536016164544</v>
      </c>
      <c r="S21" s="328">
        <f>(Tableau145[[#This Row],[2033]]+Tableau145[[#This Row],[2035]])/2</f>
        <v>25594.598923261517</v>
      </c>
      <c r="T21" s="328">
        <v>25531.661830358495</v>
      </c>
      <c r="U21" s="328">
        <f>Tableau145[[#This Row],[2035]]+(Tableau145[[#This Row],[2038]]-Tableau145[[#This Row],[2035]])*1/3</f>
        <v>25468.724737455468</v>
      </c>
      <c r="V21" s="328">
        <f>Tableau145[[#This Row],[2035]]+(Tableau145[[#This Row],[2038]]-Tableau145[[#This Row],[2035]])*2/3</f>
        <v>25405.787644552445</v>
      </c>
      <c r="W21" s="328">
        <v>25342.850551649419</v>
      </c>
      <c r="X21" s="328">
        <f>(Tableau145[[#This Row],[2038]]+Tableau145[[#This Row],[2040]])/2</f>
        <v>25279.913458746385</v>
      </c>
      <c r="Y21" s="328">
        <v>25216.976365843355</v>
      </c>
      <c r="Z21" s="328">
        <f>Tableau145[[#This Row],[2040]]+(Tableau145[[#This Row],[2045]]-Tableau145[[#This Row],[2040]])*1/5</f>
        <v>25154.039272940328</v>
      </c>
      <c r="AA21" s="328">
        <f>Tableau145[[#This Row],[2040]]+(Tableau145[[#This Row],[2045]]-Tableau145[[#This Row],[2040]])*2/5</f>
        <v>25091.102180037302</v>
      </c>
      <c r="AB21" s="328">
        <f>Tableau145[[#This Row],[2040]]+(Tableau145[[#This Row],[2045]]-Tableau145[[#This Row],[2040]])*3/5</f>
        <v>25028.165087134275</v>
      </c>
      <c r="AC21" s="328">
        <f>Tableau145[[#This Row],[2040]]+(Tableau145[[#This Row],[2045]]-Tableau145[[#This Row],[2040]])*4/5</f>
        <v>24965.227994231249</v>
      </c>
      <c r="AD21" s="328">
        <v>24902.290901328222</v>
      </c>
      <c r="AE21" s="328">
        <f>Tableau145[[#This Row],[2045]]+(Tableau145[[#This Row],[2050]]-Tableau145[[#This Row],[2045]])*1/5</f>
        <v>24839.353808425196</v>
      </c>
      <c r="AF21" s="328">
        <f>Tableau145[[#This Row],[2045]]+(Tableau145[[#This Row],[2050]]-Tableau145[[#This Row],[2045]])*2/5</f>
        <v>24776.416715522169</v>
      </c>
      <c r="AG21" s="328">
        <f>Tableau145[[#This Row],[2045]]+(Tableau145[[#This Row],[2050]]-Tableau145[[#This Row],[2045]])*3/5</f>
        <v>24713.479622619139</v>
      </c>
      <c r="AH21" s="328">
        <f>Tableau145[[#This Row],[2045]]+(Tableau145[[#This Row],[2050]]-Tableau145[[#This Row],[2045]])*4/5</f>
        <v>24650.542529716113</v>
      </c>
      <c r="AI21" s="328">
        <v>24587.605436813086</v>
      </c>
      <c r="AJ21" s="328" t="s">
        <v>390</v>
      </c>
    </row>
    <row r="22" spans="1:36" s="388" customFormat="1">
      <c r="A22" s="388" t="s">
        <v>157</v>
      </c>
      <c r="B22" s="412" t="s">
        <v>417</v>
      </c>
      <c r="C22" s="388" t="s">
        <v>418</v>
      </c>
      <c r="D22" s="328">
        <v>2125.1464999999998</v>
      </c>
      <c r="E22" s="328">
        <v>2016.7745</v>
      </c>
      <c r="F22" s="328">
        <v>1958.4780000000001</v>
      </c>
      <c r="G22" s="328">
        <v>1812.818</v>
      </c>
      <c r="H22" s="328">
        <v>1762.8591514439424</v>
      </c>
      <c r="I22" s="328">
        <f>(Tableau145[[#This Row],[2023]]+Tableau145[[#This Row],[2025]])/2</f>
        <v>1712.9003028878851</v>
      </c>
      <c r="J22" s="328">
        <v>1662.9414543318276</v>
      </c>
      <c r="K22" s="328">
        <f>Tableau145[[#This Row],[2025]]+(Tableau145[[#This Row],[2028]]-Tableau145[[#This Row],[2025]])*1/3</f>
        <v>1612.98260577577</v>
      </c>
      <c r="L22" s="328">
        <f>Tableau145[[#This Row],[2025]]+(Tableau145[[#This Row],[2028]]-Tableau145[[#This Row],[2025]])*2/3</f>
        <v>1563.0237572197127</v>
      </c>
      <c r="M22" s="328">
        <v>1513.0649086636552</v>
      </c>
      <c r="N22" s="328">
        <f>(Tableau145[[#This Row],[2028]]+Tableau145[[#This Row],[2030]])/2</f>
        <v>1463.1060601075978</v>
      </c>
      <c r="O22" s="328">
        <v>1413.1472115515403</v>
      </c>
      <c r="P22" s="328">
        <f>Tableau145[[#This Row],[2030]]+(Tableau145[[#This Row],[2033]]-Tableau145[[#This Row],[2030]])*1/3</f>
        <v>1389.2567117332585</v>
      </c>
      <c r="Q22" s="328">
        <f>Tableau145[[#This Row],[2030]]+(Tableau145[[#This Row],[2033]]-Tableau145[[#This Row],[2030]])*2/3</f>
        <v>1365.3662119149769</v>
      </c>
      <c r="R22" s="328">
        <v>1341.4757120966951</v>
      </c>
      <c r="S22" s="328">
        <f>(Tableau145[[#This Row],[2033]]+Tableau145[[#This Row],[2035]])/2</f>
        <v>1317.5852122784133</v>
      </c>
      <c r="T22" s="328">
        <v>1293.6947124601315</v>
      </c>
      <c r="U22" s="328">
        <f>Tableau145[[#This Row],[2035]]+(Tableau145[[#This Row],[2038]]-Tableau145[[#This Row],[2035]])*1/3</f>
        <v>1269.8042126418497</v>
      </c>
      <c r="V22" s="328">
        <f>Tableau145[[#This Row],[2035]]+(Tableau145[[#This Row],[2038]]-Tableau145[[#This Row],[2035]])*2/3</f>
        <v>1245.9137128235682</v>
      </c>
      <c r="W22" s="328">
        <v>1222.0232130052864</v>
      </c>
      <c r="X22" s="328">
        <f>(Tableau145[[#This Row],[2038]]+Tableau145[[#This Row],[2040]])/2</f>
        <v>1198.1327131870048</v>
      </c>
      <c r="Y22" s="328">
        <v>1174.242213368723</v>
      </c>
      <c r="Z22" s="328">
        <f>Tableau145[[#This Row],[2040]]+(Tableau145[[#This Row],[2045]]-Tableau145[[#This Row],[2040]])*1/5</f>
        <v>1150.3517135504412</v>
      </c>
      <c r="AA22" s="328">
        <f>Tableau145[[#This Row],[2040]]+(Tableau145[[#This Row],[2045]]-Tableau145[[#This Row],[2040]])*2/5</f>
        <v>1126.4612137321594</v>
      </c>
      <c r="AB22" s="328">
        <f>Tableau145[[#This Row],[2040]]+(Tableau145[[#This Row],[2045]]-Tableau145[[#This Row],[2040]])*3/5</f>
        <v>1102.5707139138779</v>
      </c>
      <c r="AC22" s="328">
        <f>Tableau145[[#This Row],[2040]]+(Tableau145[[#This Row],[2045]]-Tableau145[[#This Row],[2040]])*4/5</f>
        <v>1078.6802140955961</v>
      </c>
      <c r="AD22" s="328">
        <v>1054.7897142773143</v>
      </c>
      <c r="AE22" s="328">
        <f>Tableau145[[#This Row],[2045]]+(Tableau145[[#This Row],[2050]]-Tableau145[[#This Row],[2045]])*1/5</f>
        <v>1030.8992144590325</v>
      </c>
      <c r="AF22" s="328">
        <f>Tableau145[[#This Row],[2045]]+(Tableau145[[#This Row],[2050]]-Tableau145[[#This Row],[2045]])*2/5</f>
        <v>1007.0087146407508</v>
      </c>
      <c r="AG22" s="328">
        <f>Tableau145[[#This Row],[2045]]+(Tableau145[[#This Row],[2050]]-Tableau145[[#This Row],[2045]])*3/5</f>
        <v>983.11821482246899</v>
      </c>
      <c r="AH22" s="328">
        <f>Tableau145[[#This Row],[2045]]+(Tableau145[[#This Row],[2050]]-Tableau145[[#This Row],[2045]])*4/5</f>
        <v>959.2277150041873</v>
      </c>
      <c r="AI22" s="328">
        <v>935.33721518590551</v>
      </c>
      <c r="AJ22" s="328" t="s">
        <v>390</v>
      </c>
    </row>
    <row r="23" spans="1:36" s="388" customFormat="1">
      <c r="A23" s="388" t="s">
        <v>157</v>
      </c>
      <c r="B23" s="388" t="s">
        <v>420</v>
      </c>
      <c r="C23" s="388" t="s">
        <v>421</v>
      </c>
      <c r="D23" s="328">
        <f>5263</f>
        <v>5263</v>
      </c>
      <c r="E23" s="328">
        <f>Tableau145[[#This Row],[2019]]+(Tableau145[[#This Row],[2030]]-Tableau145[[#This Row],[2019]])*1/11</f>
        <v>5229.3505213924127</v>
      </c>
      <c r="F23" s="328">
        <f>Tableau145[[#This Row],[2019]]+(Tableau145[[#This Row],[2030]]-Tableau145[[#This Row],[2019]])*2/11</f>
        <v>5195.7010427848254</v>
      </c>
      <c r="G23" s="328">
        <f>Tableau145[[#This Row],[2019]]+(Tableau145[[#This Row],[2030]]-Tableau145[[#This Row],[2019]])*3/11</f>
        <v>5162.0515641772381</v>
      </c>
      <c r="H23" s="328">
        <f>Tableau145[[#This Row],[2019]]+(Tableau145[[#This Row],[2030]]-Tableau145[[#This Row],[2019]])*4/11</f>
        <v>5128.4020855696508</v>
      </c>
      <c r="I23" s="328">
        <f>Tableau145[[#This Row],[2019]]+(Tableau145[[#This Row],[2030]]-Tableau145[[#This Row],[2019]])*5/11</f>
        <v>5094.7526069620635</v>
      </c>
      <c r="J23" s="328">
        <f>Tableau145[[#This Row],[2019]]+(Tableau145[[#This Row],[2030]]-Tableau145[[#This Row],[2019]])*6/11</f>
        <v>5061.1031283544771</v>
      </c>
      <c r="K23" s="328">
        <f>Tableau145[[#This Row],[2019]]+(Tableau145[[#This Row],[2030]]-Tableau145[[#This Row],[2019]])*7/11</f>
        <v>5027.4536497468898</v>
      </c>
      <c r="L23" s="328">
        <f>Tableau145[[#This Row],[2019]]+(Tableau145[[#This Row],[2030]]-Tableau145[[#This Row],[2019]])*8/11</f>
        <v>4993.8041711393025</v>
      </c>
      <c r="M23" s="328">
        <f>Tableau145[[#This Row],[2019]]+(Tableau145[[#This Row],[2030]]-Tableau145[[#This Row],[2019]])*9/11</f>
        <v>4960.1546925317152</v>
      </c>
      <c r="N23" s="328">
        <f>Tableau145[[#This Row],[2019]]+(Tableau145[[#This Row],[2030]]-Tableau145[[#This Row],[2019]])*10/11</f>
        <v>4926.5052139241279</v>
      </c>
      <c r="O23" s="328">
        <v>4892.8557353165406</v>
      </c>
      <c r="P23" s="328">
        <f>Tableau145[[#This Row],[2030]]+(Tableau145[[#This Row],[2050]]-Tableau145[[#This Row],[2030]])*1/20</f>
        <v>4855.6187329888435</v>
      </c>
      <c r="Q23" s="328">
        <f>Tableau145[[#This Row],[2030]]+(Tableau145[[#This Row],[2050]]-Tableau145[[#This Row],[2030]])*2/20</f>
        <v>4818.3817306611463</v>
      </c>
      <c r="R23" s="328">
        <f>Tableau145[[#This Row],[2030]]+(Tableau145[[#This Row],[2050]]-Tableau145[[#This Row],[2030]])*3/20</f>
        <v>4781.1447283334483</v>
      </c>
      <c r="S23" s="328">
        <f>Tableau145[[#This Row],[2030]]+(Tableau145[[#This Row],[2050]]-Tableau145[[#This Row],[2030]])*4/20</f>
        <v>4743.9077260057511</v>
      </c>
      <c r="T23" s="328">
        <f>Tableau145[[#This Row],[2030]]+(Tableau145[[#This Row],[2050]]-Tableau145[[#This Row],[2030]])*5/20</f>
        <v>4706.6707236780539</v>
      </c>
      <c r="U23" s="328">
        <f>Tableau145[[#This Row],[2030]]+(Tableau145[[#This Row],[2050]]-Tableau145[[#This Row],[2030]])*6/20</f>
        <v>4669.4337213503568</v>
      </c>
      <c r="V23" s="328">
        <f>Tableau145[[#This Row],[2030]]+(Tableau145[[#This Row],[2050]]-Tableau145[[#This Row],[2030]])*7/20</f>
        <v>4632.1967190226596</v>
      </c>
      <c r="W23" s="328">
        <f>Tableau145[[#This Row],[2030]]+(Tableau145[[#This Row],[2050]]-Tableau145[[#This Row],[2030]])*8/20</f>
        <v>4594.9597166949616</v>
      </c>
      <c r="X23" s="328">
        <f>Tableau145[[#This Row],[2030]]+(Tableau145[[#This Row],[2050]]-Tableau145[[#This Row],[2030]])*9/20</f>
        <v>4557.7227143672644</v>
      </c>
      <c r="Y23" s="328">
        <f>Tableau145[[#This Row],[2030]]+(Tableau145[[#This Row],[2050]]-Tableau145[[#This Row],[2030]])*10/20</f>
        <v>4520.4857120395673</v>
      </c>
      <c r="Z23" s="328">
        <f>Tableau145[[#This Row],[2030]]+(Tableau145[[#This Row],[2050]]-Tableau145[[#This Row],[2030]])*11/20</f>
        <v>4483.2487097118701</v>
      </c>
      <c r="AA23" s="328">
        <f>Tableau145[[#This Row],[2030]]+(Tableau145[[#This Row],[2050]]-Tableau145[[#This Row],[2030]])*12/20</f>
        <v>4446.011707384173</v>
      </c>
      <c r="AB23" s="328">
        <f>Tableau145[[#This Row],[2030]]+(Tableau145[[#This Row],[2050]]-Tableau145[[#This Row],[2030]])*13/20</f>
        <v>4408.7747050564749</v>
      </c>
      <c r="AC23" s="328">
        <f>Tableau145[[#This Row],[2030]]+(Tableau145[[#This Row],[2050]]-Tableau145[[#This Row],[2030]])*14/20</f>
        <v>4371.5377027287777</v>
      </c>
      <c r="AD23" s="328">
        <f>Tableau145[[#This Row],[2030]]+(Tableau145[[#This Row],[2050]]-Tableau145[[#This Row],[2030]])*15/20</f>
        <v>4334.3007004010806</v>
      </c>
      <c r="AE23" s="328">
        <f>Tableau145[[#This Row],[2030]]+(Tableau145[[#This Row],[2050]]-Tableau145[[#This Row],[2030]])*16/20</f>
        <v>4297.0636980733834</v>
      </c>
      <c r="AF23" s="328">
        <f>Tableau145[[#This Row],[2030]]+(Tableau145[[#This Row],[2050]]-Tableau145[[#This Row],[2030]])*17/20</f>
        <v>4259.8266957456863</v>
      </c>
      <c r="AG23" s="328">
        <f>Tableau145[[#This Row],[2030]]+(Tableau145[[#This Row],[2050]]-Tableau145[[#This Row],[2030]])*18/20</f>
        <v>4222.5896934179882</v>
      </c>
      <c r="AH23" s="328">
        <f>Tableau145[[#This Row],[2030]]+(Tableau145[[#This Row],[2050]]-Tableau145[[#This Row],[2030]])*19/20</f>
        <v>4185.352691090291</v>
      </c>
      <c r="AI23" s="328">
        <v>4148.1156887625939</v>
      </c>
      <c r="AJ23" s="328" t="s">
        <v>390</v>
      </c>
    </row>
    <row r="24" spans="1:36" s="388" customFormat="1">
      <c r="A24" s="388" t="s">
        <v>157</v>
      </c>
      <c r="B24" s="412" t="s">
        <v>482</v>
      </c>
      <c r="C24" s="388" t="s">
        <v>441</v>
      </c>
      <c r="D24" s="413">
        <v>27.91115338808893</v>
      </c>
      <c r="E24" s="413">
        <v>27.91115338808893</v>
      </c>
      <c r="F24" s="413">
        <v>27.91115338808893</v>
      </c>
      <c r="G24" s="328">
        <v>27.91115338808893</v>
      </c>
      <c r="H24" s="328">
        <v>27.822392665374746</v>
      </c>
      <c r="I24" s="328">
        <v>27.681663443114505</v>
      </c>
      <c r="J24" s="328">
        <v>27.487350543690834</v>
      </c>
      <c r="K24" s="328">
        <v>27.237794740332468</v>
      </c>
      <c r="L24" s="328">
        <v>26.931291694822185</v>
      </c>
      <c r="M24" s="328">
        <v>26.566090869076568</v>
      </c>
      <c r="N24" s="328">
        <v>26.140394409933101</v>
      </c>
      <c r="O24" s="328">
        <v>25.652356006462121</v>
      </c>
      <c r="P24" s="328">
        <v>25.135186645272185</v>
      </c>
      <c r="Q24" s="328">
        <v>24.582589475333556</v>
      </c>
      <c r="R24" s="328">
        <v>24.198674345006111</v>
      </c>
      <c r="S24" s="328">
        <v>23.803676225826333</v>
      </c>
      <c r="T24" s="328">
        <v>23.419495346808059</v>
      </c>
      <c r="U24" s="328">
        <v>23.01783326009614</v>
      </c>
      <c r="V24" s="328">
        <v>22.597962694156681</v>
      </c>
      <c r="W24" s="328">
        <v>22.159129357527341</v>
      </c>
      <c r="X24" s="328">
        <v>21.82641973886998</v>
      </c>
      <c r="Y24" s="328">
        <v>21.478193174609018</v>
      </c>
      <c r="Z24" s="328">
        <v>21.120678796727191</v>
      </c>
      <c r="AA24" s="328">
        <v>20.753803428047824</v>
      </c>
      <c r="AB24" s="328">
        <v>20.377501047233668</v>
      </c>
      <c r="AC24" s="328">
        <v>19.991713206067836</v>
      </c>
      <c r="AD24" s="328">
        <v>19.596389466281629</v>
      </c>
      <c r="AE24" s="328">
        <v>19.186096678333705</v>
      </c>
      <c r="AF24" s="328">
        <v>18.776629896272574</v>
      </c>
      <c r="AG24" s="328">
        <v>18.368402816418609</v>
      </c>
      <c r="AH24" s="328">
        <v>17.961851252146531</v>
      </c>
      <c r="AI24" s="328">
        <v>17.58672528339455</v>
      </c>
      <c r="AJ24" s="328" t="s">
        <v>390</v>
      </c>
    </row>
    <row r="25" spans="1:36" s="388" customFormat="1">
      <c r="A25" s="388" t="s">
        <v>12</v>
      </c>
      <c r="B25" s="388" t="s">
        <v>422</v>
      </c>
      <c r="C25" s="388" t="s">
        <v>423</v>
      </c>
      <c r="D25" s="328">
        <v>12.935931460000001</v>
      </c>
      <c r="E25" s="328">
        <v>11.771046420000001</v>
      </c>
      <c r="F25" s="328">
        <v>12.242079734802246</v>
      </c>
      <c r="G25" s="328">
        <v>12.044778823852539</v>
      </c>
      <c r="H25" s="328">
        <v>10.672455787658691</v>
      </c>
      <c r="I25" s="328">
        <v>10.634998321533203</v>
      </c>
      <c r="J25" s="328">
        <v>10.597540855407715</v>
      </c>
      <c r="K25" s="328">
        <v>10.538032531738281</v>
      </c>
      <c r="L25" s="328">
        <v>10.478524208068848</v>
      </c>
      <c r="M25" s="328">
        <v>10.41901683807373</v>
      </c>
      <c r="N25" s="328">
        <v>10.359508514404297</v>
      </c>
      <c r="O25" s="328">
        <v>10.300000190734863</v>
      </c>
      <c r="P25" s="328">
        <v>10.168493270874023</v>
      </c>
      <c r="Q25" s="328">
        <v>10.0369873046875</v>
      </c>
      <c r="R25" s="328">
        <v>9.9054803848266602</v>
      </c>
      <c r="S25" s="328">
        <v>9.7739744186401367</v>
      </c>
      <c r="T25" s="328">
        <v>9.6424674987792969</v>
      </c>
      <c r="U25" s="328">
        <v>9.5122442245483398</v>
      </c>
      <c r="V25" s="328">
        <v>9.3820209503173828</v>
      </c>
      <c r="W25" s="328">
        <v>9.2517967224121094</v>
      </c>
      <c r="X25" s="328">
        <v>9.1215734481811523</v>
      </c>
      <c r="Y25" s="328">
        <v>8.9913501739501953</v>
      </c>
      <c r="Z25" s="328">
        <v>8.8624095916748047</v>
      </c>
      <c r="AA25" s="328">
        <v>8.7334690093994141</v>
      </c>
      <c r="AB25" s="328">
        <v>8.604527473449707</v>
      </c>
      <c r="AC25" s="328">
        <v>8.4755868911743164</v>
      </c>
      <c r="AD25" s="328">
        <v>8.3466463088989258</v>
      </c>
      <c r="AE25" s="328">
        <v>8.2189884185791016</v>
      </c>
      <c r="AF25" s="328">
        <v>8.0913305282592773</v>
      </c>
      <c r="AG25" s="328">
        <v>7.9636721611022949</v>
      </c>
      <c r="AH25" s="328">
        <v>7.8360142707824707</v>
      </c>
      <c r="AI25" s="328">
        <v>7.7083563804626465</v>
      </c>
      <c r="AJ25" s="328" t="s">
        <v>390</v>
      </c>
    </row>
    <row r="26" spans="1:36" s="388" customFormat="1">
      <c r="A26" s="388" t="s">
        <v>12</v>
      </c>
      <c r="B26" s="388" t="s">
        <v>424</v>
      </c>
      <c r="C26" s="388" t="s">
        <v>423</v>
      </c>
      <c r="D26" s="328">
        <v>0.89400000000000002</v>
      </c>
      <c r="E26" s="328">
        <v>0.81799999999999995</v>
      </c>
      <c r="F26" s="328">
        <v>0.85500001907348633</v>
      </c>
      <c r="G26" s="328">
        <v>0.78249186277389526</v>
      </c>
      <c r="H26" s="328">
        <v>0.74907451868057251</v>
      </c>
      <c r="I26" s="328">
        <v>0.77126115560531616</v>
      </c>
      <c r="J26" s="328">
        <v>0.79344776272773743</v>
      </c>
      <c r="K26" s="328">
        <v>0.81672799587249756</v>
      </c>
      <c r="L26" s="328">
        <v>0.84000825881958008</v>
      </c>
      <c r="M26" s="328">
        <v>0.86328849196434021</v>
      </c>
      <c r="N26" s="328">
        <v>0.88656872510910034</v>
      </c>
      <c r="O26" s="328">
        <v>0.90984898805618286</v>
      </c>
      <c r="P26" s="328">
        <v>0.9223218560218811</v>
      </c>
      <c r="Q26" s="328">
        <v>0.93479478359222412</v>
      </c>
      <c r="R26" s="328">
        <v>0.94726765155792236</v>
      </c>
      <c r="S26" s="328">
        <v>0.95974054932594299</v>
      </c>
      <c r="T26" s="328">
        <v>0.97221344709396362</v>
      </c>
      <c r="U26" s="328">
        <v>0.98395317792892456</v>
      </c>
      <c r="V26" s="328">
        <v>0.99569287896156311</v>
      </c>
      <c r="W26" s="328">
        <v>1.0074325799942017</v>
      </c>
      <c r="X26" s="328">
        <v>1.019172340631485</v>
      </c>
      <c r="Y26" s="328">
        <v>1.0309120416641235</v>
      </c>
      <c r="Z26" s="328">
        <v>1.0419185161590576</v>
      </c>
      <c r="AA26" s="328">
        <v>1.0529249906539917</v>
      </c>
      <c r="AB26" s="328">
        <v>1.0639315247535706</v>
      </c>
      <c r="AC26" s="328">
        <v>1.0749379992485046</v>
      </c>
      <c r="AD26" s="328">
        <v>1.0859445035457611</v>
      </c>
      <c r="AE26" s="328">
        <v>1.0962178409099579</v>
      </c>
      <c r="AF26" s="328">
        <v>1.1064911484718323</v>
      </c>
      <c r="AG26" s="328">
        <v>1.1167644560337067</v>
      </c>
      <c r="AH26" s="328">
        <v>1.1270378232002258</v>
      </c>
      <c r="AI26" s="328">
        <v>1.1373111307621002</v>
      </c>
      <c r="AJ26" s="328" t="s">
        <v>390</v>
      </c>
    </row>
    <row r="27" spans="1:36" s="388" customFormat="1">
      <c r="A27" s="388" t="s">
        <v>12</v>
      </c>
      <c r="B27" s="388" t="s">
        <v>425</v>
      </c>
      <c r="C27" s="388" t="s">
        <v>423</v>
      </c>
      <c r="D27" s="328">
        <v>7.3230000000000004</v>
      </c>
      <c r="E27" s="328">
        <v>6.8730000000000002</v>
      </c>
      <c r="F27" s="328">
        <v>7.3569998741149902</v>
      </c>
      <c r="G27" s="328">
        <v>7.0918002128601074</v>
      </c>
      <c r="H27" s="328">
        <v>6.1356000900268555</v>
      </c>
      <c r="I27" s="328">
        <v>6.3041176795959473</v>
      </c>
      <c r="J27" s="328">
        <v>6.4726352691650391</v>
      </c>
      <c r="K27" s="328">
        <v>6.646237850189209</v>
      </c>
      <c r="L27" s="328">
        <v>6.8198409080505371</v>
      </c>
      <c r="M27" s="328">
        <v>6.993443489074707</v>
      </c>
      <c r="N27" s="328">
        <v>7.1670465469360352</v>
      </c>
      <c r="O27" s="328">
        <v>7.3406491279602051</v>
      </c>
      <c r="P27" s="328">
        <v>7.3406491279602051</v>
      </c>
      <c r="Q27" s="328">
        <v>7.3406491279602051</v>
      </c>
      <c r="R27" s="328">
        <v>7.3406491279602051</v>
      </c>
      <c r="S27" s="328">
        <v>7.3406491279602051</v>
      </c>
      <c r="T27" s="328">
        <v>7.3406491279602051</v>
      </c>
      <c r="U27" s="328">
        <v>7.3406491279602051</v>
      </c>
      <c r="V27" s="328">
        <v>7.3406491279602051</v>
      </c>
      <c r="W27" s="328">
        <v>7.3406491279602051</v>
      </c>
      <c r="X27" s="328">
        <v>7.3406491279602051</v>
      </c>
      <c r="Y27" s="328">
        <v>7.3406491279602051</v>
      </c>
      <c r="Z27" s="328">
        <v>7.3406491279602051</v>
      </c>
      <c r="AA27" s="328">
        <v>7.3406491279602051</v>
      </c>
      <c r="AB27" s="328">
        <v>7.3406491279602051</v>
      </c>
      <c r="AC27" s="328">
        <v>7.3406491279602051</v>
      </c>
      <c r="AD27" s="328">
        <v>7.3406491279602051</v>
      </c>
      <c r="AE27" s="328">
        <v>7.3406491279602051</v>
      </c>
      <c r="AF27" s="328">
        <v>7.3406491279602051</v>
      </c>
      <c r="AG27" s="328">
        <v>7.3406491279602051</v>
      </c>
      <c r="AH27" s="328">
        <v>7.3406491279602051</v>
      </c>
      <c r="AI27" s="328">
        <v>7.3406491279602051</v>
      </c>
      <c r="AJ27" s="328" t="s">
        <v>390</v>
      </c>
    </row>
    <row r="28" spans="1:36" s="388" customFormat="1">
      <c r="A28" s="388" t="s">
        <v>12</v>
      </c>
      <c r="B28" s="388" t="s">
        <v>426</v>
      </c>
      <c r="C28" s="388" t="s">
        <v>423</v>
      </c>
      <c r="D28" s="328">
        <v>14.58789037375962</v>
      </c>
      <c r="E28" s="328">
        <v>11.590211924255771</v>
      </c>
      <c r="F28" s="328">
        <f>(F29+F30)+8.93767642974853</f>
        <v>13.543125701253302</v>
      </c>
      <c r="G28" s="328">
        <f>(G29+G30)+8.22264575958251</f>
        <v>12.218997551244684</v>
      </c>
      <c r="H28" s="328">
        <f>(H29+H30)+6.41303920745849</f>
        <v>10.011885477462783</v>
      </c>
      <c r="I28" s="328">
        <f>(I29+I30)+6.73070955276489</f>
        <v>10.749281340802554</v>
      </c>
      <c r="J28" s="328">
        <f>(J29+J30)+7.02709865570068</f>
        <v>11.486603260040283</v>
      </c>
      <c r="K28" s="328">
        <f>(K29+K30)+7.38908290863037</f>
        <v>12.200790405273438</v>
      </c>
      <c r="L28" s="328">
        <f>(L29+L30)+6.77606773376464</f>
        <v>12.914977669715881</v>
      </c>
      <c r="M28" s="328">
        <f>(M29+M30)+6.16305255889892</f>
        <v>13.629165291786194</v>
      </c>
      <c r="N28" s="328">
        <f>(N29+N30)+5.55003690719604</f>
        <v>14.343352556228638</v>
      </c>
      <c r="O28" s="328">
        <f>(O29+O30)+4.93702173233032</f>
        <v>15.057540655136108</v>
      </c>
      <c r="P28" s="328">
        <f>(P29+P30)+4.68236875534057</f>
        <v>15.071645736694336</v>
      </c>
      <c r="Q28" s="328">
        <f>(Q29+Q30)+4.42723083496093</f>
        <v>15.085751056671143</v>
      </c>
      <c r="R28" s="328">
        <f>(R29+R30)+4.17160749435424</f>
        <v>15.099856376647949</v>
      </c>
      <c r="S28" s="328">
        <f>(S29+S30)+3.91549849510192</f>
        <v>15.113961458206177</v>
      </c>
      <c r="T28" s="328">
        <f>(T29+T30)+3.65890455245971</f>
        <v>15.128067016601563</v>
      </c>
      <c r="U28" s="328">
        <f>(U29+U30)+3.47705173492431</f>
        <v>15.141692161560059</v>
      </c>
      <c r="V28" s="328">
        <f>(V29+V30)+3.29486584663391</f>
        <v>15.155316591262817</v>
      </c>
      <c r="W28" s="328">
        <f>(W29+W30)+3.11234664916992</f>
        <v>15.168941497802734</v>
      </c>
      <c r="X28" s="328">
        <f>(X29+X30)+2.92949438095092</f>
        <v>15.18256664276123</v>
      </c>
      <c r="Y28" s="328">
        <f>(Y29+Y30)+2.74630880355834</f>
        <v>15.196191787719727</v>
      </c>
      <c r="Z28" s="328">
        <f>(Z29+Z30)+2.19894742965698</f>
        <v>15.209335803985596</v>
      </c>
      <c r="AA28" s="328">
        <f>(AA29+AA30)+1.65063571929931</f>
        <v>15.222479343414307</v>
      </c>
      <c r="AB28" s="328">
        <f>(AB29+AB30)+1.10137403011322</f>
        <v>15.235623717308044</v>
      </c>
      <c r="AC28" s="328">
        <f>(AC29+AC30)+0.551162064075469</f>
        <v>15.248767673969269</v>
      </c>
      <c r="AD28" s="328">
        <f t="shared" ref="AD28:AI28" si="0">(AD29+AD30)+0</f>
        <v>15.261911392211914</v>
      </c>
      <c r="AE28" s="328">
        <f t="shared" si="0"/>
        <v>15.274575233459473</v>
      </c>
      <c r="AF28" s="328">
        <f t="shared" si="0"/>
        <v>15.287239074707031</v>
      </c>
      <c r="AG28" s="328">
        <f t="shared" si="0"/>
        <v>15.299901962280273</v>
      </c>
      <c r="AH28" s="328">
        <f t="shared" si="0"/>
        <v>15.312565326690674</v>
      </c>
      <c r="AI28" s="328">
        <f t="shared" si="0"/>
        <v>15.325228691101074</v>
      </c>
      <c r="AJ28" s="328" t="s">
        <v>390</v>
      </c>
    </row>
    <row r="29" spans="1:36" s="388" customFormat="1">
      <c r="A29" s="388" t="s">
        <v>12</v>
      </c>
      <c r="B29" s="388" t="s">
        <v>427</v>
      </c>
      <c r="C29" s="388" t="s">
        <v>423</v>
      </c>
      <c r="D29" s="328"/>
      <c r="E29" s="328"/>
      <c r="F29" s="328">
        <v>9.9999934900552034E-4</v>
      </c>
      <c r="G29" s="328">
        <v>1.000000280328095E-3</v>
      </c>
      <c r="H29" s="328">
        <v>1.0000003967434168E-3</v>
      </c>
      <c r="I29" s="328">
        <v>5.3685304010286927E-4</v>
      </c>
      <c r="J29" s="328">
        <v>0</v>
      </c>
      <c r="K29" s="328">
        <v>0</v>
      </c>
      <c r="L29" s="328">
        <v>0.97500002384185791</v>
      </c>
      <c r="M29" s="328">
        <v>1.9499999284744263</v>
      </c>
      <c r="N29" s="328">
        <v>2.9249999523162842</v>
      </c>
      <c r="O29" s="328">
        <v>3.9000003337860107</v>
      </c>
      <c r="P29" s="328">
        <v>4.0893054008483887</v>
      </c>
      <c r="Q29" s="328">
        <v>4.2789573669433594</v>
      </c>
      <c r="R29" s="328">
        <v>4.4689574241638184</v>
      </c>
      <c r="S29" s="328">
        <v>4.6593046188354492</v>
      </c>
      <c r="T29" s="328">
        <v>4.8499999046325684</v>
      </c>
      <c r="U29" s="328">
        <v>5.079190731048584</v>
      </c>
      <c r="V29" s="328">
        <v>5.3087859153747559</v>
      </c>
      <c r="W29" s="328">
        <v>5.5387859344482422</v>
      </c>
      <c r="X29" s="328">
        <v>5.769190788269043</v>
      </c>
      <c r="Y29" s="328">
        <v>6</v>
      </c>
      <c r="Z29" s="328">
        <v>6.0000181198120117</v>
      </c>
      <c r="AA29" s="328">
        <v>6.0000267028808594</v>
      </c>
      <c r="AB29" s="328">
        <v>6.0000267028808594</v>
      </c>
      <c r="AC29" s="328">
        <v>6.0000176429748535</v>
      </c>
      <c r="AD29" s="328">
        <v>6</v>
      </c>
      <c r="AE29" s="328">
        <v>6.0000162124633789</v>
      </c>
      <c r="AF29" s="328">
        <v>6.0000247955322266</v>
      </c>
      <c r="AG29" s="328">
        <v>6.0000247955322266</v>
      </c>
      <c r="AH29" s="328">
        <v>6.0000166893005371</v>
      </c>
      <c r="AI29" s="328">
        <v>6</v>
      </c>
      <c r="AJ29" s="328" t="s">
        <v>390</v>
      </c>
    </row>
    <row r="30" spans="1:36" s="388" customFormat="1">
      <c r="A30" s="388" t="s">
        <v>12</v>
      </c>
      <c r="B30" s="412" t="s">
        <v>428</v>
      </c>
      <c r="C30" s="388" t="s">
        <v>423</v>
      </c>
      <c r="D30" s="328">
        <v>4.4578273737596197</v>
      </c>
      <c r="E30" s="328">
        <v>3.7173779242557701</v>
      </c>
      <c r="F30" s="328">
        <v>4.6044492721557617</v>
      </c>
      <c r="G30" s="328">
        <v>3.9953517913818359</v>
      </c>
      <c r="H30" s="328">
        <v>3.5978462696075439</v>
      </c>
      <c r="I30" s="328">
        <v>4.0180349349975586</v>
      </c>
      <c r="J30" s="328">
        <v>4.4595046043395996</v>
      </c>
      <c r="K30" s="328">
        <v>4.8117074966430664</v>
      </c>
      <c r="L30" s="328">
        <v>5.163909912109375</v>
      </c>
      <c r="M30" s="328">
        <v>5.5161128044128418</v>
      </c>
      <c r="N30" s="328">
        <v>5.8683156967163086</v>
      </c>
      <c r="O30" s="328">
        <v>6.2205185890197754</v>
      </c>
      <c r="P30" s="328">
        <v>6.2999715805053711</v>
      </c>
      <c r="Q30" s="328">
        <v>6.3795628547668457</v>
      </c>
      <c r="R30" s="328">
        <v>6.4592914581298828</v>
      </c>
      <c r="S30" s="328">
        <v>6.5391583442687988</v>
      </c>
      <c r="T30" s="328">
        <v>6.6191625595092773</v>
      </c>
      <c r="U30" s="328">
        <v>6.5854496955871582</v>
      </c>
      <c r="V30" s="328">
        <v>6.5516648292541504</v>
      </c>
      <c r="W30" s="328">
        <v>6.5178089141845703</v>
      </c>
      <c r="X30" s="328">
        <v>6.4838814735412598</v>
      </c>
      <c r="Y30" s="328">
        <v>6.449882984161377</v>
      </c>
      <c r="Z30" s="328">
        <v>7.0103702545166016</v>
      </c>
      <c r="AA30" s="328">
        <v>7.5718169212341309</v>
      </c>
      <c r="AB30" s="328">
        <v>8.1342229843139648</v>
      </c>
      <c r="AC30" s="328">
        <v>8.6975879669189453</v>
      </c>
      <c r="AD30" s="328">
        <v>9.2619113922119141</v>
      </c>
      <c r="AE30" s="328">
        <v>9.2745590209960938</v>
      </c>
      <c r="AF30" s="328">
        <v>9.2872142791748047</v>
      </c>
      <c r="AG30" s="328">
        <v>9.2998771667480469</v>
      </c>
      <c r="AH30" s="328">
        <v>9.3125486373901367</v>
      </c>
      <c r="AI30" s="328">
        <v>9.3252286911010742</v>
      </c>
      <c r="AJ30" s="328" t="s">
        <v>390</v>
      </c>
    </row>
    <row r="31" spans="1:36" s="388" customFormat="1">
      <c r="A31" s="388" t="s">
        <v>12</v>
      </c>
      <c r="B31" s="388" t="s">
        <v>429</v>
      </c>
      <c r="C31" s="388" t="s">
        <v>423</v>
      </c>
      <c r="D31" s="328">
        <v>4.9690000000000003</v>
      </c>
      <c r="E31" s="328">
        <v>3.4449999999999998</v>
      </c>
      <c r="F31" s="328">
        <v>4.5500001907348633</v>
      </c>
      <c r="G31" s="328">
        <v>3.9500000476837158</v>
      </c>
      <c r="H31" s="328">
        <v>4.2249999046325684</v>
      </c>
      <c r="I31" s="328">
        <v>4.2501010894775391</v>
      </c>
      <c r="J31" s="328">
        <v>4.2752022743225098</v>
      </c>
      <c r="K31" s="328">
        <v>4.299962043762207</v>
      </c>
      <c r="L31" s="328">
        <v>4.3247213363647461</v>
      </c>
      <c r="M31" s="328">
        <v>4.3494811058044434</v>
      </c>
      <c r="N31" s="328">
        <v>4.3742403984069824</v>
      </c>
      <c r="O31" s="328">
        <v>4.3990001678466797</v>
      </c>
      <c r="P31" s="328">
        <v>4.3978986740112305</v>
      </c>
      <c r="Q31" s="328">
        <v>4.3967971801757813</v>
      </c>
      <c r="R31" s="328">
        <v>4.395695686340332</v>
      </c>
      <c r="S31" s="328">
        <v>4.3945941925048828</v>
      </c>
      <c r="T31" s="328">
        <v>4.3934926986694336</v>
      </c>
      <c r="U31" s="328">
        <v>4.3910236358642578</v>
      </c>
      <c r="V31" s="328">
        <v>4.388554573059082</v>
      </c>
      <c r="W31" s="328">
        <v>4.386085033416748</v>
      </c>
      <c r="X31" s="328">
        <v>4.3836159706115723</v>
      </c>
      <c r="Y31" s="328">
        <v>4.3811469078063965</v>
      </c>
      <c r="Z31" s="328">
        <v>4.3773102760314941</v>
      </c>
      <c r="AA31" s="328">
        <v>4.3734731674194336</v>
      </c>
      <c r="AB31" s="328">
        <v>4.3696365356445313</v>
      </c>
      <c r="AC31" s="328">
        <v>4.3657994270324707</v>
      </c>
      <c r="AD31" s="328">
        <v>4.3619627952575684</v>
      </c>
      <c r="AE31" s="328">
        <v>4.3567581176757813</v>
      </c>
      <c r="AF31" s="328">
        <v>4.3515539169311523</v>
      </c>
      <c r="AG31" s="328">
        <v>4.3463492393493652</v>
      </c>
      <c r="AH31" s="328">
        <v>4.3411450386047363</v>
      </c>
      <c r="AI31" s="328">
        <v>4.3359403610229492</v>
      </c>
      <c r="AJ31" s="328" t="s">
        <v>390</v>
      </c>
    </row>
    <row r="32" spans="1:36" s="388" customFormat="1">
      <c r="A32" s="388" t="s">
        <v>12</v>
      </c>
      <c r="B32" s="388" t="s">
        <v>430</v>
      </c>
      <c r="C32" s="388" t="s">
        <v>423</v>
      </c>
      <c r="D32" s="328">
        <v>5.7386750529999997</v>
      </c>
      <c r="E32" s="328">
        <v>5.0482259921000008</v>
      </c>
      <c r="F32" s="328">
        <v>5.671745777130127</v>
      </c>
      <c r="G32" s="328">
        <v>5.5682740211486816</v>
      </c>
      <c r="H32" s="328">
        <v>5.0170235633850098</v>
      </c>
      <c r="I32" s="328">
        <v>5.0032539367675781</v>
      </c>
      <c r="J32" s="328">
        <v>4.9894843101501465</v>
      </c>
      <c r="K32" s="328">
        <v>4.9754600524902344</v>
      </c>
      <c r="L32" s="328">
        <v>4.9614362716674805</v>
      </c>
      <c r="M32" s="328">
        <v>4.9474120140075684</v>
      </c>
      <c r="N32" s="328">
        <v>4.9333882331848145</v>
      </c>
      <c r="O32" s="328">
        <v>4.9193639755249023</v>
      </c>
      <c r="P32" s="328">
        <v>4.9193639755249023</v>
      </c>
      <c r="Q32" s="328">
        <v>4.9193639755249023</v>
      </c>
      <c r="R32" s="328">
        <v>4.9193639755249023</v>
      </c>
      <c r="S32" s="328">
        <v>4.9193639755249023</v>
      </c>
      <c r="T32" s="328">
        <v>4.9193639755249023</v>
      </c>
      <c r="U32" s="328">
        <v>4.9193639755249023</v>
      </c>
      <c r="V32" s="328">
        <v>4.9193639755249023</v>
      </c>
      <c r="W32" s="328">
        <v>4.9193639755249023</v>
      </c>
      <c r="X32" s="328">
        <v>4.9193639755249023</v>
      </c>
      <c r="Y32" s="328">
        <v>4.9193639755249023</v>
      </c>
      <c r="Z32" s="328">
        <v>4.9193639755249023</v>
      </c>
      <c r="AA32" s="328">
        <v>4.9193639755249023</v>
      </c>
      <c r="AB32" s="328">
        <v>4.9193639755249023</v>
      </c>
      <c r="AC32" s="328">
        <v>4.9193639755249023</v>
      </c>
      <c r="AD32" s="328">
        <v>4.9193639755249023</v>
      </c>
      <c r="AE32" s="328">
        <v>4.9193639755249023</v>
      </c>
      <c r="AF32" s="328">
        <v>4.9193639755249023</v>
      </c>
      <c r="AG32" s="328">
        <v>4.9193639755249023</v>
      </c>
      <c r="AH32" s="328">
        <v>4.9193639755249023</v>
      </c>
      <c r="AI32" s="328">
        <v>4.9193639755249023</v>
      </c>
      <c r="AJ32" s="328" t="s">
        <v>390</v>
      </c>
    </row>
    <row r="33" spans="1:36" s="388" customFormat="1">
      <c r="A33" s="388" t="s">
        <v>12</v>
      </c>
      <c r="B33" s="388" t="s">
        <v>431</v>
      </c>
      <c r="C33" s="388" t="s">
        <v>423</v>
      </c>
      <c r="D33" s="328">
        <v>2.340235549</v>
      </c>
      <c r="E33" s="328">
        <v>2.2727658669999999</v>
      </c>
      <c r="F33" s="328">
        <v>2.3138415813446045</v>
      </c>
      <c r="G33" s="328">
        <v>1.6266230344772339</v>
      </c>
      <c r="H33" s="328">
        <v>1.8421028852462769</v>
      </c>
      <c r="I33" s="328">
        <v>1.8624684810638428</v>
      </c>
      <c r="J33" s="328">
        <v>1.8828341960906982</v>
      </c>
      <c r="K33" s="328">
        <v>1.8862674236297607</v>
      </c>
      <c r="L33" s="328">
        <v>1.8897005319595337</v>
      </c>
      <c r="M33" s="328">
        <v>1.8931337594985962</v>
      </c>
      <c r="N33" s="328">
        <v>1.8965668678283691</v>
      </c>
      <c r="O33" s="328">
        <v>1.9000000953674316</v>
      </c>
      <c r="P33" s="328">
        <v>1.8915328979492188</v>
      </c>
      <c r="Q33" s="328">
        <v>1.8830657005310059</v>
      </c>
      <c r="R33" s="328">
        <v>1.8745983839035034</v>
      </c>
      <c r="S33" s="328">
        <v>1.8661311864852905</v>
      </c>
      <c r="T33" s="328">
        <v>1.8576639890670776</v>
      </c>
      <c r="U33" s="328">
        <v>1.8469952344894409</v>
      </c>
      <c r="V33" s="328">
        <v>1.8363264799118042</v>
      </c>
      <c r="W33" s="328">
        <v>1.8256577253341675</v>
      </c>
      <c r="X33" s="328">
        <v>1.8149889707565308</v>
      </c>
      <c r="Y33" s="328">
        <v>1.804320216178894</v>
      </c>
      <c r="Z33" s="328">
        <v>1.7914499044418335</v>
      </c>
      <c r="AA33" s="328">
        <v>1.7785795927047729</v>
      </c>
      <c r="AB33" s="328">
        <v>1.765709400177002</v>
      </c>
      <c r="AC33" s="328">
        <v>1.7528390884399414</v>
      </c>
      <c r="AD33" s="328">
        <v>1.7399687767028809</v>
      </c>
      <c r="AE33" s="328">
        <v>1.7248969078063965</v>
      </c>
      <c r="AF33" s="328">
        <v>1.7098250389099121</v>
      </c>
      <c r="AG33" s="328">
        <v>1.6947531700134277</v>
      </c>
      <c r="AH33" s="328">
        <v>1.6796813011169434</v>
      </c>
      <c r="AI33" s="328">
        <v>1.664609432220459</v>
      </c>
      <c r="AJ33" s="328" t="s">
        <v>390</v>
      </c>
    </row>
    <row r="34" spans="1:36" s="388" customFormat="1">
      <c r="A34" s="388" t="s">
        <v>12</v>
      </c>
      <c r="B34" s="388" t="s">
        <v>432</v>
      </c>
      <c r="C34" s="388" t="s">
        <v>481</v>
      </c>
      <c r="D34" s="328">
        <v>47.174999999999997</v>
      </c>
      <c r="E34" s="328">
        <v>45.88900000000001</v>
      </c>
      <c r="F34" s="328">
        <v>46.327999114990234</v>
      </c>
      <c r="G34" s="328">
        <v>46.477008819580078</v>
      </c>
      <c r="H34" s="328">
        <v>46.764328002929688</v>
      </c>
      <c r="I34" s="328">
        <v>46.991067577491776</v>
      </c>
      <c r="J34" s="328">
        <v>47.193940655428378</v>
      </c>
      <c r="K34" s="328">
        <v>47.715716181683092</v>
      </c>
      <c r="L34" s="328">
        <v>48.232504166961689</v>
      </c>
      <c r="M34" s="328">
        <v>48.744325534631798</v>
      </c>
      <c r="N34" s="328">
        <v>49.251189545557281</v>
      </c>
      <c r="O34" s="328">
        <v>49.753113532418865</v>
      </c>
      <c r="P34" s="328">
        <v>49.802006222700584</v>
      </c>
      <c r="Q34" s="328">
        <v>49.842561780474171</v>
      </c>
      <c r="R34" s="328">
        <v>49.874865397162921</v>
      </c>
      <c r="S34" s="328">
        <v>49.89899668740486</v>
      </c>
      <c r="T34" s="328">
        <v>49.915040784193479</v>
      </c>
      <c r="U34" s="328">
        <v>50.462295089743066</v>
      </c>
      <c r="V34" s="328">
        <v>51.001153292874278</v>
      </c>
      <c r="W34" s="328">
        <v>51.531617148349596</v>
      </c>
      <c r="X34" s="328">
        <v>52.053684767895675</v>
      </c>
      <c r="Y34" s="328">
        <v>52.567350715570683</v>
      </c>
      <c r="Z34" s="328">
        <v>53.241138858294335</v>
      </c>
      <c r="AA34" s="328">
        <v>53.905801759130554</v>
      </c>
      <c r="AB34" s="328">
        <v>54.561319556050876</v>
      </c>
      <c r="AC34" s="328">
        <v>55.207672497394469</v>
      </c>
      <c r="AD34" s="328">
        <v>55.84484770659401</v>
      </c>
      <c r="AE34" s="328">
        <v>56.500764875921504</v>
      </c>
      <c r="AF34" s="328">
        <v>57.145856669423665</v>
      </c>
      <c r="AG34" s="328">
        <v>57.780121523072921</v>
      </c>
      <c r="AH34" s="328">
        <v>58.40357145316375</v>
      </c>
      <c r="AI34" s="328">
        <v>59.01619474857398</v>
      </c>
      <c r="AJ34" s="328" t="s">
        <v>390</v>
      </c>
    </row>
    <row r="35" spans="1:36" s="388" customFormat="1">
      <c r="A35" s="388" t="s">
        <v>12</v>
      </c>
      <c r="B35" s="388" t="s">
        <v>433</v>
      </c>
      <c r="C35" s="388" t="s">
        <v>481</v>
      </c>
      <c r="D35" s="328">
        <v>63.614999999999995</v>
      </c>
      <c r="E35" s="328">
        <v>49.807000000000002</v>
      </c>
      <c r="F35" s="328">
        <v>52.089996337890625</v>
      </c>
      <c r="G35" s="328">
        <v>52.596164703369141</v>
      </c>
      <c r="H35" s="328">
        <v>53.365047454833984</v>
      </c>
      <c r="I35" s="328">
        <v>53.996946456582009</v>
      </c>
      <c r="J35" s="328">
        <v>54.610631711121641</v>
      </c>
      <c r="K35" s="328">
        <v>55.189508081264421</v>
      </c>
      <c r="L35" s="328">
        <v>55.759604170245439</v>
      </c>
      <c r="M35" s="328">
        <v>56.320831532928423</v>
      </c>
      <c r="N35" s="328">
        <v>56.873115432779286</v>
      </c>
      <c r="O35" s="328">
        <v>57.416367191812014</v>
      </c>
      <c r="P35" s="328">
        <v>57.440783884539087</v>
      </c>
      <c r="Q35" s="328">
        <v>57.445502057464637</v>
      </c>
      <c r="R35" s="328">
        <v>57.430319282028904</v>
      </c>
      <c r="S35" s="328">
        <v>57.395022464719659</v>
      </c>
      <c r="T35" s="328">
        <v>57.339402084253379</v>
      </c>
      <c r="U35" s="328">
        <v>57.383576464535508</v>
      </c>
      <c r="V35" s="328">
        <v>57.398041667064717</v>
      </c>
      <c r="W35" s="328">
        <v>57.382713726350175</v>
      </c>
      <c r="X35" s="328">
        <v>57.337537732302735</v>
      </c>
      <c r="Y35" s="328">
        <v>57.262429670019628</v>
      </c>
      <c r="Z35" s="328">
        <v>57.315061818637787</v>
      </c>
      <c r="AA35" s="328">
        <v>57.333723622471098</v>
      </c>
      <c r="AB35" s="328">
        <v>57.318379617512619</v>
      </c>
      <c r="AC35" s="328">
        <v>57.268971137910739</v>
      </c>
      <c r="AD35" s="328">
        <v>57.185463336609246</v>
      </c>
      <c r="AE35" s="328">
        <v>57.238398756655897</v>
      </c>
      <c r="AF35" s="328">
        <v>57.25726162771025</v>
      </c>
      <c r="AG35" s="328">
        <v>57.241953630938042</v>
      </c>
      <c r="AH35" s="328">
        <v>57.192400743341295</v>
      </c>
      <c r="AI35" s="328">
        <v>57.108498830674307</v>
      </c>
      <c r="AJ35" s="328" t="s">
        <v>390</v>
      </c>
    </row>
    <row r="36" spans="1:36" s="388" customFormat="1">
      <c r="A36" s="388" t="s">
        <v>12</v>
      </c>
      <c r="B36" s="388" t="s">
        <v>434</v>
      </c>
      <c r="C36" s="388" t="s">
        <v>481</v>
      </c>
      <c r="D36" s="328">
        <v>8.359</v>
      </c>
      <c r="E36" s="328">
        <v>7.4640000000000004</v>
      </c>
      <c r="F36" s="328">
        <v>8.1719999313354492</v>
      </c>
      <c r="G36" s="328">
        <v>8.2254018783569336</v>
      </c>
      <c r="H36" s="328">
        <v>8.3031482696533203</v>
      </c>
      <c r="I36" s="328">
        <v>8.369588648851618</v>
      </c>
      <c r="J36" s="328">
        <v>8.4325667049192816</v>
      </c>
      <c r="K36" s="328">
        <v>8.4617205056059674</v>
      </c>
      <c r="L36" s="328">
        <v>8.4883632573254886</v>
      </c>
      <c r="M36" s="328">
        <v>8.5125110612405592</v>
      </c>
      <c r="N36" s="328">
        <v>8.5341779586465236</v>
      </c>
      <c r="O36" s="328">
        <v>8.5533781762683248</v>
      </c>
      <c r="P36" s="328">
        <v>8.5728665180096186</v>
      </c>
      <c r="Q36" s="328">
        <v>8.590967152810606</v>
      </c>
      <c r="R36" s="328">
        <v>8.6076896555350686</v>
      </c>
      <c r="S36" s="328">
        <v>8.623040567983935</v>
      </c>
      <c r="T36" s="328">
        <v>8.6370276137586188</v>
      </c>
      <c r="U36" s="328">
        <v>8.6700467569355624</v>
      </c>
      <c r="V36" s="328">
        <v>8.7003191994360805</v>
      </c>
      <c r="W36" s="328">
        <v>8.7278764904618811</v>
      </c>
      <c r="X36" s="328">
        <v>8.7527489392281268</v>
      </c>
      <c r="Y36" s="328">
        <v>8.7749699370024814</v>
      </c>
      <c r="Z36" s="328">
        <v>8.8271889164116146</v>
      </c>
      <c r="AA36" s="328">
        <v>8.8764562168097996</v>
      </c>
      <c r="AB36" s="328">
        <v>8.9228024216291715</v>
      </c>
      <c r="AC36" s="328">
        <v>8.9662580681766713</v>
      </c>
      <c r="AD36" s="328">
        <v>9.006851999459343</v>
      </c>
      <c r="AE36" s="328">
        <v>9.0737800881565818</v>
      </c>
      <c r="AF36" s="328">
        <v>9.1380237182158908</v>
      </c>
      <c r="AG36" s="328">
        <v>9.1996051325091344</v>
      </c>
      <c r="AH36" s="328">
        <v>9.2585424351016741</v>
      </c>
      <c r="AI36" s="328">
        <v>9.3148570509669071</v>
      </c>
      <c r="AJ36" s="328" t="s">
        <v>390</v>
      </c>
    </row>
    <row r="37" spans="1:36" s="388" customFormat="1">
      <c r="A37" s="388" t="s">
        <v>12</v>
      </c>
      <c r="B37" s="388" t="s">
        <v>435</v>
      </c>
      <c r="C37" s="388" t="s">
        <v>481</v>
      </c>
      <c r="D37" s="328">
        <v>25.805</v>
      </c>
      <c r="E37" s="328">
        <v>22.829000000000001</v>
      </c>
      <c r="F37" s="328">
        <v>24.456998825073242</v>
      </c>
      <c r="G37" s="328">
        <v>24.587438583374023</v>
      </c>
      <c r="H37" s="328">
        <v>24.863307952880859</v>
      </c>
      <c r="I37" s="328">
        <v>25.065415833650604</v>
      </c>
      <c r="J37" s="328">
        <v>25.256464534223596</v>
      </c>
      <c r="K37" s="328">
        <v>25.415884471387812</v>
      </c>
      <c r="L37" s="328">
        <v>25.569863806647618</v>
      </c>
      <c r="M37" s="328">
        <v>25.718446836349926</v>
      </c>
      <c r="N37" s="328">
        <v>25.861672279754202</v>
      </c>
      <c r="O37" s="328">
        <v>25.999580717692197</v>
      </c>
      <c r="P37" s="328">
        <v>26.022684118495931</v>
      </c>
      <c r="Q37" s="328">
        <v>26.040948474479592</v>
      </c>
      <c r="R37" s="328">
        <v>26.05440172458384</v>
      </c>
      <c r="S37" s="328">
        <v>26.06307442340983</v>
      </c>
      <c r="T37" s="328">
        <v>26.06699271870923</v>
      </c>
      <c r="U37" s="328">
        <v>26.280468823012939</v>
      </c>
      <c r="V37" s="328">
        <v>26.488066431823427</v>
      </c>
      <c r="W37" s="328">
        <v>26.689823110902353</v>
      </c>
      <c r="X37" s="328">
        <v>26.88577773894076</v>
      </c>
      <c r="Y37" s="328">
        <v>27.075964199576902</v>
      </c>
      <c r="Z37" s="328">
        <v>27.396155381887979</v>
      </c>
      <c r="AA37" s="328">
        <v>27.711102086497931</v>
      </c>
      <c r="AB37" s="328">
        <v>28.020817390435241</v>
      </c>
      <c r="AC37" s="328">
        <v>28.325307142675229</v>
      </c>
      <c r="AD37" s="328">
        <v>28.62458090036489</v>
      </c>
      <c r="AE37" s="328">
        <v>28.96289347286347</v>
      </c>
      <c r="AF37" s="328">
        <v>29.295817500113571</v>
      </c>
      <c r="AG37" s="328">
        <v>29.623357841038796</v>
      </c>
      <c r="AH37" s="328">
        <v>29.945516971930374</v>
      </c>
      <c r="AI37" s="328">
        <v>30.262302997641655</v>
      </c>
      <c r="AJ37" s="328" t="s">
        <v>390</v>
      </c>
    </row>
    <row r="38" spans="1:36" s="388" customFormat="1">
      <c r="A38" s="388" t="s">
        <v>12</v>
      </c>
      <c r="B38" s="388" t="s">
        <v>436</v>
      </c>
      <c r="C38" s="388" t="s">
        <v>481</v>
      </c>
      <c r="D38" s="328">
        <v>23.724</v>
      </c>
      <c r="E38" s="328">
        <v>22.257999999999999</v>
      </c>
      <c r="F38" s="328">
        <v>23.781000137329102</v>
      </c>
      <c r="G38" s="328">
        <v>23.80213737487793</v>
      </c>
      <c r="H38" s="328">
        <v>24.096380233764648</v>
      </c>
      <c r="I38" s="328">
        <v>24.69781491480353</v>
      </c>
      <c r="J38" s="328">
        <v>25.303361753013974</v>
      </c>
      <c r="K38" s="328">
        <v>25.756553286773396</v>
      </c>
      <c r="L38" s="328">
        <v>26.212038171504787</v>
      </c>
      <c r="M38" s="328">
        <v>26.669822868588881</v>
      </c>
      <c r="N38" s="328">
        <v>27.12990812721614</v>
      </c>
      <c r="O38" s="328">
        <v>27.592296600341797</v>
      </c>
      <c r="P38" s="328">
        <v>27.958030696605874</v>
      </c>
      <c r="Q38" s="328">
        <v>28.324763890598206</v>
      </c>
      <c r="R38" s="328">
        <v>28.692482933661381</v>
      </c>
      <c r="S38" s="328">
        <v>29.061179708084182</v>
      </c>
      <c r="T38" s="328">
        <v>29.430839098253614</v>
      </c>
      <c r="U38" s="328">
        <v>29.859733574213351</v>
      </c>
      <c r="V38" s="328">
        <v>30.28697518373508</v>
      </c>
      <c r="W38" s="328">
        <v>30.712564246627835</v>
      </c>
      <c r="X38" s="328">
        <v>31.136489786354218</v>
      </c>
      <c r="Y38" s="328">
        <v>31.558752095606906</v>
      </c>
      <c r="Z38" s="328">
        <v>31.59858817903023</v>
      </c>
      <c r="AA38" s="328">
        <v>31.620092198671955</v>
      </c>
      <c r="AB38" s="328">
        <v>31.623232792566341</v>
      </c>
      <c r="AC38" s="328">
        <v>31.607993784078189</v>
      </c>
      <c r="AD38" s="328">
        <v>31.57434379570941</v>
      </c>
      <c r="AE38" s="328">
        <v>31.807046296878752</v>
      </c>
      <c r="AF38" s="328">
        <v>32.028268651571352</v>
      </c>
      <c r="AG38" s="328">
        <v>32.237973154836709</v>
      </c>
      <c r="AH38" s="328">
        <v>32.436128961704981</v>
      </c>
      <c r="AI38" s="328">
        <v>32.622711718668825</v>
      </c>
      <c r="AJ38" s="328" t="s">
        <v>390</v>
      </c>
    </row>
    <row r="39" spans="1:36" s="388" customFormat="1">
      <c r="A39" s="388" t="s">
        <v>12</v>
      </c>
      <c r="B39" s="388" t="s">
        <v>483</v>
      </c>
      <c r="C39" s="388" t="s">
        <v>481</v>
      </c>
      <c r="D39" s="328">
        <v>45.597999999999999</v>
      </c>
      <c r="E39" s="328">
        <v>44.088999999999999</v>
      </c>
      <c r="F39" s="328">
        <v>44.858997344970703</v>
      </c>
      <c r="G39" s="328">
        <v>44.440097808837891</v>
      </c>
      <c r="H39" s="328">
        <v>44.820571899414063</v>
      </c>
      <c r="I39" s="328">
        <v>44.793295426711666</v>
      </c>
      <c r="J39" s="328">
        <v>44.701277047265648</v>
      </c>
      <c r="K39" s="328">
        <v>44.859508230667416</v>
      </c>
      <c r="L39" s="328">
        <v>45.000956888341079</v>
      </c>
      <c r="M39" s="328">
        <v>45.125532600745373</v>
      </c>
      <c r="N39" s="328">
        <v>45.233163650084862</v>
      </c>
      <c r="O39" s="328">
        <v>45.323759520033491</v>
      </c>
      <c r="P39" s="328">
        <v>45.352008444223202</v>
      </c>
      <c r="Q39" s="328">
        <v>45.365714561922687</v>
      </c>
      <c r="R39" s="328">
        <v>45.364722140079721</v>
      </c>
      <c r="S39" s="328">
        <v>45.348904500108802</v>
      </c>
      <c r="T39" s="328">
        <v>45.318115525727308</v>
      </c>
      <c r="U39" s="328">
        <v>45.426640747741658</v>
      </c>
      <c r="V39" s="328">
        <v>45.513753102028204</v>
      </c>
      <c r="W39" s="328">
        <v>45.579371732764685</v>
      </c>
      <c r="X39" s="328">
        <v>45.62344450761293</v>
      </c>
      <c r="Y39" s="328">
        <v>45.645890387912914</v>
      </c>
      <c r="Z39" s="328">
        <v>45.705322043256956</v>
      </c>
      <c r="AA39" s="328">
        <v>45.739343716830035</v>
      </c>
      <c r="AB39" s="328">
        <v>45.74796121548934</v>
      </c>
      <c r="AC39" s="328">
        <v>45.731203677158192</v>
      </c>
      <c r="AD39" s="328">
        <v>45.689087661860867</v>
      </c>
      <c r="AE39" s="328">
        <v>45.6525548462796</v>
      </c>
      <c r="AF39" s="328">
        <v>45.588781429825758</v>
      </c>
      <c r="AG39" s="328">
        <v>45.497813026617678</v>
      </c>
      <c r="AH39" s="328">
        <v>45.37972698479507</v>
      </c>
      <c r="AI39" s="328">
        <v>45.234579067053346</v>
      </c>
      <c r="AJ39" s="328" t="s">
        <v>390</v>
      </c>
    </row>
    <row r="40" spans="1:36" s="388" customFormat="1">
      <c r="A40" s="388" t="s">
        <v>12</v>
      </c>
      <c r="B40" s="388" t="s">
        <v>484</v>
      </c>
      <c r="C40" s="388" t="s">
        <v>481</v>
      </c>
      <c r="D40" s="328">
        <v>114.88200000000001</v>
      </c>
      <c r="E40" s="328">
        <v>101.443</v>
      </c>
      <c r="F40" s="328">
        <v>108.227</v>
      </c>
      <c r="G40" s="328">
        <v>109.14636549702571</v>
      </c>
      <c r="H40" s="328">
        <v>110.06573099405142</v>
      </c>
      <c r="I40" s="328">
        <f>(Tableau145[[#This Row],[2023]]+Tableau145[[#This Row],[2025]])/2</f>
        <v>110.98509649107712</v>
      </c>
      <c r="J40" s="328">
        <v>111.90446198810282</v>
      </c>
      <c r="K40" s="328">
        <f>Tableau145[[#This Row],[2025]]+(Tableau145[[#This Row],[2030]]-Tableau145[[#This Row],[2025]])*1/5</f>
        <v>111.84537496398573</v>
      </c>
      <c r="L40" s="328">
        <f>Tableau145[[#This Row],[2025]]+(Tableau145[[#This Row],[2030]]-Tableau145[[#This Row],[2025]])*2/5</f>
        <v>111.78628793986863</v>
      </c>
      <c r="M40" s="328">
        <f>Tableau145[[#This Row],[2025]]+(Tableau145[[#This Row],[2030]]-Tableau145[[#This Row],[2025]])*3/5</f>
        <v>111.72720091575154</v>
      </c>
      <c r="N40" s="328">
        <f>Tableau145[[#This Row],[2025]]+(Tableau145[[#This Row],[2030]]-Tableau145[[#This Row],[2025]])*4/5</f>
        <v>111.66811389163443</v>
      </c>
      <c r="O40" s="328">
        <v>111.60902686751734</v>
      </c>
      <c r="P40" s="328">
        <f>Tableau145[[#This Row],[2030]]+(Tableau145[[#This Row],[2035]]-Tableau145[[#This Row],[2030]])*1/5</f>
        <v>111.34481827933286</v>
      </c>
      <c r="Q40" s="328">
        <f>Tableau145[[#This Row],[2030]]+(Tableau145[[#This Row],[2035]]-Tableau145[[#This Row],[2030]])*2/5</f>
        <v>111.08060969114838</v>
      </c>
      <c r="R40" s="328">
        <f>Tableau145[[#This Row],[2030]]+(Tableau145[[#This Row],[2035]]-Tableau145[[#This Row],[2030]])*3/5</f>
        <v>110.81640110296389</v>
      </c>
      <c r="S40" s="328">
        <f>Tableau145[[#This Row],[2030]]+(Tableau145[[#This Row],[2035]]-Tableau145[[#This Row],[2030]])*4/5</f>
        <v>110.55219251477942</v>
      </c>
      <c r="T40" s="328">
        <v>110.28798392659493</v>
      </c>
      <c r="U40" s="328">
        <f>Tableau145[[#This Row],[2035]]+(Tableau145[[#This Row],[2040]]-Tableau145[[#This Row],[2035]])*1/5</f>
        <v>110.36469353231399</v>
      </c>
      <c r="V40" s="328">
        <f>Tableau145[[#This Row],[2035]]+(Tableau145[[#This Row],[2040]]-Tableau145[[#This Row],[2035]])*2/5</f>
        <v>110.44140313803305</v>
      </c>
      <c r="W40" s="328">
        <f>Tableau145[[#This Row],[2035]]+(Tableau145[[#This Row],[2040]]-Tableau145[[#This Row],[2035]])*3/5</f>
        <v>110.51811274375211</v>
      </c>
      <c r="X40" s="328">
        <f>Tableau145[[#This Row],[2035]]+(Tableau145[[#This Row],[2040]]-Tableau145[[#This Row],[2035]])*4/5</f>
        <v>110.59482234947117</v>
      </c>
      <c r="Y40" s="328">
        <v>110.67153195519023</v>
      </c>
      <c r="Z40" s="328">
        <f>Tableau145[[#This Row],[2040]]+(Tableau145[[#This Row],[2045]]-Tableau145[[#This Row],[2040]])*1/5</f>
        <v>111.04008342784013</v>
      </c>
      <c r="AA40" s="328">
        <f>Tableau145[[#This Row],[2040]]+(Tableau145[[#This Row],[2045]]-Tableau145[[#This Row],[2040]])*2/5</f>
        <v>111.40863490049004</v>
      </c>
      <c r="AB40" s="328">
        <f>Tableau145[[#This Row],[2040]]+(Tableau145[[#This Row],[2045]]-Tableau145[[#This Row],[2040]])*3/5</f>
        <v>111.77718637313994</v>
      </c>
      <c r="AC40" s="328">
        <f>Tableau145[[#This Row],[2040]]+(Tableau145[[#This Row],[2045]]-Tableau145[[#This Row],[2040]])*4/5</f>
        <v>112.14573784578985</v>
      </c>
      <c r="AD40" s="328">
        <v>112.51428931843975</v>
      </c>
      <c r="AE40" s="328">
        <f>Tableau145[[#This Row],[2045]]+(Tableau145[[#This Row],[2050]]-Tableau145[[#This Row],[2045]])*1/5</f>
        <v>113.35160640795281</v>
      </c>
      <c r="AF40" s="328">
        <f>Tableau145[[#This Row],[2045]]+(Tableau145[[#This Row],[2050]]-Tableau145[[#This Row],[2045]])*2/5</f>
        <v>114.18892349746588</v>
      </c>
      <c r="AG40" s="328">
        <f>Tableau145[[#This Row],[2045]]+(Tableau145[[#This Row],[2050]]-Tableau145[[#This Row],[2045]])*3/5</f>
        <v>115.02624058697893</v>
      </c>
      <c r="AH40" s="328">
        <f>Tableau145[[#This Row],[2045]]+(Tableau145[[#This Row],[2050]]-Tableau145[[#This Row],[2045]])*4/5</f>
        <v>115.86355767649199</v>
      </c>
      <c r="AI40" s="328">
        <v>116.70087476600506</v>
      </c>
      <c r="AJ40" s="328" t="s">
        <v>390</v>
      </c>
    </row>
    <row r="41" spans="1:36" s="388" customFormat="1">
      <c r="A41" s="388" t="s">
        <v>243</v>
      </c>
      <c r="B41" s="388" t="s">
        <v>437</v>
      </c>
      <c r="C41" s="388" t="s">
        <v>423</v>
      </c>
      <c r="D41" s="328">
        <v>16.95</v>
      </c>
      <c r="E41" s="328">
        <v>16.2</v>
      </c>
      <c r="F41" s="328">
        <f>Tableau145[[#This Row],[2019]]+(Tableau145[[#This Row],[2030]]-Tableau145[[#This Row],[2019]])*2/11</f>
        <v>15.322727272727272</v>
      </c>
      <c r="G41" s="328">
        <f>Tableau145[[#This Row],[2019]]+(Tableau145[[#This Row],[2030]]-Tableau145[[#This Row],[2019]])*3/11</f>
        <v>14.509090909090908</v>
      </c>
      <c r="H41" s="328">
        <f>Tableau145[[#This Row],[2019]]+(Tableau145[[#This Row],[2030]]-Tableau145[[#This Row],[2019]])*4/11</f>
        <v>13.695454545454545</v>
      </c>
      <c r="I41" s="328">
        <f>Tableau145[[#This Row],[2019]]+(Tableau145[[#This Row],[2030]]-Tableau145[[#This Row],[2019]])*5/11</f>
        <v>12.881818181818181</v>
      </c>
      <c r="J41" s="328">
        <f>Tableau145[[#This Row],[2019]]+(Tableau145[[#This Row],[2030]]-Tableau145[[#This Row],[2019]])*6/11</f>
        <v>12.068181818181817</v>
      </c>
      <c r="K41" s="328">
        <f>Tableau145[[#This Row],[2019]]+(Tableau145[[#This Row],[2030]]-Tableau145[[#This Row],[2019]])*7/11</f>
        <v>11.254545454545454</v>
      </c>
      <c r="L41" s="328">
        <f>Tableau145[[#This Row],[2019]]+(Tableau145[[#This Row],[2030]]-Tableau145[[#This Row],[2019]])*8/11</f>
        <v>10.440909090909091</v>
      </c>
      <c r="M41" s="328">
        <f>Tableau145[[#This Row],[2019]]+(Tableau145[[#This Row],[2030]]-Tableau145[[#This Row],[2019]])*9/11</f>
        <v>9.627272727272727</v>
      </c>
      <c r="N41" s="328">
        <f>Tableau145[[#This Row],[2019]]+(Tableau145[[#This Row],[2030]]-Tableau145[[#This Row],[2019]])*10/11</f>
        <v>8.8136363636363626</v>
      </c>
      <c r="O41" s="328">
        <v>8</v>
      </c>
      <c r="P41" s="328">
        <f>Tableau145[[#This Row],[2030]]+(Tableau145[[#This Row],[2040]]-Tableau145[[#This Row],[2030]])*1/10</f>
        <v>7.7</v>
      </c>
      <c r="Q41" s="328">
        <f>Tableau145[[#This Row],[2030]]+(Tableau145[[#This Row],[2040]]-Tableau145[[#This Row],[2030]])*2/10</f>
        <v>7.4</v>
      </c>
      <c r="R41" s="328">
        <f>Tableau145[[#This Row],[2030]]+(Tableau145[[#This Row],[2040]]-Tableau145[[#This Row],[2030]])*3/10</f>
        <v>7.1</v>
      </c>
      <c r="S41" s="328">
        <f>Tableau145[[#This Row],[2030]]+(Tableau145[[#This Row],[2040]]-Tableau145[[#This Row],[2030]])*4/10</f>
        <v>6.8</v>
      </c>
      <c r="T41" s="328">
        <f>Tableau145[[#This Row],[2030]]+(Tableau145[[#This Row],[2040]]-Tableau145[[#This Row],[2030]])*5/10</f>
        <v>6.5</v>
      </c>
      <c r="U41" s="328">
        <f>Tableau145[[#This Row],[2030]]+(Tableau145[[#This Row],[2040]]-Tableau145[[#This Row],[2030]])*6/10</f>
        <v>6.2</v>
      </c>
      <c r="V41" s="328">
        <f>Tableau145[[#This Row],[2030]]+(Tableau145[[#This Row],[2040]]-Tableau145[[#This Row],[2030]])*7/10</f>
        <v>5.9</v>
      </c>
      <c r="W41" s="328">
        <f>Tableau145[[#This Row],[2030]]+(Tableau145[[#This Row],[2040]]-Tableau145[[#This Row],[2030]])*8/10</f>
        <v>5.6</v>
      </c>
      <c r="X41" s="328">
        <f>Tableau145[[#This Row],[2030]]+(Tableau145[[#This Row],[2040]]-Tableau145[[#This Row],[2030]])*9/10</f>
        <v>5.3</v>
      </c>
      <c r="Y41" s="328">
        <v>5</v>
      </c>
      <c r="Z41" s="328">
        <f>Tableau145[[#This Row],[2040]]+(Tableau145[[#This Row],[2050]]-Tableau145[[#This Row],[2040]])*1/10</f>
        <v>4.9000000000000004</v>
      </c>
      <c r="AA41" s="328">
        <f>Tableau145[[#This Row],[2040]]+(Tableau145[[#This Row],[2050]]-Tableau145[[#This Row],[2040]])*2/10</f>
        <v>4.8</v>
      </c>
      <c r="AB41" s="328">
        <f>Tableau145[[#This Row],[2040]]+(Tableau145[[#This Row],[2050]]-Tableau145[[#This Row],[2040]])*3/10</f>
        <v>4.7</v>
      </c>
      <c r="AC41" s="328">
        <f>Tableau145[[#This Row],[2040]]+(Tableau145[[#This Row],[2050]]-Tableau145[[#This Row],[2040]])*4/10</f>
        <v>4.5999999999999996</v>
      </c>
      <c r="AD41" s="328">
        <f>Tableau145[[#This Row],[2040]]+(Tableau145[[#This Row],[2050]]-Tableau145[[#This Row],[2040]])*5/10</f>
        <v>4.5</v>
      </c>
      <c r="AE41" s="328">
        <f>Tableau145[[#This Row],[2040]]+(Tableau145[[#This Row],[2050]]-Tableau145[[#This Row],[2040]])*6/10</f>
        <v>4.4000000000000004</v>
      </c>
      <c r="AF41" s="328">
        <f>Tableau145[[#This Row],[2040]]+(Tableau145[[#This Row],[2050]]-Tableau145[[#This Row],[2040]])*7/10</f>
        <v>4.3</v>
      </c>
      <c r="AG41" s="328">
        <f>Tableau145[[#This Row],[2040]]+(Tableau145[[#This Row],[2050]]-Tableau145[[#This Row],[2040]])*8/10</f>
        <v>4.2</v>
      </c>
      <c r="AH41" s="328">
        <f>Tableau145[[#This Row],[2040]]+(Tableau145[[#This Row],[2050]]-Tableau145[[#This Row],[2040]])*9/10</f>
        <v>4.0999999999999996</v>
      </c>
      <c r="AI41" s="328">
        <v>4</v>
      </c>
      <c r="AJ41" s="328" t="s">
        <v>390</v>
      </c>
    </row>
    <row r="42" spans="1:36" s="388" customFormat="1">
      <c r="A42" s="388" t="s">
        <v>243</v>
      </c>
      <c r="B42" s="388" t="s">
        <v>438</v>
      </c>
      <c r="C42" s="388" t="s">
        <v>423</v>
      </c>
      <c r="D42" s="328">
        <v>79.094999999999999</v>
      </c>
      <c r="E42" s="328">
        <v>75.733000000000004</v>
      </c>
      <c r="F42" s="328">
        <f>Tableau145[[#This Row],[2019]]+(Tableau145[[#This Row],[2030]]-Tableau145[[#This Row],[2019]])*2/11</f>
        <v>79.350454545454539</v>
      </c>
      <c r="G42" s="328">
        <f>Tableau145[[#This Row],[2019]]+(Tableau145[[#This Row],[2030]]-Tableau145[[#This Row],[2019]])*3/11</f>
        <v>79.478181818181824</v>
      </c>
      <c r="H42" s="328">
        <f>Tableau145[[#This Row],[2019]]+(Tableau145[[#This Row],[2030]]-Tableau145[[#This Row],[2019]])*4/11</f>
        <v>79.605909090909094</v>
      </c>
      <c r="I42" s="328">
        <f>Tableau145[[#This Row],[2019]]+(Tableau145[[#This Row],[2030]]-Tableau145[[#This Row],[2019]])*5/11</f>
        <v>79.733636363636364</v>
      </c>
      <c r="J42" s="328">
        <f>Tableau145[[#This Row],[2019]]+(Tableau145[[#This Row],[2030]]-Tableau145[[#This Row],[2019]])*6/11</f>
        <v>79.861363636363635</v>
      </c>
      <c r="K42" s="328">
        <f>Tableau145[[#This Row],[2019]]+(Tableau145[[#This Row],[2030]]-Tableau145[[#This Row],[2019]])*7/11</f>
        <v>79.989090909090905</v>
      </c>
      <c r="L42" s="328">
        <f>Tableau145[[#This Row],[2019]]+(Tableau145[[#This Row],[2030]]-Tableau145[[#This Row],[2019]])*8/11</f>
        <v>80.116818181818175</v>
      </c>
      <c r="M42" s="328">
        <f>Tableau145[[#This Row],[2019]]+(Tableau145[[#This Row],[2030]]-Tableau145[[#This Row],[2019]])*9/11</f>
        <v>80.24454545454546</v>
      </c>
      <c r="N42" s="328">
        <f>Tableau145[[#This Row],[2019]]+(Tableau145[[#This Row],[2030]]-Tableau145[[#This Row],[2019]])*10/11</f>
        <v>80.37227272727273</v>
      </c>
      <c r="O42" s="328">
        <v>80.5</v>
      </c>
      <c r="P42" s="328">
        <f>Tableau145[[#This Row],[2030]]+(Tableau145[[#This Row],[2040]]-Tableau145[[#This Row],[2030]])*1/10</f>
        <v>80.325000000000003</v>
      </c>
      <c r="Q42" s="328">
        <f>Tableau145[[#This Row],[2030]]+(Tableau145[[#This Row],[2040]]-Tableau145[[#This Row],[2030]])*2/10</f>
        <v>80.150000000000006</v>
      </c>
      <c r="R42" s="328">
        <f>Tableau145[[#This Row],[2030]]+(Tableau145[[#This Row],[2040]]-Tableau145[[#This Row],[2030]])*3/10</f>
        <v>79.974999999999994</v>
      </c>
      <c r="S42" s="328">
        <f>Tableau145[[#This Row],[2030]]+(Tableau145[[#This Row],[2040]]-Tableau145[[#This Row],[2030]])*4/10</f>
        <v>79.8</v>
      </c>
      <c r="T42" s="328">
        <f>Tableau145[[#This Row],[2030]]+(Tableau145[[#This Row],[2040]]-Tableau145[[#This Row],[2030]])*5/10</f>
        <v>79.625</v>
      </c>
      <c r="U42" s="328">
        <f>Tableau145[[#This Row],[2030]]+(Tableau145[[#This Row],[2040]]-Tableau145[[#This Row],[2030]])*6/10</f>
        <v>79.45</v>
      </c>
      <c r="V42" s="328">
        <f>Tableau145[[#This Row],[2030]]+(Tableau145[[#This Row],[2040]]-Tableau145[[#This Row],[2030]])*7/10</f>
        <v>79.275000000000006</v>
      </c>
      <c r="W42" s="328">
        <f>Tableau145[[#This Row],[2030]]+(Tableau145[[#This Row],[2040]]-Tableau145[[#This Row],[2030]])*8/10</f>
        <v>79.099999999999994</v>
      </c>
      <c r="X42" s="328">
        <f>Tableau145[[#This Row],[2030]]+(Tableau145[[#This Row],[2040]]-Tableau145[[#This Row],[2030]])*9/10</f>
        <v>78.924999999999997</v>
      </c>
      <c r="Y42" s="328">
        <v>78.75</v>
      </c>
      <c r="Z42" s="328">
        <f>Tableau145[[#This Row],[2040]]+(Tableau145[[#This Row],[2050]]-Tableau145[[#This Row],[2040]])*1/10</f>
        <v>78.875</v>
      </c>
      <c r="AA42" s="328">
        <f>Tableau145[[#This Row],[2040]]+(Tableau145[[#This Row],[2050]]-Tableau145[[#This Row],[2040]])*2/10</f>
        <v>79</v>
      </c>
      <c r="AB42" s="328">
        <f>Tableau145[[#This Row],[2040]]+(Tableau145[[#This Row],[2050]]-Tableau145[[#This Row],[2040]])*3/10</f>
        <v>79.125</v>
      </c>
      <c r="AC42" s="328">
        <f>Tableau145[[#This Row],[2040]]+(Tableau145[[#This Row],[2050]]-Tableau145[[#This Row],[2040]])*4/10</f>
        <v>79.25</v>
      </c>
      <c r="AD42" s="328">
        <f>Tableau145[[#This Row],[2040]]+(Tableau145[[#This Row],[2050]]-Tableau145[[#This Row],[2040]])*5/10</f>
        <v>79.375</v>
      </c>
      <c r="AE42" s="328">
        <f>Tableau145[[#This Row],[2040]]+(Tableau145[[#This Row],[2050]]-Tableau145[[#This Row],[2040]])*6/10</f>
        <v>79.5</v>
      </c>
      <c r="AF42" s="328">
        <f>Tableau145[[#This Row],[2040]]+(Tableau145[[#This Row],[2050]]-Tableau145[[#This Row],[2040]])*7/10</f>
        <v>79.625</v>
      </c>
      <c r="AG42" s="328">
        <f>Tableau145[[#This Row],[2040]]+(Tableau145[[#This Row],[2050]]-Tableau145[[#This Row],[2040]])*8/10</f>
        <v>79.75</v>
      </c>
      <c r="AH42" s="328">
        <f>Tableau145[[#This Row],[2040]]+(Tableau145[[#This Row],[2050]]-Tableau145[[#This Row],[2040]])*9/10</f>
        <v>79.875</v>
      </c>
      <c r="AI42" s="328">
        <v>80</v>
      </c>
      <c r="AJ42" s="328" t="s">
        <v>390</v>
      </c>
    </row>
    <row r="43" spans="1:36" s="388" customFormat="1">
      <c r="A43" s="388" t="s">
        <v>439</v>
      </c>
      <c r="B43" s="388" t="s">
        <v>440</v>
      </c>
      <c r="C43" s="329" t="s">
        <v>441</v>
      </c>
      <c r="D43" s="328">
        <v>570.94899999999996</v>
      </c>
      <c r="E43" s="328">
        <v>528.27186241300001</v>
      </c>
      <c r="F43" s="328">
        <v>551.22454800200001</v>
      </c>
      <c r="G43" s="328">
        <v>469.58736749600001</v>
      </c>
      <c r="H43" s="328">
        <v>521.46688700000004</v>
      </c>
      <c r="I43" s="328">
        <v>565.05674308799996</v>
      </c>
      <c r="J43" s="328">
        <v>552.99313886224195</v>
      </c>
      <c r="K43" s="328">
        <f>Tableau145[[#This Row],[2025]]+(Tableau145[[#This Row],[2028]]-Tableau145[[#This Row],[2025]])*1/3</f>
        <v>565.75666981751795</v>
      </c>
      <c r="L43" s="328">
        <f>Tableau145[[#This Row],[2025]]+(Tableau145[[#This Row],[2028]]-Tableau145[[#This Row],[2025]])*2/3</f>
        <v>578.52020077279406</v>
      </c>
      <c r="M43" s="328">
        <v>591.28373172807005</v>
      </c>
      <c r="N43" s="328">
        <f>(Tableau145[[#This Row],[2028]]+Tableau145[[#This Row],[2030]])/2</f>
        <v>603.07041471756952</v>
      </c>
      <c r="O43" s="328">
        <v>614.85709770706899</v>
      </c>
      <c r="P43" s="328">
        <f>Tableau145[[#This Row],[2030]]+(Tableau145[[#This Row],[2033]]-Tableau145[[#This Row],[2030]])*1/3</f>
        <v>628.35315197537261</v>
      </c>
      <c r="Q43" s="328">
        <f>Tableau145[[#This Row],[2030]]+(Tableau145[[#This Row],[2033]]-Tableau145[[#This Row],[2030]])*2/3</f>
        <v>641.84920624367635</v>
      </c>
      <c r="R43" s="328">
        <v>655.34526051197997</v>
      </c>
      <c r="S43" s="328">
        <f>(Tableau145[[#This Row],[2033]]+Tableau145[[#This Row],[2035]])/2</f>
        <v>668.84131478028348</v>
      </c>
      <c r="T43" s="328">
        <v>682.33736904858699</v>
      </c>
      <c r="U43" s="328">
        <f>Tableau145[[#This Row],[2035]]+(Tableau145[[#This Row],[2038]]-Tableau145[[#This Row],[2035]])*1/3</f>
        <v>706.2728613913107</v>
      </c>
      <c r="V43" s="328">
        <f>Tableau145[[#This Row],[2035]]+(Tableau145[[#This Row],[2038]]-Tableau145[[#This Row],[2035]])*2/3</f>
        <v>730.20835373403429</v>
      </c>
      <c r="W43" s="328">
        <v>754.143846076758</v>
      </c>
      <c r="X43" s="328">
        <f>(Tableau145[[#This Row],[2038]]+Tableau145[[#This Row],[2040]])/2</f>
        <v>778.07933841948147</v>
      </c>
      <c r="Y43" s="328">
        <v>802.01483076220495</v>
      </c>
      <c r="Z43" s="328">
        <f>Tableau145[[#This Row],[2040]]+(Tableau145[[#This Row],[2043]]-Tableau145[[#This Row],[2040]])*1/3</f>
        <v>803.52691592200699</v>
      </c>
      <c r="AA43" s="328">
        <f>Tableau145[[#This Row],[2040]]+(Tableau145[[#This Row],[2043]]-Tableau145[[#This Row],[2040]])*2/3</f>
        <v>805.03900108180892</v>
      </c>
      <c r="AB43" s="328">
        <v>806.55108624161096</v>
      </c>
      <c r="AC43" s="328">
        <f>(Tableau145[[#This Row],[2043]]+Tableau145[[#This Row],[2045]])/2</f>
        <v>-1.5120851598021545</v>
      </c>
      <c r="AD43" s="328">
        <v>-809.57525656121527</v>
      </c>
      <c r="AE43" s="328">
        <f>Tableau145[[#This Row],[2045]]+(Tableau145[[#This Row],[2050]]-Tableau145[[#This Row],[2045]])*1/5</f>
        <v>-483.28597076360938</v>
      </c>
      <c r="AF43" s="328">
        <f>Tableau145[[#This Row],[2045]]+(Tableau145[[#This Row],[2050]]-Tableau145[[#This Row],[2045]])*2/5</f>
        <v>-156.9966849660035</v>
      </c>
      <c r="AG43" s="328">
        <f>Tableau145[[#This Row],[2045]]+(Tableau145[[#This Row],[2050]]-Tableau145[[#This Row],[2045]])*3/5</f>
        <v>169.29260083160239</v>
      </c>
      <c r="AH43" s="328">
        <f>Tableau145[[#This Row],[2045]]+(Tableau145[[#This Row],[2050]]-Tableau145[[#This Row],[2045]])*4/5</f>
        <v>495.58188662920827</v>
      </c>
      <c r="AI43" s="328">
        <v>821.87117242681404</v>
      </c>
      <c r="AJ43" s="328" t="s">
        <v>390</v>
      </c>
    </row>
    <row r="44" spans="1:36" s="388" customFormat="1">
      <c r="A44" s="388" t="s">
        <v>439</v>
      </c>
      <c r="B44" s="388" t="s">
        <v>442</v>
      </c>
      <c r="C44" s="329" t="s">
        <v>441</v>
      </c>
      <c r="D44" s="328">
        <v>47.539740555555603</v>
      </c>
      <c r="E44" s="328">
        <v>48.3605194444444</v>
      </c>
      <c r="F44" s="328">
        <v>53.138460555555604</v>
      </c>
      <c r="G44" s="328">
        <v>50.978767777777797</v>
      </c>
      <c r="H44" s="414">
        <v>47.539740555555603</v>
      </c>
      <c r="I44" s="328">
        <v>48.374418055555601</v>
      </c>
      <c r="J44" s="328">
        <v>58.229536688022002</v>
      </c>
      <c r="K44" s="328">
        <f>Tableau145[[#This Row],[2025]]+(Tableau145[[#This Row],[2028]]-Tableau145[[#This Row],[2025]])*1/3</f>
        <v>60.964393291895369</v>
      </c>
      <c r="L44" s="328">
        <f>Tableau145[[#This Row],[2025]]+(Tableau145[[#This Row],[2028]]-Tableau145[[#This Row],[2025]])*2/3</f>
        <v>63.69924989576873</v>
      </c>
      <c r="M44" s="328">
        <v>66.434106499642098</v>
      </c>
      <c r="N44" s="328">
        <f>(Tableau145[[#This Row],[2028]]+Tableau145[[#This Row],[2030]])/2</f>
        <v>72.271440840610893</v>
      </c>
      <c r="O44" s="328">
        <v>78.108775181579702</v>
      </c>
      <c r="P44" s="328">
        <f>Tableau145[[#This Row],[2030]]+(Tableau145[[#This Row],[2033]]-Tableau145[[#This Row],[2030]])*1/3</f>
        <v>81.089667051355534</v>
      </c>
      <c r="Q44" s="328">
        <f>Tableau145[[#This Row],[2030]]+(Tableau145[[#This Row],[2033]]-Tableau145[[#This Row],[2030]])*2/3</f>
        <v>84.070558921131365</v>
      </c>
      <c r="R44" s="328">
        <v>87.051450790907197</v>
      </c>
      <c r="S44" s="328">
        <f>(Tableau145[[#This Row],[2033]]+Tableau145[[#This Row],[2035]])/2</f>
        <v>90.061346725015454</v>
      </c>
      <c r="T44" s="328">
        <v>93.071242659123698</v>
      </c>
      <c r="U44" s="328">
        <f>Tableau145[[#This Row],[2035]]+(Tableau145[[#This Row],[2038]]-Tableau145[[#This Row],[2035]])*1/3</f>
        <v>93.605128417508396</v>
      </c>
      <c r="V44" s="328">
        <f>Tableau145[[#This Row],[2035]]+(Tableau145[[#This Row],[2038]]-Tableau145[[#This Row],[2035]])*2/3</f>
        <v>94.139014175893095</v>
      </c>
      <c r="W44" s="328">
        <v>94.672899934277794</v>
      </c>
      <c r="X44" s="328">
        <f>(Tableau145[[#This Row],[2038]]+Tableau145[[#This Row],[2040]])/2</f>
        <v>95.126495642586804</v>
      </c>
      <c r="Y44" s="328">
        <v>95.580091350895799</v>
      </c>
      <c r="Z44" s="328">
        <f>Tableau145[[#This Row],[2040]]+(Tableau145[[#This Row],[2043]]-Tableau145[[#This Row],[2040]])*1/3</f>
        <v>94.735569953315206</v>
      </c>
      <c r="AA44" s="328">
        <f>Tableau145[[#This Row],[2040]]+(Tableau145[[#This Row],[2043]]-Tableau145[[#This Row],[2040]])*2/3</f>
        <v>93.891048555734599</v>
      </c>
      <c r="AB44" s="328">
        <v>93.046527158154007</v>
      </c>
      <c r="AC44" s="328">
        <f>(Tableau145[[#This Row],[2043]]+Tableau145[[#This Row],[2045]])/2</f>
        <v>93.135229279987612</v>
      </c>
      <c r="AD44" s="328">
        <v>93.223931401821204</v>
      </c>
      <c r="AE44" s="328">
        <f>Tableau145[[#This Row],[2045]]+(Tableau145[[#This Row],[2050]]-Tableau145[[#This Row],[2045]])*1/5</f>
        <v>92.608509529809481</v>
      </c>
      <c r="AF44" s="328">
        <f>Tableau145[[#This Row],[2045]]+(Tableau145[[#This Row],[2050]]-Tableau145[[#This Row],[2045]])*2/5</f>
        <v>91.993087657797759</v>
      </c>
      <c r="AG44" s="328">
        <f>Tableau145[[#This Row],[2045]]+(Tableau145[[#This Row],[2050]]-Tableau145[[#This Row],[2045]])*3/5</f>
        <v>91.37766578578605</v>
      </c>
      <c r="AH44" s="328">
        <f>Tableau145[[#This Row],[2045]]+(Tableau145[[#This Row],[2050]]-Tableau145[[#This Row],[2045]])*4/5</f>
        <v>90.762243913774327</v>
      </c>
      <c r="AI44" s="328">
        <v>90.146822041762604</v>
      </c>
      <c r="AJ44" s="328" t="s">
        <v>390</v>
      </c>
    </row>
    <row r="45" spans="1:36" s="388" customFormat="1">
      <c r="A45" s="388" t="s">
        <v>439</v>
      </c>
      <c r="B45" s="388" t="s">
        <v>443</v>
      </c>
      <c r="C45" s="329" t="s">
        <v>441</v>
      </c>
      <c r="D45" s="328">
        <v>597.4</v>
      </c>
      <c r="E45" s="328">
        <v>437.642846716728</v>
      </c>
      <c r="F45" s="328">
        <v>428.81220730978902</v>
      </c>
      <c r="G45" s="328">
        <v>500.21555860345802</v>
      </c>
      <c r="H45" s="414">
        <v>553.64867135957695</v>
      </c>
      <c r="I45" s="328">
        <v>551.45736209954703</v>
      </c>
      <c r="J45" s="328">
        <v>507.82510685552302</v>
      </c>
      <c r="K45" s="328">
        <f>Tableau145[[#This Row],[2025]]+(Tableau145[[#This Row],[2028]]-Tableau145[[#This Row],[2025]])*1/3</f>
        <v>492.09334505154999</v>
      </c>
      <c r="L45" s="328">
        <f>Tableau145[[#This Row],[2025]]+(Tableau145[[#This Row],[2028]]-Tableau145[[#This Row],[2025]])*2/3</f>
        <v>476.36158324757702</v>
      </c>
      <c r="M45" s="328">
        <v>460.62982144360399</v>
      </c>
      <c r="N45" s="328">
        <f>(Tableau145[[#This Row],[2028]]+Tableau145[[#This Row],[2030]])/2</f>
        <v>444.8980596396305</v>
      </c>
      <c r="O45" s="328">
        <v>429.16629783565702</v>
      </c>
      <c r="P45" s="328">
        <f>Tableau145[[#This Row],[2030]]+(Tableau145[[#This Row],[2033]]-Tableau145[[#This Row],[2030]])*1/3</f>
        <v>413.44938534383869</v>
      </c>
      <c r="Q45" s="328">
        <f>Tableau145[[#This Row],[2030]]+(Tableau145[[#This Row],[2033]]-Tableau145[[#This Row],[2030]])*2/3</f>
        <v>397.73247285202035</v>
      </c>
      <c r="R45" s="328">
        <v>382.01556036020202</v>
      </c>
      <c r="S45" s="328">
        <f>(Tableau145[[#This Row],[2033]]+Tableau145[[#This Row],[2035]])/2</f>
        <v>366.29864786838351</v>
      </c>
      <c r="T45" s="328">
        <v>350.58173537656501</v>
      </c>
      <c r="U45" s="328">
        <f>Tableau145[[#This Row],[2035]]+(Tableau145[[#This Row],[2038]]-Tableau145[[#This Row],[2035]])*1/3</f>
        <v>334.84430705579166</v>
      </c>
      <c r="V45" s="328">
        <f>Tableau145[[#This Row],[2035]]+(Tableau145[[#This Row],[2038]]-Tableau145[[#This Row],[2035]])*2/3</f>
        <v>319.10687873501837</v>
      </c>
      <c r="W45" s="328">
        <v>303.36945041424502</v>
      </c>
      <c r="X45" s="328">
        <f>(Tableau145[[#This Row],[2038]]+Tableau145[[#This Row],[2040]])/2</f>
        <v>287.63202209347151</v>
      </c>
      <c r="Y45" s="328">
        <v>271.89459377269799</v>
      </c>
      <c r="Z45" s="328">
        <f>Tableau145[[#This Row],[2040]]+(Tableau145[[#This Row],[2043]]-Tableau145[[#This Row],[2040]])*1/3</f>
        <v>256.21547103061067</v>
      </c>
      <c r="AA45" s="328">
        <f>Tableau145[[#This Row],[2040]]+(Tableau145[[#This Row],[2043]]-Tableau145[[#This Row],[2040]])*2/3</f>
        <v>240.53634828852333</v>
      </c>
      <c r="AB45" s="328">
        <v>224.85722554643601</v>
      </c>
      <c r="AC45" s="328">
        <f>(Tableau145[[#This Row],[2043]]+Tableau145[[#This Row],[2045]])/2</f>
        <v>209.17810280434901</v>
      </c>
      <c r="AD45" s="328">
        <v>193.49898006226201</v>
      </c>
      <c r="AE45" s="328">
        <f>Tableau145[[#This Row],[2045]]+(Tableau145[[#This Row],[2050]]-Tableau145[[#This Row],[2045]])*1/5</f>
        <v>177.82303998297022</v>
      </c>
      <c r="AF45" s="328">
        <f>Tableau145[[#This Row],[2045]]+(Tableau145[[#This Row],[2050]]-Tableau145[[#This Row],[2045]])*2/5</f>
        <v>162.1470999036784</v>
      </c>
      <c r="AG45" s="328">
        <f>Tableau145[[#This Row],[2045]]+(Tableau145[[#This Row],[2050]]-Tableau145[[#This Row],[2045]])*3/5</f>
        <v>146.4711598243866</v>
      </c>
      <c r="AH45" s="328">
        <f>Tableau145[[#This Row],[2045]]+(Tableau145[[#This Row],[2050]]-Tableau145[[#This Row],[2045]])*4/5</f>
        <v>130.79521974509481</v>
      </c>
      <c r="AI45" s="328">
        <v>115.11927966580301</v>
      </c>
      <c r="AJ45" s="328" t="s">
        <v>390</v>
      </c>
    </row>
    <row r="46" spans="1:36" s="388" customFormat="1">
      <c r="A46" s="388" t="s">
        <v>439</v>
      </c>
      <c r="B46" s="388" t="s">
        <v>444</v>
      </c>
      <c r="C46" s="329" t="s">
        <v>441</v>
      </c>
      <c r="D46" s="328">
        <f>32.8+15.2</f>
        <v>48</v>
      </c>
      <c r="E46" s="328">
        <v>37.543793040426671</v>
      </c>
      <c r="F46" s="328">
        <v>47.048655588052213</v>
      </c>
      <c r="G46" s="328">
        <v>41.985035798994431</v>
      </c>
      <c r="H46" s="328">
        <v>35.394608679433347</v>
      </c>
      <c r="I46" s="328">
        <v>35.656892437628358</v>
      </c>
      <c r="J46" s="328">
        <v>33.136891601562496</v>
      </c>
      <c r="K46" s="328">
        <f>Tableau145[[#This Row],[2025]]+(Tableau145[[#This Row],[2028]]-Tableau145[[#This Row],[2025]])*1/3</f>
        <v>31.184764648437497</v>
      </c>
      <c r="L46" s="328">
        <f>Tableau145[[#This Row],[2025]]+(Tableau145[[#This Row],[2028]]-Tableau145[[#This Row],[2025]])*2/3</f>
        <v>29.232637695312501</v>
      </c>
      <c r="M46" s="328">
        <v>27.280510742187502</v>
      </c>
      <c r="N46" s="328">
        <f>(Tableau145[[#This Row],[2028]]+Tableau145[[#This Row],[2030]])/2</f>
        <v>24.099432373046874</v>
      </c>
      <c r="O46" s="328">
        <v>20.918354003906249</v>
      </c>
      <c r="P46" s="328">
        <f>Tableau145[[#This Row],[2030]]+(Tableau145[[#This Row],[2033]]-Tableau145[[#This Row],[2030]])*1/3</f>
        <v>19.588088053385416</v>
      </c>
      <c r="Q46" s="328">
        <f>Tableau145[[#This Row],[2030]]+(Tableau145[[#This Row],[2033]]-Tableau145[[#This Row],[2030]])*2/3</f>
        <v>18.257822102864584</v>
      </c>
      <c r="R46" s="328">
        <v>16.927556152343751</v>
      </c>
      <c r="S46" s="328">
        <f>(Tableau145[[#This Row],[2033]]+Tableau145[[#This Row],[2035]])/2</f>
        <v>15.671393310546875</v>
      </c>
      <c r="T46" s="328">
        <v>14.41523046875</v>
      </c>
      <c r="U46" s="328">
        <f>Tableau145[[#This Row],[2035]]+(Tableau145[[#This Row],[2038]]-Tableau145[[#This Row],[2035]])*1/3</f>
        <v>13.516042805989583</v>
      </c>
      <c r="V46" s="328">
        <f>Tableau145[[#This Row],[2035]]+(Tableau145[[#This Row],[2038]]-Tableau145[[#This Row],[2035]])*2/3</f>
        <v>12.616855143229165</v>
      </c>
      <c r="W46" s="328">
        <v>11.717667480468748</v>
      </c>
      <c r="X46" s="328">
        <f>(Tableau145[[#This Row],[2038]]+Tableau145[[#This Row],[2040]])/2</f>
        <v>10.870537841796875</v>
      </c>
      <c r="Y46" s="328">
        <v>10.023408203124999</v>
      </c>
      <c r="Z46" s="328">
        <f>Tableau145[[#This Row],[2040]]+(Tableau145[[#This Row],[2043]]-Tableau145[[#This Row],[2040]])*1/3</f>
        <v>7.9595994059244788</v>
      </c>
      <c r="AA46" s="328">
        <f>Tableau145[[#This Row],[2040]]+(Tableau145[[#This Row],[2043]]-Tableau145[[#This Row],[2040]])*2/3</f>
        <v>5.8957906087239582</v>
      </c>
      <c r="AB46" s="328">
        <v>3.8319818115234376</v>
      </c>
      <c r="AC46" s="328">
        <f>(Tableau145[[#This Row],[2043]]+Tableau145[[#This Row],[2045]])/2</f>
        <v>1.9159909057617188</v>
      </c>
      <c r="AD46" s="328">
        <v>0</v>
      </c>
      <c r="AE46" s="328">
        <f>Tableau145[[#This Row],[2045]]+(Tableau145[[#This Row],[2050]]-Tableau145[[#This Row],[2045]])*1/5</f>
        <v>0</v>
      </c>
      <c r="AF46" s="328">
        <f>Tableau145[[#This Row],[2045]]+(Tableau145[[#This Row],[2050]]-Tableau145[[#This Row],[2045]])*2/5</f>
        <v>0</v>
      </c>
      <c r="AG46" s="328">
        <f>Tableau145[[#This Row],[2045]]+(Tableau145[[#This Row],[2050]]-Tableau145[[#This Row],[2045]])*3/5</f>
        <v>0</v>
      </c>
      <c r="AH46" s="328">
        <f>Tableau145[[#This Row],[2045]]+(Tableau145[[#This Row],[2050]]-Tableau145[[#This Row],[2045]])*4/5</f>
        <v>0</v>
      </c>
      <c r="AI46" s="328">
        <v>0</v>
      </c>
      <c r="AJ46" s="328" t="s">
        <v>390</v>
      </c>
    </row>
    <row r="47" spans="1:36" s="388" customFormat="1">
      <c r="A47" s="388" t="s">
        <v>439</v>
      </c>
      <c r="B47" s="388" t="s">
        <v>445</v>
      </c>
      <c r="C47" s="329" t="s">
        <v>441</v>
      </c>
      <c r="D47" s="328">
        <v>4.97</v>
      </c>
      <c r="E47" s="328">
        <v>3.9080132499999998</v>
      </c>
      <c r="F47" s="328">
        <v>3.5778432499999999</v>
      </c>
      <c r="G47" s="328">
        <v>4.0146604999999997</v>
      </c>
      <c r="H47" s="328">
        <v>3.6646442499999998</v>
      </c>
      <c r="I47" s="328">
        <v>3.1600043052500002</v>
      </c>
      <c r="J47" s="328">
        <v>4.0076146379009892</v>
      </c>
      <c r="K47" s="328">
        <f>Tableau145[[#This Row],[2025]]+(Tableau145[[#This Row],[2028]]-Tableau145[[#This Row],[2025]])*1/3</f>
        <v>3.8550127092857474</v>
      </c>
      <c r="L47" s="328">
        <f>Tableau145[[#This Row],[2025]]+(Tableau145[[#This Row],[2028]]-Tableau145[[#This Row],[2025]])*2/3</f>
        <v>3.7024107806705051</v>
      </c>
      <c r="M47" s="328">
        <v>3.5498088520552633</v>
      </c>
      <c r="N47" s="328">
        <f>(Tableau145[[#This Row],[2028]]+Tableau145[[#This Row],[2030]])/2</f>
        <v>3.4120982380935052</v>
      </c>
      <c r="O47" s="328">
        <v>3.2743876241317467</v>
      </c>
      <c r="P47" s="328">
        <f>Tableau145[[#This Row],[2030]]+(Tableau145[[#This Row],[2033]]-Tableau145[[#This Row],[2030]])*1/3</f>
        <v>3.1032247959570483</v>
      </c>
      <c r="Q47" s="328">
        <f>Tableau145[[#This Row],[2030]]+(Tableau145[[#This Row],[2033]]-Tableau145[[#This Row],[2030]])*2/3</f>
        <v>2.9320619677823498</v>
      </c>
      <c r="R47" s="328">
        <v>2.7608991396076514</v>
      </c>
      <c r="S47" s="328">
        <f>(Tableau145[[#This Row],[2033]]+Tableau145[[#This Row],[2035]])/2</f>
        <v>2.6180150867920724</v>
      </c>
      <c r="T47" s="328">
        <v>2.4751310339764934</v>
      </c>
      <c r="U47" s="328">
        <f>Tableau145[[#This Row],[2035]]+(Tableau145[[#This Row],[2038]]-Tableau145[[#This Row],[2035]])*1/3</f>
        <v>2.2620393783558619</v>
      </c>
      <c r="V47" s="328">
        <f>Tableau145[[#This Row],[2035]]+(Tableau145[[#This Row],[2038]]-Tableau145[[#This Row],[2035]])*2/3</f>
        <v>2.0489477227352304</v>
      </c>
      <c r="W47" s="328">
        <v>1.8358560671145987</v>
      </c>
      <c r="X47" s="328">
        <f>(Tableau145[[#This Row],[2038]]+Tableau145[[#This Row],[2040]])/2</f>
        <v>1.6443102622114893</v>
      </c>
      <c r="Y47" s="328">
        <v>1.4527644573083798</v>
      </c>
      <c r="Z47" s="328">
        <f>Tableau145[[#This Row],[2040]]+(Tableau145[[#This Row],[2043]]-Tableau145[[#This Row],[2040]])*1/3</f>
        <v>1.3163711779149407</v>
      </c>
      <c r="AA47" s="328">
        <f>Tableau145[[#This Row],[2040]]+(Tableau145[[#This Row],[2043]]-Tableau145[[#This Row],[2040]])*2/3</f>
        <v>1.1799778985215017</v>
      </c>
      <c r="AB47" s="328">
        <v>1.0435846191280627</v>
      </c>
      <c r="AC47" s="328">
        <f>(Tableau145[[#This Row],[2043]]+Tableau145[[#This Row],[2045]])/2</f>
        <v>0.92496480711823259</v>
      </c>
      <c r="AD47" s="328">
        <v>0.80634499510840241</v>
      </c>
      <c r="AE47" s="328">
        <f>Tableau145[[#This Row],[2045]]+(Tableau145[[#This Row],[2050]]-Tableau145[[#This Row],[2045]])*1/5</f>
        <v>0.64507599608672195</v>
      </c>
      <c r="AF47" s="328">
        <f>Tableau145[[#This Row],[2045]]+(Tableau145[[#This Row],[2050]]-Tableau145[[#This Row],[2045]])*2/5</f>
        <v>0.48380699706504143</v>
      </c>
      <c r="AG47" s="328">
        <f>Tableau145[[#This Row],[2045]]+(Tableau145[[#This Row],[2050]]-Tableau145[[#This Row],[2045]])*3/5</f>
        <v>0.32253799804336097</v>
      </c>
      <c r="AH47" s="328">
        <f>Tableau145[[#This Row],[2045]]+(Tableau145[[#This Row],[2050]]-Tableau145[[#This Row],[2045]])*4/5</f>
        <v>0.16126899902168046</v>
      </c>
      <c r="AI47" s="328">
        <v>0</v>
      </c>
      <c r="AJ47" s="328" t="s">
        <v>390</v>
      </c>
    </row>
    <row r="48" spans="1:36" s="388" customFormat="1">
      <c r="A48" s="388" t="s">
        <v>439</v>
      </c>
      <c r="B48" s="388" t="s">
        <v>446</v>
      </c>
      <c r="C48" s="329" t="s">
        <v>423</v>
      </c>
      <c r="D48" s="328">
        <v>14.5</v>
      </c>
      <c r="E48" s="328">
        <v>14.4</v>
      </c>
      <c r="F48" s="328">
        <f>Tableau145[[#This Row],[2019]]+(Tableau145[[#This Row],[2030]]-Tableau145[[#This Row],[2019]])*2/11</f>
        <v>14.318181818181818</v>
      </c>
      <c r="G48" s="328">
        <f>Tableau145[[#This Row],[2019]]+(Tableau145[[#This Row],[2030]]-Tableau145[[#This Row],[2019]])*3/11</f>
        <v>14.227272727272727</v>
      </c>
      <c r="H48" s="328">
        <f>Tableau145[[#This Row],[2019]]+(Tableau145[[#This Row],[2030]]-Tableau145[[#This Row],[2019]])*4/11</f>
        <v>14.136363636363637</v>
      </c>
      <c r="I48" s="328">
        <f>Tableau145[[#This Row],[2019]]+(Tableau145[[#This Row],[2030]]-Tableau145[[#This Row],[2019]])*5/11</f>
        <v>14.045454545454545</v>
      </c>
      <c r="J48" s="328">
        <f>Tableau145[[#This Row],[2019]]+(Tableau145[[#This Row],[2030]]-Tableau145[[#This Row],[2019]])*6/11</f>
        <v>13.954545454545455</v>
      </c>
      <c r="K48" s="328">
        <f>Tableau145[[#This Row],[2019]]+(Tableau145[[#This Row],[2030]]-Tableau145[[#This Row],[2019]])*7/11</f>
        <v>13.863636363636363</v>
      </c>
      <c r="L48" s="328">
        <f>Tableau145[[#This Row],[2019]]+(Tableau145[[#This Row],[2030]]-Tableau145[[#This Row],[2019]])*8/11</f>
        <v>13.772727272727273</v>
      </c>
      <c r="M48" s="328">
        <f>Tableau145[[#This Row],[2019]]+(Tableau145[[#This Row],[2030]]-Tableau145[[#This Row],[2019]])*9/11</f>
        <v>13.681818181818182</v>
      </c>
      <c r="N48" s="328">
        <f>Tableau145[[#This Row],[2019]]+(Tableau145[[#This Row],[2030]]-Tableau145[[#This Row],[2019]])*10/11</f>
        <v>13.590909090909092</v>
      </c>
      <c r="O48" s="328">
        <v>13.5</v>
      </c>
      <c r="P48" s="328">
        <f>Tableau145[[#This Row],[2030]]+(Tableau145[[#This Row],[2040]]-Tableau145[[#This Row],[2030]])*1/10</f>
        <v>13.15</v>
      </c>
      <c r="Q48" s="328">
        <f>Tableau145[[#This Row],[2030]]+(Tableau145[[#This Row],[2040]]-Tableau145[[#This Row],[2030]])*2/10</f>
        <v>12.8</v>
      </c>
      <c r="R48" s="328">
        <f>Tableau145[[#This Row],[2030]]+(Tableau145[[#This Row],[2040]]-Tableau145[[#This Row],[2030]])*3/10</f>
        <v>12.45</v>
      </c>
      <c r="S48" s="328">
        <f>Tableau145[[#This Row],[2030]]+(Tableau145[[#This Row],[2040]]-Tableau145[[#This Row],[2030]])*4/10</f>
        <v>12.1</v>
      </c>
      <c r="T48" s="328">
        <f>Tableau145[[#This Row],[2030]]+(Tableau145[[#This Row],[2040]]-Tableau145[[#This Row],[2030]])*5/10</f>
        <v>11.75</v>
      </c>
      <c r="U48" s="328">
        <f>Tableau145[[#This Row],[2030]]+(Tableau145[[#This Row],[2040]]-Tableau145[[#This Row],[2030]])*6/10</f>
        <v>11.4</v>
      </c>
      <c r="V48" s="328">
        <f>Tableau145[[#This Row],[2030]]+(Tableau145[[#This Row],[2040]]-Tableau145[[#This Row],[2030]])*7/10</f>
        <v>11.05</v>
      </c>
      <c r="W48" s="328">
        <f>Tableau145[[#This Row],[2030]]+(Tableau145[[#This Row],[2040]]-Tableau145[[#This Row],[2030]])*8/10</f>
        <v>10.7</v>
      </c>
      <c r="X48" s="328">
        <f>Tableau145[[#This Row],[2030]]+(Tableau145[[#This Row],[2040]]-Tableau145[[#This Row],[2030]])*9/10</f>
        <v>10.35</v>
      </c>
      <c r="Y48" s="328">
        <v>10</v>
      </c>
      <c r="Z48" s="328">
        <f>Tableau145[[#This Row],[2040]]+(Tableau145[[#This Row],[2050]]-Tableau145[[#This Row],[2040]])*1/10</f>
        <v>9.8000000000000007</v>
      </c>
      <c r="AA48" s="328">
        <f>Tableau145[[#This Row],[2040]]+(Tableau145[[#This Row],[2050]]-Tableau145[[#This Row],[2040]])*2/10</f>
        <v>9.6</v>
      </c>
      <c r="AB48" s="328">
        <f>Tableau145[[#This Row],[2040]]+(Tableau145[[#This Row],[2050]]-Tableau145[[#This Row],[2040]])*3/10</f>
        <v>9.4</v>
      </c>
      <c r="AC48" s="328">
        <f>Tableau145[[#This Row],[2040]]+(Tableau145[[#This Row],[2050]]-Tableau145[[#This Row],[2040]])*4/10</f>
        <v>9.1999999999999993</v>
      </c>
      <c r="AD48" s="328">
        <f>Tableau145[[#This Row],[2040]]+(Tableau145[[#This Row],[2050]]-Tableau145[[#This Row],[2040]])*5/10</f>
        <v>9</v>
      </c>
      <c r="AE48" s="328">
        <f>Tableau145[[#This Row],[2040]]+(Tableau145[[#This Row],[2050]]-Tableau145[[#This Row],[2040]])*6/10</f>
        <v>8.8000000000000007</v>
      </c>
      <c r="AF48" s="328">
        <f>Tableau145[[#This Row],[2040]]+(Tableau145[[#This Row],[2050]]-Tableau145[[#This Row],[2040]])*7/10</f>
        <v>8.6</v>
      </c>
      <c r="AG48" s="328">
        <f>Tableau145[[#This Row],[2040]]+(Tableau145[[#This Row],[2050]]-Tableau145[[#This Row],[2040]])*8/10</f>
        <v>8.4</v>
      </c>
      <c r="AH48" s="328">
        <f>Tableau145[[#This Row],[2040]]+(Tableau145[[#This Row],[2050]]-Tableau145[[#This Row],[2040]])*9/10</f>
        <v>8.1999999999999993</v>
      </c>
      <c r="AI48" s="328">
        <v>8</v>
      </c>
      <c r="AJ48" s="328" t="s">
        <v>390</v>
      </c>
    </row>
    <row r="49" spans="1:36" s="388" customFormat="1">
      <c r="A49" s="388" t="s">
        <v>439</v>
      </c>
      <c r="B49" s="388" t="s">
        <v>447</v>
      </c>
      <c r="C49" s="388" t="s">
        <v>441</v>
      </c>
      <c r="D49" s="328">
        <v>8.0052809379897099</v>
      </c>
      <c r="E49" s="328">
        <v>7.92031635424431</v>
      </c>
      <c r="F49" s="328">
        <v>7.8456390925374899</v>
      </c>
      <c r="G49" s="328">
        <v>7.9213998530884098</v>
      </c>
      <c r="H49" s="328">
        <v>8.3206876368797804</v>
      </c>
      <c r="I49" s="328">
        <v>8.6802162959207596</v>
      </c>
      <c r="J49" s="328">
        <v>9.3717914251395804</v>
      </c>
      <c r="K49" s="328">
        <f>'Données d''activité'!$J49+('Données d''activité'!$M49-'Données d''activité'!$J49)*1/3</f>
        <v>8.9245522353720261</v>
      </c>
      <c r="L49" s="328">
        <f>'Données d''activité'!$J49+('Données d''activité'!$M49-'Données d''activité'!$J49)*2/3</f>
        <v>8.4773130456044736</v>
      </c>
      <c r="M49" s="328">
        <v>8.0300738558369193</v>
      </c>
      <c r="N49" s="328">
        <f>('Données d''activité'!$M49+'Données d''activité'!$O49)/2</f>
        <v>7.5828346660695143</v>
      </c>
      <c r="O49" s="328">
        <v>7.1355954763021101</v>
      </c>
      <c r="P49" s="328">
        <f>'Données d''activité'!$O49+('Données d''activité'!$R49-'Données d''activité'!$O49)*1/3</f>
        <v>7.4496770676851902</v>
      </c>
      <c r="Q49" s="328">
        <f>'Données d''activité'!$O49+('Données d''activité'!$R49-'Données d''activité'!$O49)*2/3</f>
        <v>7.7637586590682703</v>
      </c>
      <c r="R49" s="328">
        <v>8.0778402504513505</v>
      </c>
      <c r="S49" s="328">
        <f>('Données d''activité'!$R49+'Données d''activité'!$T49)/2</f>
        <v>8.3919218418345203</v>
      </c>
      <c r="T49" s="328">
        <v>8.7060034332176901</v>
      </c>
      <c r="U49" s="328">
        <f>'Données d''activité'!$T49+('Données d''activité'!$W49-'Données d''activité'!$T49)*1/3</f>
        <v>8.96736585910541</v>
      </c>
      <c r="V49" s="328">
        <f>'Données d''activité'!$T49+('Données d''activité'!$W49-'Données d''activité'!$T49)*2/3</f>
        <v>9.2287282849931298</v>
      </c>
      <c r="W49" s="328">
        <v>9.4900907108808497</v>
      </c>
      <c r="X49" s="328">
        <f>('Données d''activité'!$W49+'Données d''activité'!$Y49)/2</f>
        <v>9.7514531367685251</v>
      </c>
      <c r="Y49" s="328">
        <v>10.012815562656201</v>
      </c>
      <c r="Z49" s="328">
        <f>'Données d''activité'!$Y49+('Données d''activité'!$AB49-'Données d''activité'!$Y49)*1/3</f>
        <v>10.182785054064833</v>
      </c>
      <c r="AA49" s="328">
        <f>'Données d''activité'!$Y49+('Données d''activité'!$AB49-'Données d''activité'!$Y49)*2/3</f>
        <v>10.352754545473466</v>
      </c>
      <c r="AB49" s="328">
        <v>10.522724036882099</v>
      </c>
      <c r="AC49" s="328">
        <f>('Données d''activité'!$AB49+'Données d''activité'!$AD49)/2</f>
        <v>10.69269352829075</v>
      </c>
      <c r="AD49" s="328">
        <v>10.862663019699401</v>
      </c>
      <c r="AE49" s="328">
        <f>'Données d''activité'!$AD49+('Données d''activité'!$AI49-'Données d''activité'!$AD49)*1/5</f>
        <v>11.02794946577786</v>
      </c>
      <c r="AF49" s="328">
        <f>'Données d''activité'!$AD49+('Données d''activité'!$AI49-'Données d''activité'!$AD49)*2/5</f>
        <v>11.19323591185632</v>
      </c>
      <c r="AG49" s="328">
        <f>'Données d''activité'!$AD49+('Données d''activité'!$AI49-'Données d''activité'!$AD49)*3/5</f>
        <v>11.358522357934781</v>
      </c>
      <c r="AH49" s="328">
        <f>'Données d''activité'!$AD49+('Données d''activité'!$AI49-'Données d''activité'!$AD49)*4/5</f>
        <v>11.523808804013241</v>
      </c>
      <c r="AI49" s="328">
        <v>11.6890952500917</v>
      </c>
      <c r="AJ49" s="328" t="s">
        <v>390</v>
      </c>
    </row>
    <row r="50" spans="1:36" s="388" customFormat="1">
      <c r="A50" s="388" t="s">
        <v>439</v>
      </c>
      <c r="B50" s="388" t="s">
        <v>494</v>
      </c>
      <c r="C50" s="388" t="s">
        <v>666</v>
      </c>
      <c r="D50" s="328">
        <v>4.8176216516685102</v>
      </c>
      <c r="E50" s="328">
        <v>4.6945757021863503</v>
      </c>
      <c r="F50" s="328">
        <v>4.4560891974796402</v>
      </c>
      <c r="G50" s="328">
        <v>4.0055841475749903</v>
      </c>
      <c r="H50" s="328">
        <v>3.62492665430262</v>
      </c>
      <c r="I50" s="328">
        <f>('Données d''activité'!$H50+'Données d''activité'!$J50)/2</f>
        <v>3.3222729424265447</v>
      </c>
      <c r="J50" s="328">
        <v>3.0196192305504699</v>
      </c>
      <c r="K50" s="328">
        <f>'Données d''activité'!$J50+('Données d''activité'!$M50-'Données d''activité'!$J50)*1/3</f>
        <v>2.4452254796494</v>
      </c>
      <c r="L50" s="328">
        <f>'Données d''activité'!$J50+('Données d''activité'!$M50-'Données d''activité'!$J50)*2/3</f>
        <v>1.8708317287483298</v>
      </c>
      <c r="M50" s="328">
        <v>1.2964379778472599</v>
      </c>
      <c r="N50" s="328">
        <f>('Données d''activité'!$M50+'Données d''activité'!$O50)/2</f>
        <v>0.72204387994387642</v>
      </c>
      <c r="O50" s="328">
        <v>0.14764978204049301</v>
      </c>
      <c r="P50" s="328">
        <f>'Données d''activité'!$O50+('Données d''activité'!$R50-'Données d''activité'!$O50)*1/3</f>
        <v>0.14752395258935666</v>
      </c>
      <c r="Q50" s="328">
        <f>'Données d''activité'!$O50+('Données d''activité'!$R50-'Données d''activité'!$O50)*2/3</f>
        <v>0.14739812313822034</v>
      </c>
      <c r="R50" s="328">
        <v>0.147272293687084</v>
      </c>
      <c r="S50" s="328">
        <f>('Données d''activité'!$R50+'Données d''activité'!$T50)/2</f>
        <v>0.147147501450269</v>
      </c>
      <c r="T50" s="328">
        <v>0.14702270921345401</v>
      </c>
      <c r="U50" s="328">
        <f>'Données d''activité'!$T50+('Données d''activité'!$W50-'Données d''activité'!$T50)*1/3</f>
        <v>0.132065586272336</v>
      </c>
      <c r="V50" s="328">
        <f>'Données d''activité'!$T50+('Données d''activité'!$W50-'Données d''activité'!$T50)*2/3</f>
        <v>0.11710846333121801</v>
      </c>
      <c r="W50" s="328">
        <v>0.1021513403901</v>
      </c>
      <c r="X50" s="328">
        <f>('Données d''activité'!$W50+'Données d''activité'!$Y50)/2</f>
        <v>8.8077442291484703E-2</v>
      </c>
      <c r="Y50" s="328">
        <v>7.4003544192869405E-2</v>
      </c>
      <c r="Z50" s="328">
        <f>'Données d''activité'!$Y50+('Données d''activité'!$AD50-'Données d''activité'!$Y50)*1/5</f>
        <v>6.849134039508406E-2</v>
      </c>
      <c r="AA50" s="328">
        <f>'Données d''activité'!$Y50+('Données d''activité'!$AD50-'Données d''activité'!$Y50)*2/5</f>
        <v>6.2979136597298729E-2</v>
      </c>
      <c r="AB50" s="328">
        <f>'Données d''activité'!$Y50+('Données d''activité'!$AD50-'Données d''activité'!$Y50)*3/5</f>
        <v>5.7466932799513384E-2</v>
      </c>
      <c r="AC50" s="328">
        <f>'Données d''activité'!$Y50+('Données d''activité'!$AD50-'Données d''activité'!$Y50)*4/5</f>
        <v>5.1954729001728039E-2</v>
      </c>
      <c r="AD50" s="328">
        <v>4.6442525203942701E-2</v>
      </c>
      <c r="AE50" s="328">
        <f>'Données d''activité'!$AD50+('Données d''activité'!$AI50-'Données d''activité'!$AD50)*1/5</f>
        <v>4.6467101086666698E-2</v>
      </c>
      <c r="AF50" s="328">
        <f>'Données d''activité'!$AD50+('Données d''activité'!$AI50-'Données d''activité'!$AD50)*2/5</f>
        <v>4.6491676969390702E-2</v>
      </c>
      <c r="AG50" s="328">
        <f>'Données d''activité'!$AD50+('Données d''activité'!$AI50-'Données d''activité'!$AD50)*3/5</f>
        <v>4.6516252852114699E-2</v>
      </c>
      <c r="AH50" s="328">
        <f>'Données d''activité'!$AD50+('Données d''activité'!$AI50-'Données d''activité'!$AD50)*4/5</f>
        <v>4.6540828734838703E-2</v>
      </c>
      <c r="AI50" s="328">
        <v>4.65654046175627E-2</v>
      </c>
      <c r="AJ50" s="328" t="s">
        <v>390</v>
      </c>
    </row>
    <row r="51" spans="1:36" s="388" customFormat="1">
      <c r="A51" s="388" t="s">
        <v>439</v>
      </c>
      <c r="B51" s="388" t="s">
        <v>495</v>
      </c>
      <c r="C51" s="388" t="s">
        <v>666</v>
      </c>
      <c r="D51" s="328">
        <f>50.8094125727567/1000</f>
        <v>5.0809412572756701E-2</v>
      </c>
      <c r="E51" s="328">
        <v>5.2538203728300203E-2</v>
      </c>
      <c r="F51" s="328">
        <v>5.6145501761945701E-2</v>
      </c>
      <c r="G51" s="328">
        <v>5.9947804649643999E-2</v>
      </c>
      <c r="H51" s="328">
        <v>5.9995365391037198E-2</v>
      </c>
      <c r="I51" s="328">
        <f>('Données d''activité'!$H51+'Données d''activité'!$J51)/2</f>
        <v>5.5505211436359649E-2</v>
      </c>
      <c r="J51" s="328">
        <v>5.10150574816821E-2</v>
      </c>
      <c r="K51" s="328">
        <f>'Données d''activité'!$J51+('Données d''activité'!$M51-'Données d''activité'!$J51)*1/3</f>
        <v>5.1832606479785902E-2</v>
      </c>
      <c r="L51" s="328">
        <f>'Données d''activité'!$J51+('Données d''activité'!$M51-'Données d''activité'!$J51)*2/3</f>
        <v>5.2650155477889697E-2</v>
      </c>
      <c r="M51" s="328">
        <v>5.3467704475993499E-2</v>
      </c>
      <c r="N51" s="328">
        <f>('Données d''activité'!$M51+'Données d''activité'!$O51)/2</f>
        <v>5.4203498574286996E-2</v>
      </c>
      <c r="O51" s="328">
        <v>5.4939292672580499E-2</v>
      </c>
      <c r="P51" s="328">
        <f>'Données d''activité'!$O51+('Données d''activité'!$R51-'Données d''activité'!$O51)*1/3</f>
        <v>5.5756841670684565E-2</v>
      </c>
      <c r="Q51" s="328">
        <f>'Données d''activité'!$O51+('Données d''activité'!$R51-'Données d''activité'!$O51)*2/3</f>
        <v>5.6574390668788631E-2</v>
      </c>
      <c r="R51" s="328">
        <v>5.7391939666892697E-2</v>
      </c>
      <c r="S51" s="328">
        <f>('Données d''activité'!$R51+'Données d''activité'!$T51)/2</f>
        <v>5.81277337651862E-2</v>
      </c>
      <c r="T51" s="328">
        <v>5.8863527863479703E-2</v>
      </c>
      <c r="U51" s="328">
        <f>'Données d''activité'!$T51+('Données d''activité'!$W51-'Données d''activité'!$T51)*1/3</f>
        <v>5.9626573595043204E-2</v>
      </c>
      <c r="V51" s="328">
        <f>'Données d''activité'!$T51+('Données d''activité'!$W51-'Données d''activité'!$T51)*2/3</f>
        <v>6.0389619326606699E-2</v>
      </c>
      <c r="W51" s="328">
        <v>6.11526650581702E-2</v>
      </c>
      <c r="X51" s="328"/>
      <c r="Y51" s="328">
        <v>6.2460743455136303E-2</v>
      </c>
      <c r="Z51" s="328">
        <f>'Données d''activité'!$Y51+('Données d''activité'!$AD51-'Données d''activité'!$Y51)*1/5</f>
        <v>6.3147484613543622E-2</v>
      </c>
      <c r="AA51" s="328">
        <f>'Données d''activité'!$Y51+('Données d''activité'!$AD51-'Données d''activité'!$Y51)*2/5</f>
        <v>6.3834225771950942E-2</v>
      </c>
      <c r="AB51" s="328">
        <f>'Données d''activité'!$Y51+('Données d''activité'!$AD51-'Données d''activité'!$Y51)*3/5</f>
        <v>6.4520966930358262E-2</v>
      </c>
      <c r="AC51" s="328">
        <f>'Données d''activité'!$Y51+('Données d''activité'!$AD51-'Données d''activité'!$Y51)*4/5</f>
        <v>6.5207708088765581E-2</v>
      </c>
      <c r="AD51" s="328">
        <v>6.5894449247172901E-2</v>
      </c>
      <c r="AE51" s="328">
        <f>'Données d''activité'!$AD51+('Données d''activité'!$AI51-'Données d''activité'!$AD51)*1/5</f>
        <v>6.6483084525807701E-2</v>
      </c>
      <c r="AF51" s="328">
        <f>'Données d''activité'!$AD51+('Données d''activité'!$AI51-'Données d''activité'!$AD51)*2/5</f>
        <v>6.7071719804442501E-2</v>
      </c>
      <c r="AG51" s="328">
        <f>'Données d''activité'!$AD51+('Données d''activité'!$AI51-'Données d''activité'!$AD51)*3/5</f>
        <v>6.76603550830773E-2</v>
      </c>
      <c r="AH51" s="328">
        <f>'Données d''activité'!$AD51+('Données d''activité'!$AI51-'Données d''activité'!$AD51)*4/5</f>
        <v>6.82489903617121E-2</v>
      </c>
      <c r="AI51" s="328">
        <v>6.88376256403469E-2</v>
      </c>
      <c r="AJ51" s="328"/>
    </row>
  </sheetData>
  <sheetProtection selectLockedCells="1" selectUnlockedCells="1"/>
  <conditionalFormatting sqref="H45">
    <cfRule type="cellIs" dxfId="79" priority="4" operator="equal">
      <formula>0</formula>
    </cfRule>
  </conditionalFormatting>
  <conditionalFormatting sqref="H45">
    <cfRule type="containsBlanks" dxfId="78" priority="3">
      <formula>LEN(TRIM(#REF!))=0</formula>
    </cfRule>
  </conditionalFormatting>
  <conditionalFormatting sqref="H44">
    <cfRule type="cellIs" dxfId="77" priority="2" operator="equal">
      <formula>0</formula>
    </cfRule>
  </conditionalFormatting>
  <conditionalFormatting sqref="H44">
    <cfRule type="containsBlanks" dxfId="76" priority="1">
      <formula>LEN(TRIM(#REF!))=0</formula>
    </cfRule>
  </conditionalFormatting>
  <pageMargins left="0.7" right="0.7" top="0.75" bottom="0.75" header="0.3" footer="0.3"/>
  <pageSetup paperSize="9"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74"/>
  <sheetViews>
    <sheetView workbookViewId="0">
      <selection activeCell="F5" sqref="F5"/>
    </sheetView>
  </sheetViews>
  <sheetFormatPr baseColWidth="10" defaultColWidth="11.44140625" defaultRowHeight="14.4"/>
  <cols>
    <col min="2" max="2" width="19.6640625" customWidth="1"/>
    <col min="3" max="3" width="17.109375" customWidth="1"/>
    <col min="6" max="6" width="31.5546875" customWidth="1"/>
  </cols>
  <sheetData>
    <row r="1" spans="1:22" s="146" customFormat="1" ht="48.6" customHeight="1">
      <c r="B1" s="174"/>
    </row>
    <row r="2" spans="1:22" s="146" customFormat="1" ht="42.6" customHeight="1">
      <c r="B2" s="430" t="s">
        <v>6</v>
      </c>
      <c r="C2" s="431"/>
    </row>
    <row r="3" spans="1:22" ht="39.6" customHeight="1" thickBot="1">
      <c r="A3" s="146"/>
      <c r="B3" s="147"/>
      <c r="C3" s="341"/>
      <c r="D3" s="146"/>
      <c r="E3" s="146"/>
      <c r="F3" s="146"/>
      <c r="G3" s="146"/>
      <c r="H3" s="146"/>
      <c r="I3" s="146"/>
      <c r="J3" s="146"/>
      <c r="K3" s="146"/>
      <c r="L3" s="146"/>
      <c r="M3" s="146"/>
      <c r="N3" s="146"/>
      <c r="O3" s="146"/>
      <c r="P3" s="146"/>
      <c r="Q3" s="146"/>
      <c r="R3" s="146"/>
      <c r="S3" s="146"/>
      <c r="T3" s="146"/>
      <c r="U3" s="146"/>
      <c r="V3" s="146"/>
    </row>
    <row r="4" spans="1:22" ht="63" customHeight="1" thickTop="1" thickBot="1">
      <c r="A4" s="163"/>
      <c r="B4" s="339" t="s">
        <v>7</v>
      </c>
      <c r="C4" s="342">
        <v>2019</v>
      </c>
      <c r="D4" s="338"/>
      <c r="E4" s="146"/>
      <c r="F4" s="146"/>
      <c r="G4" s="146"/>
      <c r="H4" s="146"/>
      <c r="I4" s="146"/>
      <c r="J4" s="146"/>
      <c r="K4" s="146"/>
      <c r="L4" s="146"/>
      <c r="M4" s="146"/>
      <c r="N4" s="146"/>
      <c r="O4" s="146"/>
      <c r="P4" s="146"/>
      <c r="Q4" s="146"/>
      <c r="R4" s="146"/>
      <c r="S4" s="146"/>
      <c r="T4" s="146"/>
      <c r="U4" s="146"/>
      <c r="V4" s="146"/>
    </row>
    <row r="5" spans="1:22" ht="64.2" customHeight="1" thickTop="1" thickBot="1">
      <c r="A5" s="163"/>
      <c r="B5" s="339" t="s">
        <v>8</v>
      </c>
      <c r="C5" s="342">
        <v>2030</v>
      </c>
      <c r="D5" s="338"/>
      <c r="E5" s="146"/>
      <c r="F5" s="146"/>
      <c r="G5" s="146"/>
      <c r="H5" s="146"/>
      <c r="I5" s="146"/>
      <c r="J5" s="146"/>
      <c r="K5" s="146"/>
      <c r="L5" s="146"/>
      <c r="M5" s="146"/>
      <c r="N5" s="146"/>
      <c r="O5" s="146"/>
      <c r="P5" s="146"/>
      <c r="Q5" s="146"/>
      <c r="R5" s="146"/>
      <c r="S5" s="146"/>
      <c r="T5" s="146"/>
      <c r="U5" s="146"/>
      <c r="V5" s="146"/>
    </row>
    <row r="6" spans="1:22" ht="15" thickTop="1">
      <c r="A6" s="146"/>
      <c r="B6" s="146"/>
      <c r="C6" s="338"/>
      <c r="D6" s="146"/>
      <c r="E6" s="146"/>
      <c r="F6" s="146"/>
      <c r="G6" s="146"/>
      <c r="H6" s="146"/>
      <c r="I6" s="146"/>
      <c r="J6" s="146"/>
      <c r="K6" s="146"/>
      <c r="L6" s="146"/>
      <c r="M6" s="146"/>
      <c r="N6" s="146"/>
      <c r="O6" s="146"/>
      <c r="P6" s="146"/>
      <c r="Q6" s="146"/>
      <c r="R6" s="146"/>
      <c r="S6" s="146"/>
      <c r="T6" s="146"/>
      <c r="U6" s="146"/>
      <c r="V6" s="146"/>
    </row>
    <row r="7" spans="1:22">
      <c r="A7" s="146"/>
      <c r="B7" s="146"/>
      <c r="C7" s="146"/>
      <c r="D7" s="146"/>
      <c r="E7" s="146"/>
      <c r="F7" s="146"/>
      <c r="G7" s="146"/>
      <c r="H7" s="146"/>
      <c r="I7" s="146"/>
      <c r="J7" s="146"/>
      <c r="K7" s="146"/>
      <c r="L7" s="146"/>
      <c r="M7" s="146"/>
      <c r="N7" s="146"/>
      <c r="O7" s="146"/>
      <c r="P7" s="146"/>
      <c r="Q7" s="146"/>
      <c r="R7" s="146"/>
      <c r="S7" s="146"/>
      <c r="T7" s="146"/>
      <c r="U7" s="146"/>
      <c r="V7" s="146"/>
    </row>
    <row r="8" spans="1:22">
      <c r="A8" s="146"/>
      <c r="B8" s="146"/>
      <c r="C8" s="146"/>
      <c r="D8" s="146"/>
      <c r="E8" s="146"/>
      <c r="F8" s="146"/>
      <c r="G8" s="146"/>
      <c r="H8" s="146"/>
      <c r="I8" s="146"/>
      <c r="J8" s="146"/>
      <c r="K8" s="146"/>
      <c r="L8" s="146"/>
      <c r="M8" s="146"/>
      <c r="N8" s="146"/>
      <c r="O8" s="146"/>
      <c r="P8" s="146"/>
      <c r="Q8" s="146"/>
      <c r="R8" s="146"/>
      <c r="S8" s="146"/>
      <c r="T8" s="146"/>
      <c r="U8" s="146"/>
      <c r="V8" s="146"/>
    </row>
    <row r="9" spans="1:22">
      <c r="A9" s="146"/>
      <c r="B9" s="337" t="s">
        <v>370</v>
      </c>
      <c r="C9" s="340" t="s">
        <v>647</v>
      </c>
      <c r="D9" s="146"/>
      <c r="E9" s="146"/>
      <c r="F9" s="146"/>
      <c r="G9" s="146"/>
      <c r="H9" s="146"/>
      <c r="I9" s="146"/>
      <c r="J9" s="146"/>
      <c r="K9" s="146"/>
      <c r="L9" s="146"/>
      <c r="M9" s="146"/>
      <c r="N9" s="146"/>
      <c r="O9" s="146"/>
      <c r="P9" s="146"/>
      <c r="Q9" s="146"/>
      <c r="R9" s="146"/>
      <c r="S9" s="146"/>
      <c r="T9" s="146"/>
      <c r="U9" s="146"/>
      <c r="V9" s="146"/>
    </row>
    <row r="10" spans="1:22">
      <c r="A10" s="146"/>
      <c r="B10" s="146"/>
      <c r="C10" s="146"/>
      <c r="D10" s="146"/>
      <c r="E10" s="146"/>
      <c r="F10" s="146"/>
      <c r="G10" s="146"/>
      <c r="H10" s="146"/>
      <c r="I10" s="146"/>
      <c r="J10" s="146"/>
      <c r="K10" s="146"/>
      <c r="L10" s="146"/>
      <c r="M10" s="146"/>
      <c r="N10" s="146"/>
      <c r="O10" s="146"/>
      <c r="P10" s="146"/>
      <c r="Q10" s="146"/>
      <c r="R10" s="146"/>
      <c r="S10" s="146"/>
      <c r="T10" s="146"/>
      <c r="U10" s="146"/>
      <c r="V10" s="146"/>
    </row>
    <row r="11" spans="1:22">
      <c r="A11" s="146"/>
      <c r="B11" s="146"/>
      <c r="C11" s="146"/>
      <c r="D11" s="146"/>
      <c r="E11" s="146"/>
      <c r="F11" s="146"/>
      <c r="G11" s="146"/>
      <c r="H11" s="146"/>
      <c r="I11" s="146"/>
      <c r="J11" s="146"/>
      <c r="K11" s="146"/>
      <c r="L11" s="146"/>
      <c r="M11" s="146"/>
      <c r="N11" s="146"/>
      <c r="O11" s="146"/>
      <c r="P11" s="146"/>
      <c r="Q11" s="146"/>
      <c r="R11" s="146"/>
      <c r="S11" s="146"/>
      <c r="T11" s="146"/>
      <c r="U11" s="146"/>
      <c r="V11" s="146"/>
    </row>
    <row r="12" spans="1:22">
      <c r="A12" s="146"/>
      <c r="B12" s="146"/>
      <c r="C12" s="146"/>
      <c r="D12" s="146"/>
      <c r="E12" s="146"/>
      <c r="F12" s="146"/>
      <c r="G12" s="146"/>
      <c r="H12" s="146"/>
      <c r="I12" s="146"/>
      <c r="J12" s="146"/>
      <c r="K12" s="146"/>
      <c r="L12" s="146"/>
      <c r="M12" s="146"/>
      <c r="N12" s="146"/>
      <c r="O12" s="146"/>
      <c r="P12" s="146"/>
      <c r="Q12" s="146"/>
      <c r="R12" s="146"/>
      <c r="S12" s="146"/>
      <c r="T12" s="146"/>
      <c r="U12" s="146"/>
      <c r="V12" s="146"/>
    </row>
    <row r="13" spans="1:22">
      <c r="A13" s="146"/>
      <c r="B13" s="146"/>
      <c r="C13" s="146"/>
      <c r="D13" s="146"/>
      <c r="E13" s="146"/>
      <c r="F13" s="146"/>
      <c r="G13" s="146"/>
      <c r="H13" s="146"/>
      <c r="I13" s="146"/>
      <c r="J13" s="146"/>
      <c r="K13" s="146"/>
      <c r="L13" s="146"/>
      <c r="M13" s="146"/>
      <c r="N13" s="146"/>
      <c r="O13" s="146"/>
      <c r="P13" s="146"/>
      <c r="Q13" s="146"/>
      <c r="R13" s="146"/>
      <c r="S13" s="146"/>
      <c r="T13" s="146"/>
      <c r="U13" s="146"/>
      <c r="V13" s="146"/>
    </row>
    <row r="14" spans="1:22">
      <c r="A14" s="146"/>
      <c r="B14" s="146"/>
      <c r="C14" s="146"/>
      <c r="D14" s="146"/>
      <c r="E14" s="146"/>
      <c r="F14" s="146"/>
      <c r="G14" s="146"/>
      <c r="H14" s="146"/>
      <c r="I14" s="146"/>
      <c r="J14" s="146"/>
      <c r="K14" s="146"/>
      <c r="L14" s="146"/>
      <c r="M14" s="146"/>
      <c r="N14" s="146"/>
      <c r="O14" s="146"/>
      <c r="P14" s="146"/>
      <c r="Q14" s="146"/>
      <c r="R14" s="146"/>
      <c r="S14" s="146"/>
      <c r="T14" s="146"/>
      <c r="U14" s="146"/>
      <c r="V14" s="146"/>
    </row>
    <row r="15" spans="1:22">
      <c r="A15" s="146"/>
      <c r="B15" s="146"/>
      <c r="C15" s="146"/>
      <c r="D15" s="146"/>
      <c r="E15" s="146"/>
      <c r="F15" s="146"/>
      <c r="G15" s="146"/>
      <c r="H15" s="146"/>
      <c r="I15" s="146"/>
      <c r="J15" s="146"/>
      <c r="K15" s="146"/>
      <c r="L15" s="146"/>
      <c r="M15" s="146"/>
      <c r="N15" s="146"/>
      <c r="O15" s="146"/>
      <c r="P15" s="146"/>
      <c r="Q15" s="146"/>
      <c r="R15" s="146"/>
      <c r="S15" s="146"/>
      <c r="T15" s="146"/>
      <c r="U15" s="146"/>
      <c r="V15" s="146"/>
    </row>
    <row r="16" spans="1:22">
      <c r="A16" s="146"/>
      <c r="B16" s="146"/>
      <c r="C16" s="146"/>
      <c r="D16" s="146"/>
      <c r="E16" s="146"/>
      <c r="F16" s="146"/>
      <c r="G16" s="146"/>
      <c r="H16" s="146"/>
      <c r="I16" s="146"/>
      <c r="J16" s="146"/>
      <c r="K16" s="146"/>
      <c r="L16" s="146"/>
      <c r="M16" s="146"/>
      <c r="N16" s="146"/>
      <c r="O16" s="146"/>
      <c r="P16" s="146"/>
      <c r="Q16" s="146"/>
      <c r="R16" s="146"/>
      <c r="S16" s="146"/>
      <c r="T16" s="146"/>
      <c r="U16" s="146"/>
      <c r="V16" s="146"/>
    </row>
    <row r="17" spans="1:22">
      <c r="A17" s="146"/>
      <c r="B17" s="146"/>
      <c r="C17" s="146"/>
      <c r="D17" s="146"/>
      <c r="E17" s="146"/>
      <c r="F17" s="146"/>
      <c r="G17" s="146"/>
      <c r="H17" s="146"/>
      <c r="I17" s="146"/>
      <c r="J17" s="146"/>
      <c r="K17" s="146"/>
      <c r="L17" s="146"/>
      <c r="M17" s="146"/>
      <c r="N17" s="146"/>
      <c r="O17" s="146"/>
      <c r="P17" s="146"/>
      <c r="Q17" s="146"/>
      <c r="R17" s="146"/>
      <c r="S17" s="146"/>
      <c r="T17" s="146"/>
      <c r="U17" s="146"/>
      <c r="V17" s="146"/>
    </row>
    <row r="18" spans="1:22">
      <c r="A18" s="146"/>
      <c r="B18" s="146"/>
      <c r="C18" s="146"/>
      <c r="D18" s="146"/>
      <c r="E18" s="146"/>
      <c r="F18" s="146"/>
      <c r="G18" s="146"/>
      <c r="H18" s="146"/>
      <c r="I18" s="146"/>
      <c r="J18" s="146"/>
      <c r="K18" s="146"/>
      <c r="L18" s="146"/>
      <c r="M18" s="146"/>
      <c r="N18" s="146"/>
      <c r="O18" s="146"/>
      <c r="P18" s="146"/>
      <c r="Q18" s="146"/>
      <c r="R18" s="146"/>
      <c r="S18" s="146"/>
      <c r="T18" s="146"/>
      <c r="U18" s="146"/>
      <c r="V18" s="146"/>
    </row>
    <row r="19" spans="1:22">
      <c r="A19" s="146"/>
      <c r="B19" s="146"/>
      <c r="C19" s="146"/>
      <c r="D19" s="146"/>
      <c r="E19" s="146"/>
      <c r="F19" s="146"/>
      <c r="G19" s="146"/>
      <c r="H19" s="146"/>
      <c r="I19" s="146"/>
      <c r="J19" s="146"/>
      <c r="K19" s="146"/>
      <c r="L19" s="146"/>
      <c r="M19" s="146"/>
      <c r="N19" s="146"/>
      <c r="O19" s="146"/>
      <c r="P19" s="146"/>
      <c r="Q19" s="146"/>
      <c r="R19" s="146"/>
      <c r="S19" s="146"/>
      <c r="T19" s="146"/>
      <c r="U19" s="146"/>
      <c r="V19" s="146"/>
    </row>
    <row r="20" spans="1:22">
      <c r="A20" s="146"/>
      <c r="B20" s="146"/>
      <c r="C20" s="146"/>
      <c r="D20" s="146"/>
      <c r="E20" s="146"/>
      <c r="F20" s="146"/>
      <c r="G20" s="146"/>
      <c r="H20" s="146"/>
      <c r="I20" s="146"/>
      <c r="J20" s="146"/>
      <c r="K20" s="146"/>
      <c r="L20" s="146"/>
      <c r="M20" s="146"/>
      <c r="N20" s="146"/>
      <c r="O20" s="146"/>
      <c r="P20" s="146"/>
      <c r="Q20" s="146"/>
      <c r="R20" s="146"/>
      <c r="S20" s="146"/>
      <c r="T20" s="146"/>
      <c r="U20" s="146"/>
      <c r="V20" s="146"/>
    </row>
    <row r="21" spans="1:22">
      <c r="A21" s="146"/>
      <c r="B21" s="146"/>
      <c r="C21" s="146"/>
      <c r="D21" s="146"/>
      <c r="E21" s="146"/>
      <c r="F21" s="146"/>
      <c r="G21" s="146"/>
      <c r="H21" s="146"/>
      <c r="I21" s="146"/>
      <c r="J21" s="146"/>
      <c r="K21" s="146"/>
      <c r="L21" s="146"/>
      <c r="M21" s="146"/>
      <c r="N21" s="146"/>
      <c r="O21" s="146"/>
      <c r="P21" s="146"/>
      <c r="Q21" s="146"/>
      <c r="R21" s="146"/>
      <c r="S21" s="146"/>
      <c r="T21" s="146"/>
      <c r="U21" s="146"/>
      <c r="V21" s="146"/>
    </row>
    <row r="22" spans="1:22">
      <c r="A22" s="146"/>
      <c r="B22" s="146"/>
      <c r="C22" s="146"/>
      <c r="D22" s="146"/>
      <c r="E22" s="146"/>
      <c r="F22" s="146"/>
      <c r="G22" s="146"/>
      <c r="H22" s="146"/>
      <c r="I22" s="146"/>
      <c r="J22" s="146"/>
      <c r="K22" s="146"/>
      <c r="L22" s="146"/>
      <c r="M22" s="146"/>
      <c r="N22" s="146"/>
      <c r="O22" s="146"/>
      <c r="P22" s="146"/>
      <c r="Q22" s="146"/>
      <c r="R22" s="146"/>
      <c r="S22" s="146"/>
      <c r="T22" s="146"/>
      <c r="U22" s="146"/>
      <c r="V22" s="146"/>
    </row>
    <row r="23" spans="1:22">
      <c r="A23" s="146"/>
      <c r="B23" s="146"/>
      <c r="C23" s="146"/>
      <c r="D23" s="146"/>
      <c r="E23" s="146"/>
      <c r="F23" s="146"/>
      <c r="G23" s="146"/>
      <c r="H23" s="146"/>
      <c r="I23" s="146"/>
      <c r="J23" s="146"/>
      <c r="K23" s="146"/>
      <c r="L23" s="146"/>
      <c r="M23" s="146"/>
      <c r="N23" s="146"/>
      <c r="O23" s="146"/>
      <c r="P23" s="146"/>
      <c r="Q23" s="146"/>
      <c r="R23" s="146"/>
      <c r="S23" s="146"/>
      <c r="T23" s="146"/>
      <c r="U23" s="146"/>
      <c r="V23" s="146"/>
    </row>
    <row r="24" spans="1:22">
      <c r="A24" s="146"/>
      <c r="B24" s="146"/>
      <c r="C24" s="146"/>
      <c r="D24" s="146"/>
      <c r="E24" s="146"/>
      <c r="F24" s="146"/>
      <c r="G24" s="146"/>
      <c r="H24" s="146"/>
      <c r="I24" s="146"/>
      <c r="J24" s="146"/>
      <c r="K24" s="146"/>
      <c r="L24" s="146"/>
      <c r="M24" s="146"/>
      <c r="N24" s="146"/>
      <c r="O24" s="146"/>
      <c r="P24" s="146"/>
      <c r="Q24" s="146"/>
      <c r="R24" s="146"/>
      <c r="S24" s="146"/>
      <c r="T24" s="146"/>
      <c r="U24" s="146"/>
      <c r="V24" s="146"/>
    </row>
    <row r="25" spans="1:22">
      <c r="A25" s="146"/>
      <c r="B25" s="146"/>
      <c r="C25" s="146"/>
      <c r="D25" s="146"/>
      <c r="E25" s="146"/>
      <c r="F25" s="146"/>
      <c r="G25" s="146"/>
      <c r="H25" s="146"/>
      <c r="I25" s="146"/>
      <c r="J25" s="146"/>
      <c r="K25" s="146"/>
      <c r="L25" s="146"/>
      <c r="M25" s="146"/>
      <c r="N25" s="146"/>
      <c r="O25" s="146"/>
      <c r="P25" s="146"/>
      <c r="Q25" s="146"/>
      <c r="R25" s="146"/>
      <c r="S25" s="146"/>
      <c r="T25" s="146"/>
      <c r="U25" s="146"/>
      <c r="V25" s="146"/>
    </row>
    <row r="26" spans="1:22">
      <c r="A26" s="146"/>
      <c r="B26" s="146"/>
      <c r="C26" s="146"/>
      <c r="D26" s="146"/>
      <c r="E26" s="146"/>
      <c r="F26" s="146"/>
      <c r="G26" s="146"/>
      <c r="H26" s="146"/>
      <c r="I26" s="146"/>
      <c r="J26" s="146"/>
      <c r="K26" s="146"/>
      <c r="L26" s="146"/>
      <c r="M26" s="146"/>
      <c r="N26" s="146"/>
      <c r="O26" s="146"/>
      <c r="P26" s="146"/>
      <c r="Q26" s="146"/>
      <c r="R26" s="146"/>
      <c r="S26" s="146"/>
      <c r="T26" s="146"/>
      <c r="U26" s="146"/>
      <c r="V26" s="146"/>
    </row>
    <row r="27" spans="1:22">
      <c r="A27" s="146"/>
      <c r="B27" s="146"/>
      <c r="C27" s="146"/>
      <c r="D27" s="146"/>
      <c r="E27" s="146"/>
      <c r="F27" s="146"/>
      <c r="G27" s="146"/>
      <c r="H27" s="146"/>
      <c r="I27" s="146"/>
      <c r="J27" s="146"/>
      <c r="K27" s="146"/>
      <c r="L27" s="146"/>
      <c r="M27" s="146"/>
      <c r="N27" s="146"/>
      <c r="O27" s="146"/>
      <c r="P27" s="146"/>
      <c r="Q27" s="146"/>
      <c r="R27" s="146"/>
      <c r="S27" s="146"/>
      <c r="T27" s="146"/>
      <c r="U27" s="146"/>
      <c r="V27" s="146"/>
    </row>
    <row r="28" spans="1:22">
      <c r="A28" s="146"/>
      <c r="B28" s="146"/>
      <c r="C28" s="146"/>
      <c r="D28" s="146"/>
      <c r="E28" s="146"/>
      <c r="F28" s="146"/>
      <c r="G28" s="146"/>
      <c r="H28" s="146"/>
      <c r="I28" s="146"/>
      <c r="J28" s="146"/>
      <c r="K28" s="146"/>
      <c r="L28" s="146"/>
      <c r="M28" s="146"/>
      <c r="N28" s="146"/>
      <c r="O28" s="146"/>
      <c r="P28" s="146"/>
      <c r="Q28" s="146"/>
      <c r="R28" s="146"/>
      <c r="S28" s="146"/>
      <c r="T28" s="146"/>
      <c r="U28" s="146"/>
      <c r="V28" s="146"/>
    </row>
    <row r="29" spans="1:22">
      <c r="A29" s="146"/>
      <c r="B29" s="146"/>
      <c r="C29" s="146"/>
      <c r="D29" s="146"/>
      <c r="E29" s="146"/>
      <c r="F29" s="146"/>
      <c r="G29" s="146"/>
      <c r="H29" s="146"/>
      <c r="I29" s="146"/>
      <c r="J29" s="146"/>
      <c r="K29" s="146"/>
      <c r="L29" s="146"/>
      <c r="M29" s="146"/>
      <c r="N29" s="146"/>
      <c r="O29" s="146"/>
      <c r="P29" s="146"/>
      <c r="Q29" s="146"/>
      <c r="R29" s="146"/>
      <c r="S29" s="146"/>
      <c r="T29" s="146"/>
      <c r="U29" s="146"/>
      <c r="V29" s="146"/>
    </row>
    <row r="30" spans="1:22">
      <c r="A30" s="146"/>
      <c r="B30" s="146"/>
      <c r="C30" s="146"/>
      <c r="D30" s="146"/>
      <c r="E30" s="146"/>
      <c r="F30" s="146"/>
      <c r="G30" s="146"/>
      <c r="H30" s="146"/>
      <c r="I30" s="146"/>
      <c r="J30" s="146"/>
      <c r="K30" s="146"/>
      <c r="L30" s="146"/>
      <c r="M30" s="146"/>
      <c r="N30" s="146"/>
      <c r="O30" s="146"/>
      <c r="P30" s="146"/>
      <c r="Q30" s="146"/>
      <c r="R30" s="146"/>
      <c r="S30" s="146"/>
      <c r="T30" s="146"/>
      <c r="U30" s="146"/>
      <c r="V30" s="146"/>
    </row>
    <row r="31" spans="1:22">
      <c r="A31" s="146"/>
      <c r="B31" s="146"/>
      <c r="C31" s="146"/>
      <c r="D31" s="146"/>
      <c r="E31" s="146"/>
      <c r="F31" s="146"/>
      <c r="G31" s="146"/>
      <c r="H31" s="146"/>
      <c r="I31" s="146"/>
      <c r="J31" s="146"/>
      <c r="K31" s="146"/>
      <c r="L31" s="146"/>
      <c r="M31" s="146"/>
      <c r="N31" s="146"/>
      <c r="O31" s="146"/>
      <c r="P31" s="146"/>
      <c r="Q31" s="146"/>
      <c r="R31" s="146"/>
      <c r="S31" s="146"/>
      <c r="T31" s="146"/>
      <c r="U31" s="146"/>
      <c r="V31" s="146"/>
    </row>
    <row r="32" spans="1:22">
      <c r="A32" s="146"/>
      <c r="B32" s="146"/>
      <c r="C32" s="146"/>
      <c r="D32" s="146"/>
      <c r="E32" s="146"/>
      <c r="F32" s="146"/>
      <c r="G32" s="146"/>
      <c r="H32" s="146"/>
      <c r="I32" s="146"/>
      <c r="J32" s="146"/>
      <c r="K32" s="146"/>
      <c r="L32" s="146"/>
      <c r="M32" s="146"/>
      <c r="N32" s="146"/>
      <c r="O32" s="146"/>
      <c r="P32" s="146"/>
      <c r="Q32" s="146"/>
      <c r="R32" s="146"/>
      <c r="S32" s="146"/>
      <c r="T32" s="146"/>
      <c r="U32" s="146"/>
      <c r="V32" s="146"/>
    </row>
    <row r="33" spans="1:22">
      <c r="A33" s="146"/>
      <c r="B33" s="146"/>
      <c r="C33" s="146"/>
      <c r="D33" s="146"/>
      <c r="E33" s="146"/>
      <c r="F33" s="146"/>
      <c r="G33" s="146"/>
      <c r="H33" s="146"/>
      <c r="I33" s="146"/>
      <c r="J33" s="146"/>
      <c r="K33" s="146"/>
      <c r="L33" s="146"/>
      <c r="M33" s="146"/>
      <c r="N33" s="146"/>
      <c r="O33" s="146"/>
      <c r="P33" s="146"/>
      <c r="Q33" s="146"/>
      <c r="R33" s="146"/>
      <c r="S33" s="146"/>
      <c r="T33" s="146"/>
      <c r="U33" s="146"/>
      <c r="V33" s="146"/>
    </row>
    <row r="34" spans="1:22">
      <c r="A34" s="146"/>
      <c r="B34" s="146"/>
      <c r="C34" s="146"/>
      <c r="D34" s="146"/>
      <c r="E34" s="146"/>
      <c r="F34" s="146"/>
      <c r="G34" s="146"/>
      <c r="H34" s="146"/>
      <c r="I34" s="146"/>
      <c r="J34" s="146"/>
      <c r="K34" s="146"/>
      <c r="L34" s="146"/>
      <c r="M34" s="146"/>
      <c r="N34" s="146"/>
      <c r="O34" s="146"/>
      <c r="P34" s="146"/>
      <c r="Q34" s="146"/>
      <c r="R34" s="146"/>
      <c r="S34" s="146"/>
      <c r="T34" s="146"/>
      <c r="U34" s="146"/>
      <c r="V34" s="146"/>
    </row>
    <row r="35" spans="1:22">
      <c r="A35" s="146"/>
      <c r="B35" s="146"/>
      <c r="C35" s="146"/>
      <c r="D35" s="146"/>
      <c r="E35" s="146"/>
      <c r="F35" s="146"/>
      <c r="G35" s="146"/>
      <c r="H35" s="146"/>
      <c r="I35" s="146"/>
      <c r="J35" s="146"/>
      <c r="K35" s="146"/>
      <c r="L35" s="146"/>
      <c r="M35" s="146"/>
      <c r="N35" s="146"/>
      <c r="O35" s="146"/>
      <c r="P35" s="146"/>
      <c r="Q35" s="146"/>
      <c r="R35" s="146"/>
      <c r="S35" s="146"/>
      <c r="T35" s="146"/>
      <c r="U35" s="146"/>
      <c r="V35" s="146"/>
    </row>
    <row r="36" spans="1:22">
      <c r="A36" s="146"/>
      <c r="B36" s="146"/>
      <c r="C36" s="146"/>
      <c r="D36" s="146"/>
      <c r="E36" s="146"/>
      <c r="F36" s="146"/>
      <c r="G36" s="146"/>
      <c r="H36" s="146"/>
      <c r="I36" s="146"/>
      <c r="J36" s="146"/>
      <c r="K36" s="146"/>
      <c r="L36" s="146"/>
      <c r="M36" s="146"/>
      <c r="N36" s="146"/>
      <c r="O36" s="146"/>
      <c r="P36" s="146"/>
      <c r="Q36" s="146"/>
      <c r="R36" s="146"/>
      <c r="S36" s="146"/>
      <c r="T36" s="146"/>
      <c r="U36" s="146"/>
      <c r="V36" s="146"/>
    </row>
    <row r="37" spans="1:22">
      <c r="A37" s="146"/>
      <c r="B37" s="146"/>
      <c r="C37" s="146"/>
      <c r="D37" s="146"/>
      <c r="E37" s="146"/>
      <c r="F37" s="146"/>
      <c r="G37" s="146"/>
      <c r="H37" s="146"/>
      <c r="I37" s="146"/>
      <c r="J37" s="146"/>
      <c r="K37" s="146"/>
      <c r="L37" s="146"/>
      <c r="M37" s="146"/>
      <c r="N37" s="146"/>
      <c r="O37" s="146"/>
      <c r="P37" s="146"/>
      <c r="Q37" s="146"/>
      <c r="R37" s="146"/>
      <c r="S37" s="146"/>
      <c r="T37" s="146"/>
      <c r="U37" s="146"/>
      <c r="V37" s="146"/>
    </row>
    <row r="38" spans="1:22">
      <c r="A38" s="146"/>
      <c r="B38" s="146"/>
      <c r="C38" s="146"/>
      <c r="D38" s="146"/>
      <c r="E38" s="146"/>
      <c r="F38" s="146"/>
      <c r="G38" s="146"/>
      <c r="H38" s="146"/>
      <c r="I38" s="146"/>
      <c r="J38" s="146"/>
      <c r="K38" s="146"/>
      <c r="L38" s="146"/>
      <c r="M38" s="146"/>
      <c r="N38" s="146"/>
      <c r="O38" s="146"/>
      <c r="P38" s="146"/>
      <c r="Q38" s="146"/>
      <c r="R38" s="146"/>
      <c r="S38" s="146"/>
      <c r="T38" s="146"/>
      <c r="U38" s="146"/>
      <c r="V38" s="146"/>
    </row>
    <row r="39" spans="1:22">
      <c r="A39" s="146"/>
      <c r="B39" s="146"/>
      <c r="C39" s="146"/>
      <c r="D39" s="146"/>
      <c r="E39" s="146"/>
      <c r="F39" s="146"/>
      <c r="G39" s="146"/>
      <c r="H39" s="146"/>
      <c r="I39" s="146"/>
      <c r="J39" s="146"/>
      <c r="K39" s="146"/>
      <c r="L39" s="146"/>
      <c r="M39" s="146"/>
      <c r="N39" s="146"/>
      <c r="O39" s="146"/>
      <c r="P39" s="146"/>
      <c r="Q39" s="146"/>
      <c r="R39" s="146"/>
      <c r="S39" s="146"/>
      <c r="T39" s="146"/>
      <c r="U39" s="146"/>
      <c r="V39" s="146"/>
    </row>
    <row r="40" spans="1:22">
      <c r="A40" s="146"/>
      <c r="B40" s="146"/>
      <c r="C40" s="146"/>
      <c r="D40" s="146"/>
      <c r="E40" s="146"/>
      <c r="F40" s="146"/>
      <c r="G40" s="146"/>
      <c r="H40" s="146"/>
      <c r="I40" s="146"/>
      <c r="J40" s="146"/>
      <c r="K40" s="146"/>
      <c r="L40" s="146"/>
      <c r="M40" s="146"/>
      <c r="N40" s="146"/>
      <c r="O40" s="146"/>
      <c r="P40" s="146"/>
      <c r="Q40" s="146"/>
      <c r="R40" s="146"/>
      <c r="S40" s="146"/>
      <c r="T40" s="146"/>
      <c r="U40" s="146"/>
      <c r="V40" s="146"/>
    </row>
    <row r="41" spans="1:22">
      <c r="A41" s="146"/>
      <c r="B41" s="146"/>
      <c r="C41" s="146"/>
      <c r="D41" s="146"/>
      <c r="E41" s="146"/>
      <c r="F41" s="146"/>
      <c r="G41" s="146"/>
      <c r="H41" s="146"/>
      <c r="I41" s="146"/>
      <c r="J41" s="146"/>
      <c r="K41" s="146"/>
      <c r="L41" s="146"/>
      <c r="M41" s="146"/>
      <c r="N41" s="146"/>
      <c r="O41" s="146"/>
      <c r="P41" s="146"/>
      <c r="Q41" s="146"/>
      <c r="R41" s="146"/>
      <c r="S41" s="146"/>
      <c r="T41" s="146"/>
      <c r="U41" s="146"/>
      <c r="V41" s="146"/>
    </row>
    <row r="42" spans="1:22">
      <c r="A42" s="146"/>
      <c r="B42" s="146"/>
      <c r="C42" s="146"/>
      <c r="D42" s="146"/>
      <c r="E42" s="146"/>
      <c r="F42" s="146"/>
      <c r="G42" s="146"/>
      <c r="H42" s="146"/>
      <c r="I42" s="146"/>
      <c r="J42" s="146"/>
      <c r="K42" s="146"/>
      <c r="L42" s="146"/>
      <c r="M42" s="146"/>
      <c r="N42" s="146"/>
      <c r="O42" s="146"/>
      <c r="P42" s="146"/>
      <c r="Q42" s="146"/>
      <c r="R42" s="146"/>
      <c r="S42" s="146"/>
      <c r="T42" s="146"/>
      <c r="U42" s="146"/>
      <c r="V42" s="146"/>
    </row>
    <row r="43" spans="1:22">
      <c r="A43" s="146"/>
      <c r="B43" s="146"/>
      <c r="C43" s="146"/>
      <c r="D43" s="146"/>
      <c r="E43" s="146"/>
      <c r="F43" s="146"/>
      <c r="G43" s="146"/>
      <c r="H43" s="146"/>
      <c r="I43" s="146"/>
      <c r="J43" s="146"/>
      <c r="K43" s="146"/>
      <c r="L43" s="146"/>
      <c r="M43" s="146"/>
      <c r="N43" s="146"/>
      <c r="O43" s="146"/>
      <c r="P43" s="146"/>
      <c r="Q43" s="146"/>
      <c r="R43" s="146"/>
      <c r="S43" s="146"/>
      <c r="T43" s="146"/>
      <c r="U43" s="146"/>
      <c r="V43" s="146"/>
    </row>
    <row r="44" spans="1:22">
      <c r="A44" s="146"/>
      <c r="B44" s="146"/>
      <c r="C44" s="146"/>
      <c r="D44" s="146"/>
      <c r="E44" s="146"/>
      <c r="F44" s="146"/>
      <c r="G44" s="146"/>
      <c r="H44" s="146"/>
      <c r="I44" s="146"/>
      <c r="J44" s="146"/>
      <c r="K44" s="146"/>
      <c r="L44" s="146"/>
      <c r="M44" s="146"/>
      <c r="N44" s="146"/>
      <c r="O44" s="146"/>
      <c r="P44" s="146"/>
      <c r="Q44" s="146"/>
      <c r="R44" s="146"/>
      <c r="S44" s="146"/>
      <c r="T44" s="146"/>
      <c r="U44" s="146"/>
      <c r="V44" s="146"/>
    </row>
    <row r="45" spans="1:22">
      <c r="A45" s="146"/>
      <c r="B45" s="146"/>
      <c r="C45" s="146"/>
      <c r="D45" s="146"/>
      <c r="E45" s="146"/>
      <c r="F45" s="146"/>
      <c r="G45" s="146"/>
      <c r="H45" s="146"/>
      <c r="I45" s="146"/>
      <c r="J45" s="146"/>
      <c r="K45" s="146"/>
      <c r="L45" s="146"/>
      <c r="M45" s="146"/>
      <c r="N45" s="146"/>
      <c r="O45" s="146"/>
      <c r="P45" s="146"/>
      <c r="Q45" s="146"/>
      <c r="R45" s="146"/>
      <c r="S45" s="146"/>
      <c r="T45" s="146"/>
      <c r="U45" s="146"/>
      <c r="V45" s="146"/>
    </row>
    <row r="46" spans="1:22">
      <c r="A46" s="146"/>
      <c r="B46" s="146"/>
      <c r="C46" s="146"/>
      <c r="D46" s="146"/>
      <c r="E46" s="146"/>
      <c r="F46" s="146"/>
      <c r="G46" s="146"/>
      <c r="H46" s="146"/>
      <c r="I46" s="146"/>
      <c r="J46" s="146"/>
      <c r="K46" s="146"/>
      <c r="L46" s="146"/>
      <c r="M46" s="146"/>
      <c r="N46" s="146"/>
      <c r="O46" s="146"/>
      <c r="P46" s="146"/>
      <c r="Q46" s="146"/>
      <c r="R46" s="146"/>
      <c r="S46" s="146"/>
      <c r="T46" s="146"/>
      <c r="U46" s="146"/>
      <c r="V46" s="146"/>
    </row>
    <row r="47" spans="1:22">
      <c r="A47" s="146"/>
      <c r="B47" s="146"/>
      <c r="C47" s="146"/>
      <c r="D47" s="146"/>
      <c r="E47" s="146"/>
      <c r="F47" s="146"/>
      <c r="G47" s="146"/>
      <c r="H47" s="146"/>
      <c r="I47" s="146"/>
      <c r="J47" s="146"/>
      <c r="K47" s="146"/>
      <c r="L47" s="146"/>
      <c r="M47" s="146"/>
      <c r="N47" s="146"/>
      <c r="O47" s="146"/>
      <c r="P47" s="146"/>
      <c r="Q47" s="146"/>
      <c r="R47" s="146"/>
      <c r="S47" s="146"/>
      <c r="T47" s="146"/>
      <c r="U47" s="146"/>
      <c r="V47" s="146"/>
    </row>
    <row r="48" spans="1:22">
      <c r="A48" s="146"/>
      <c r="B48" s="146"/>
      <c r="C48" s="146"/>
      <c r="D48" s="146"/>
      <c r="E48" s="146"/>
      <c r="F48" s="146"/>
      <c r="G48" s="146"/>
      <c r="H48" s="146"/>
      <c r="I48" s="146"/>
      <c r="J48" s="146"/>
      <c r="K48" s="146"/>
      <c r="L48" s="146"/>
      <c r="M48" s="146"/>
      <c r="N48" s="146"/>
      <c r="O48" s="146"/>
      <c r="P48" s="146"/>
      <c r="Q48" s="146"/>
      <c r="R48" s="146"/>
      <c r="S48" s="146"/>
      <c r="T48" s="146"/>
      <c r="U48" s="146"/>
      <c r="V48" s="146"/>
    </row>
    <row r="49" spans="1:22">
      <c r="A49" s="146"/>
      <c r="B49" s="146"/>
      <c r="C49" s="146"/>
      <c r="D49" s="146"/>
      <c r="E49" s="146"/>
      <c r="F49" s="146"/>
      <c r="G49" s="146"/>
      <c r="H49" s="146"/>
      <c r="I49" s="146"/>
      <c r="J49" s="146"/>
      <c r="K49" s="146"/>
      <c r="L49" s="146"/>
      <c r="M49" s="146"/>
      <c r="N49" s="146"/>
      <c r="O49" s="146"/>
      <c r="P49" s="146"/>
      <c r="Q49" s="146"/>
      <c r="R49" s="146"/>
      <c r="S49" s="146"/>
      <c r="T49" s="146"/>
      <c r="U49" s="146"/>
      <c r="V49" s="146"/>
    </row>
    <row r="50" spans="1:22">
      <c r="A50" s="146"/>
      <c r="B50" s="146"/>
      <c r="C50" s="146"/>
      <c r="D50" s="146"/>
      <c r="E50" s="146"/>
      <c r="F50" s="146"/>
      <c r="G50" s="146"/>
      <c r="H50" s="146"/>
      <c r="I50" s="146"/>
      <c r="J50" s="146"/>
      <c r="K50" s="146"/>
      <c r="L50" s="146"/>
      <c r="M50" s="146"/>
      <c r="N50" s="146"/>
      <c r="O50" s="146"/>
      <c r="P50" s="146"/>
      <c r="Q50" s="146"/>
      <c r="R50" s="146"/>
      <c r="S50" s="146"/>
      <c r="T50" s="146"/>
      <c r="U50" s="146"/>
      <c r="V50" s="146"/>
    </row>
    <row r="51" spans="1:22">
      <c r="A51" s="146"/>
      <c r="B51" s="146"/>
      <c r="C51" s="146"/>
      <c r="D51" s="146"/>
      <c r="E51" s="146"/>
      <c r="F51" s="146"/>
      <c r="G51" s="146"/>
      <c r="H51" s="146"/>
      <c r="I51" s="146"/>
      <c r="J51" s="146"/>
      <c r="K51" s="146"/>
      <c r="L51" s="146"/>
      <c r="M51" s="146"/>
      <c r="N51" s="146"/>
      <c r="O51" s="146"/>
      <c r="P51" s="146"/>
      <c r="Q51" s="146"/>
      <c r="R51" s="146"/>
      <c r="S51" s="146"/>
      <c r="T51" s="146"/>
      <c r="U51" s="146"/>
      <c r="V51" s="146"/>
    </row>
    <row r="52" spans="1:22">
      <c r="A52" s="146"/>
      <c r="B52" s="146"/>
      <c r="C52" s="146"/>
      <c r="D52" s="146"/>
      <c r="E52" s="146"/>
      <c r="F52" s="146"/>
      <c r="G52" s="146"/>
      <c r="H52" s="146"/>
      <c r="I52" s="146"/>
      <c r="J52" s="146"/>
      <c r="K52" s="146"/>
      <c r="L52" s="146"/>
      <c r="M52" s="146"/>
      <c r="N52" s="146"/>
      <c r="O52" s="146"/>
      <c r="P52" s="146"/>
      <c r="Q52" s="146"/>
      <c r="R52" s="146"/>
      <c r="S52" s="146"/>
      <c r="T52" s="146"/>
      <c r="U52" s="146"/>
      <c r="V52" s="146"/>
    </row>
    <row r="53" spans="1:22">
      <c r="A53" s="146"/>
      <c r="B53" s="146"/>
      <c r="C53" s="146"/>
      <c r="D53" s="146"/>
      <c r="E53" s="146"/>
      <c r="F53" s="146"/>
      <c r="G53" s="146"/>
      <c r="H53" s="146"/>
      <c r="I53" s="146"/>
      <c r="J53" s="146"/>
      <c r="K53" s="146"/>
      <c r="L53" s="146"/>
      <c r="M53" s="146"/>
      <c r="N53" s="146"/>
      <c r="O53" s="146"/>
      <c r="P53" s="146"/>
      <c r="Q53" s="146"/>
      <c r="R53" s="146"/>
      <c r="S53" s="146"/>
      <c r="T53" s="146"/>
      <c r="U53" s="146"/>
      <c r="V53" s="146"/>
    </row>
    <row r="54" spans="1:22">
      <c r="A54" s="146"/>
      <c r="B54" s="146"/>
      <c r="C54" s="146"/>
      <c r="D54" s="146"/>
      <c r="E54" s="146"/>
      <c r="F54" s="146"/>
      <c r="G54" s="146"/>
      <c r="H54" s="146"/>
      <c r="I54" s="146"/>
      <c r="J54" s="146"/>
      <c r="K54" s="146"/>
      <c r="L54" s="146"/>
      <c r="M54" s="146"/>
      <c r="N54" s="146"/>
      <c r="O54" s="146"/>
      <c r="P54" s="146"/>
      <c r="Q54" s="146"/>
      <c r="R54" s="146"/>
      <c r="S54" s="146"/>
      <c r="T54" s="146"/>
      <c r="U54" s="146"/>
      <c r="V54" s="146"/>
    </row>
    <row r="55" spans="1:22">
      <c r="A55" s="146"/>
      <c r="B55" s="146"/>
      <c r="C55" s="146"/>
      <c r="D55" s="146"/>
      <c r="E55" s="146"/>
      <c r="F55" s="146"/>
      <c r="G55" s="146"/>
      <c r="H55" s="146"/>
      <c r="I55" s="146"/>
      <c r="J55" s="146"/>
      <c r="K55" s="146"/>
      <c r="L55" s="146"/>
      <c r="M55" s="146"/>
      <c r="N55" s="146"/>
      <c r="O55" s="146"/>
      <c r="P55" s="146"/>
      <c r="Q55" s="146"/>
      <c r="R55" s="146"/>
      <c r="S55" s="146"/>
      <c r="T55" s="146"/>
      <c r="U55" s="146"/>
      <c r="V55" s="146"/>
    </row>
    <row r="56" spans="1:22">
      <c r="A56" s="146"/>
      <c r="B56" s="146"/>
      <c r="C56" s="146"/>
      <c r="D56" s="146"/>
      <c r="E56" s="146"/>
      <c r="F56" s="146"/>
      <c r="G56" s="146"/>
      <c r="H56" s="146"/>
      <c r="I56" s="146"/>
      <c r="J56" s="146"/>
      <c r="K56" s="146"/>
      <c r="L56" s="146"/>
      <c r="M56" s="146"/>
      <c r="N56" s="146"/>
      <c r="O56" s="146"/>
      <c r="P56" s="146"/>
      <c r="Q56" s="146"/>
      <c r="R56" s="146"/>
      <c r="S56" s="146"/>
      <c r="T56" s="146"/>
      <c r="U56" s="146"/>
      <c r="V56" s="146"/>
    </row>
    <row r="57" spans="1:22">
      <c r="A57" s="146"/>
      <c r="B57" s="146"/>
      <c r="C57" s="146"/>
      <c r="D57" s="146"/>
      <c r="E57" s="146"/>
      <c r="F57" s="146"/>
      <c r="G57" s="146"/>
      <c r="H57" s="146"/>
      <c r="I57" s="146"/>
      <c r="J57" s="146"/>
      <c r="K57" s="146"/>
      <c r="L57" s="146"/>
      <c r="M57" s="146"/>
      <c r="N57" s="146"/>
      <c r="O57" s="146"/>
      <c r="P57" s="146"/>
      <c r="Q57" s="146"/>
      <c r="R57" s="146"/>
      <c r="S57" s="146"/>
      <c r="T57" s="146"/>
      <c r="U57" s="146"/>
      <c r="V57" s="146"/>
    </row>
    <row r="58" spans="1:22">
      <c r="A58" s="146"/>
      <c r="B58" s="146"/>
      <c r="C58" s="146"/>
      <c r="D58" s="146"/>
      <c r="E58" s="146"/>
      <c r="F58" s="146"/>
      <c r="G58" s="146"/>
      <c r="H58" s="146"/>
      <c r="I58" s="146"/>
      <c r="J58" s="146"/>
      <c r="K58" s="146"/>
      <c r="L58" s="146"/>
      <c r="M58" s="146"/>
      <c r="N58" s="146"/>
      <c r="O58" s="146"/>
      <c r="P58" s="146"/>
      <c r="Q58" s="146"/>
      <c r="R58" s="146"/>
      <c r="S58" s="146"/>
      <c r="T58" s="146"/>
      <c r="U58" s="146"/>
      <c r="V58" s="146"/>
    </row>
    <row r="59" spans="1:22">
      <c r="A59" s="146"/>
      <c r="B59" s="146"/>
      <c r="C59" s="146"/>
      <c r="D59" s="146"/>
      <c r="E59" s="146"/>
      <c r="F59" s="146"/>
      <c r="G59" s="146"/>
      <c r="H59" s="146"/>
      <c r="I59" s="146"/>
      <c r="J59" s="146"/>
      <c r="K59" s="146"/>
      <c r="L59" s="146"/>
      <c r="M59" s="146"/>
      <c r="N59" s="146"/>
      <c r="O59" s="146"/>
      <c r="P59" s="146"/>
      <c r="Q59" s="146"/>
      <c r="R59" s="146"/>
      <c r="S59" s="146"/>
      <c r="T59" s="146"/>
      <c r="U59" s="146"/>
      <c r="V59" s="146"/>
    </row>
    <row r="60" spans="1:22">
      <c r="A60" s="146"/>
      <c r="B60" s="146"/>
      <c r="C60" s="146"/>
      <c r="D60" s="146"/>
      <c r="E60" s="146"/>
      <c r="F60" s="146"/>
      <c r="G60" s="146"/>
      <c r="H60" s="146"/>
      <c r="I60" s="146"/>
      <c r="J60" s="146"/>
      <c r="K60" s="146"/>
      <c r="L60" s="146"/>
      <c r="M60" s="146"/>
      <c r="N60" s="146"/>
      <c r="O60" s="146"/>
      <c r="P60" s="146"/>
      <c r="Q60" s="146"/>
      <c r="R60" s="146"/>
      <c r="S60" s="146"/>
      <c r="T60" s="146"/>
      <c r="U60" s="146"/>
      <c r="V60" s="146"/>
    </row>
    <row r="61" spans="1:22">
      <c r="A61" s="146"/>
      <c r="B61" s="146"/>
      <c r="C61" s="146"/>
      <c r="D61" s="146"/>
      <c r="E61" s="146"/>
      <c r="F61" s="146"/>
      <c r="G61" s="146"/>
      <c r="H61" s="146"/>
      <c r="I61" s="146"/>
      <c r="J61" s="146"/>
      <c r="K61" s="146"/>
      <c r="L61" s="146"/>
      <c r="M61" s="146"/>
      <c r="N61" s="146"/>
      <c r="O61" s="146"/>
      <c r="P61" s="146"/>
      <c r="Q61" s="146"/>
      <c r="R61" s="146"/>
      <c r="S61" s="146"/>
      <c r="T61" s="146"/>
      <c r="U61" s="146"/>
      <c r="V61" s="146"/>
    </row>
    <row r="62" spans="1:22">
      <c r="A62" s="146"/>
      <c r="B62" s="146"/>
      <c r="C62" s="146"/>
      <c r="D62" s="146"/>
      <c r="E62" s="146"/>
      <c r="F62" s="146"/>
      <c r="G62" s="146"/>
      <c r="H62" s="146"/>
      <c r="I62" s="146"/>
      <c r="J62" s="146"/>
      <c r="K62" s="146"/>
      <c r="L62" s="146"/>
      <c r="M62" s="146"/>
      <c r="N62" s="146"/>
      <c r="O62" s="146"/>
      <c r="P62" s="146"/>
      <c r="Q62" s="146"/>
      <c r="R62" s="146"/>
      <c r="S62" s="146"/>
      <c r="T62" s="146"/>
      <c r="U62" s="146"/>
      <c r="V62" s="146"/>
    </row>
    <row r="63" spans="1:22">
      <c r="A63" s="146"/>
      <c r="B63" s="146"/>
      <c r="C63" s="146"/>
      <c r="D63" s="146"/>
      <c r="E63" s="146"/>
      <c r="F63" s="146"/>
      <c r="G63" s="146"/>
      <c r="H63" s="146"/>
      <c r="I63" s="146"/>
      <c r="J63" s="146"/>
      <c r="K63" s="146"/>
      <c r="L63" s="146"/>
      <c r="M63" s="146"/>
      <c r="N63" s="146"/>
      <c r="O63" s="146"/>
      <c r="P63" s="146"/>
      <c r="Q63" s="146"/>
      <c r="R63" s="146"/>
      <c r="S63" s="146"/>
      <c r="T63" s="146"/>
      <c r="U63" s="146"/>
      <c r="V63" s="146"/>
    </row>
    <row r="64" spans="1:22">
      <c r="A64" s="146"/>
      <c r="B64" s="146"/>
      <c r="C64" s="146"/>
      <c r="D64" s="146"/>
      <c r="E64" s="146"/>
      <c r="F64" s="146"/>
      <c r="G64" s="146"/>
      <c r="H64" s="146"/>
      <c r="I64" s="146"/>
      <c r="J64" s="146"/>
      <c r="K64" s="146"/>
      <c r="L64" s="146"/>
      <c r="M64" s="146"/>
      <c r="N64" s="146"/>
      <c r="O64" s="146"/>
      <c r="P64" s="146"/>
      <c r="Q64" s="146"/>
      <c r="R64" s="146"/>
      <c r="S64" s="146"/>
      <c r="T64" s="146"/>
      <c r="U64" s="146"/>
      <c r="V64" s="146"/>
    </row>
    <row r="65" spans="1:22">
      <c r="A65" s="146"/>
      <c r="B65" s="146"/>
      <c r="C65" s="146"/>
      <c r="D65" s="146"/>
      <c r="E65" s="146"/>
      <c r="F65" s="146"/>
      <c r="G65" s="146"/>
      <c r="H65" s="146"/>
      <c r="I65" s="146"/>
      <c r="J65" s="146"/>
      <c r="K65" s="146"/>
      <c r="L65" s="146"/>
      <c r="M65" s="146"/>
      <c r="N65" s="146"/>
      <c r="O65" s="146"/>
      <c r="P65" s="146"/>
      <c r="Q65" s="146"/>
      <c r="R65" s="146"/>
      <c r="S65" s="146"/>
      <c r="T65" s="146"/>
      <c r="U65" s="146"/>
      <c r="V65" s="146"/>
    </row>
    <row r="66" spans="1:22">
      <c r="A66" s="146"/>
      <c r="B66" s="146"/>
      <c r="C66" s="146"/>
      <c r="D66" s="146"/>
      <c r="E66" s="146"/>
      <c r="F66" s="146"/>
      <c r="G66" s="146"/>
      <c r="H66" s="146"/>
      <c r="I66" s="146"/>
      <c r="J66" s="146"/>
      <c r="K66" s="146"/>
      <c r="L66" s="146"/>
      <c r="M66" s="146"/>
      <c r="N66" s="146"/>
      <c r="O66" s="146"/>
      <c r="P66" s="146"/>
      <c r="Q66" s="146"/>
      <c r="R66" s="146"/>
      <c r="S66" s="146"/>
      <c r="T66" s="146"/>
      <c r="U66" s="146"/>
      <c r="V66" s="146"/>
    </row>
    <row r="67" spans="1:22">
      <c r="A67" s="146"/>
      <c r="B67" s="146"/>
      <c r="C67" s="146"/>
      <c r="D67" s="146"/>
      <c r="E67" s="146"/>
      <c r="F67" s="146"/>
      <c r="G67" s="146"/>
      <c r="H67" s="146"/>
      <c r="I67" s="146"/>
      <c r="J67" s="146"/>
      <c r="K67" s="146"/>
      <c r="L67" s="146"/>
      <c r="M67" s="146"/>
      <c r="N67" s="146"/>
      <c r="O67" s="146"/>
      <c r="P67" s="146"/>
      <c r="Q67" s="146"/>
      <c r="R67" s="146"/>
      <c r="S67" s="146"/>
      <c r="T67" s="146"/>
      <c r="U67" s="146"/>
      <c r="V67" s="146"/>
    </row>
    <row r="68" spans="1:22">
      <c r="A68" s="146"/>
      <c r="B68" s="146"/>
      <c r="C68" s="146"/>
      <c r="D68" s="146"/>
      <c r="E68" s="146"/>
      <c r="F68" s="146"/>
      <c r="G68" s="146"/>
      <c r="H68" s="146"/>
      <c r="I68" s="146"/>
      <c r="J68" s="146"/>
      <c r="K68" s="146"/>
      <c r="L68" s="146"/>
      <c r="M68" s="146"/>
      <c r="N68" s="146"/>
      <c r="O68" s="146"/>
      <c r="P68" s="146"/>
      <c r="Q68" s="146"/>
      <c r="R68" s="146"/>
      <c r="S68" s="146"/>
      <c r="T68" s="146"/>
      <c r="U68" s="146"/>
      <c r="V68" s="146"/>
    </row>
    <row r="69" spans="1:22">
      <c r="A69" s="146"/>
      <c r="B69" s="146"/>
      <c r="C69" s="146"/>
      <c r="D69" s="146"/>
      <c r="E69" s="146"/>
      <c r="F69" s="146"/>
      <c r="G69" s="146"/>
      <c r="H69" s="146"/>
      <c r="I69" s="146"/>
      <c r="J69" s="146"/>
      <c r="K69" s="146"/>
      <c r="L69" s="146"/>
      <c r="M69" s="146"/>
      <c r="N69" s="146"/>
      <c r="O69" s="146"/>
      <c r="P69" s="146"/>
      <c r="Q69" s="146"/>
      <c r="R69" s="146"/>
      <c r="S69" s="146"/>
      <c r="T69" s="146"/>
      <c r="U69" s="146"/>
      <c r="V69" s="146"/>
    </row>
    <row r="70" spans="1:22">
      <c r="A70" s="146"/>
      <c r="B70" s="146"/>
      <c r="C70" s="146"/>
      <c r="D70" s="146"/>
      <c r="E70" s="146"/>
      <c r="F70" s="146"/>
      <c r="G70" s="146"/>
      <c r="H70" s="146"/>
      <c r="I70" s="146"/>
      <c r="J70" s="146"/>
      <c r="K70" s="146"/>
      <c r="L70" s="146"/>
      <c r="M70" s="146"/>
      <c r="N70" s="146"/>
      <c r="O70" s="146"/>
      <c r="P70" s="146"/>
      <c r="Q70" s="146"/>
      <c r="R70" s="146"/>
      <c r="S70" s="146"/>
      <c r="T70" s="146"/>
      <c r="U70" s="146"/>
      <c r="V70" s="146"/>
    </row>
    <row r="71" spans="1:22">
      <c r="A71" s="146"/>
      <c r="B71" s="146"/>
      <c r="C71" s="146"/>
      <c r="D71" s="146"/>
      <c r="E71" s="146"/>
      <c r="F71" s="146"/>
      <c r="G71" s="146"/>
      <c r="H71" s="146"/>
      <c r="I71" s="146"/>
      <c r="J71" s="146"/>
      <c r="K71" s="146"/>
      <c r="L71" s="146"/>
      <c r="M71" s="146"/>
      <c r="N71" s="146"/>
      <c r="O71" s="146"/>
      <c r="P71" s="146"/>
      <c r="Q71" s="146"/>
      <c r="R71" s="146"/>
      <c r="S71" s="146"/>
      <c r="T71" s="146"/>
      <c r="U71" s="146"/>
      <c r="V71" s="146"/>
    </row>
    <row r="72" spans="1:22">
      <c r="A72" s="146"/>
      <c r="B72" s="146"/>
      <c r="C72" s="146"/>
      <c r="D72" s="146"/>
      <c r="E72" s="146"/>
      <c r="F72" s="146"/>
      <c r="G72" s="146"/>
      <c r="H72" s="146"/>
      <c r="I72" s="146"/>
      <c r="J72" s="146"/>
      <c r="K72" s="146"/>
      <c r="L72" s="146"/>
      <c r="M72" s="146"/>
      <c r="N72" s="146"/>
      <c r="O72" s="146"/>
      <c r="P72" s="146"/>
      <c r="Q72" s="146"/>
      <c r="R72" s="146"/>
      <c r="S72" s="146"/>
      <c r="T72" s="146"/>
      <c r="U72" s="146"/>
      <c r="V72" s="146"/>
    </row>
    <row r="73" spans="1:22">
      <c r="A73" s="146"/>
      <c r="B73" s="146"/>
      <c r="C73" s="146"/>
      <c r="D73" s="146"/>
      <c r="E73" s="146"/>
      <c r="F73" s="146"/>
      <c r="G73" s="146"/>
      <c r="H73" s="146"/>
      <c r="I73" s="146"/>
      <c r="J73" s="146"/>
      <c r="K73" s="146"/>
      <c r="L73" s="146"/>
      <c r="M73" s="146"/>
      <c r="N73" s="146"/>
      <c r="O73" s="146"/>
      <c r="P73" s="146"/>
      <c r="Q73" s="146"/>
      <c r="R73" s="146"/>
      <c r="S73" s="146"/>
      <c r="T73" s="146"/>
      <c r="U73" s="146"/>
      <c r="V73" s="146"/>
    </row>
    <row r="74" spans="1:22">
      <c r="A74" s="146"/>
      <c r="B74" s="146"/>
      <c r="C74" s="146"/>
      <c r="D74" s="146"/>
      <c r="E74" s="146"/>
      <c r="F74" s="146"/>
      <c r="G74" s="146"/>
      <c r="H74" s="146"/>
      <c r="I74" s="146"/>
      <c r="J74" s="146"/>
      <c r="K74" s="146"/>
      <c r="L74" s="146"/>
      <c r="M74" s="146"/>
      <c r="N74" s="146"/>
      <c r="O74" s="146"/>
      <c r="P74" s="146"/>
      <c r="Q74" s="146"/>
      <c r="R74" s="146"/>
      <c r="S74" s="146"/>
      <c r="T74" s="146"/>
      <c r="U74" s="146"/>
      <c r="V74" s="146"/>
    </row>
    <row r="75" spans="1:22">
      <c r="A75" s="146"/>
      <c r="B75" s="146"/>
      <c r="C75" s="146"/>
      <c r="D75" s="146"/>
      <c r="E75" s="146"/>
      <c r="F75" s="146"/>
      <c r="G75" s="146"/>
      <c r="H75" s="146"/>
      <c r="I75" s="146"/>
      <c r="J75" s="146"/>
      <c r="K75" s="146"/>
      <c r="L75" s="146"/>
      <c r="M75" s="146"/>
      <c r="N75" s="146"/>
      <c r="O75" s="146"/>
      <c r="P75" s="146"/>
      <c r="Q75" s="146"/>
      <c r="R75" s="146"/>
      <c r="S75" s="146"/>
      <c r="T75" s="146"/>
      <c r="U75" s="146"/>
      <c r="V75" s="146"/>
    </row>
    <row r="76" spans="1:22">
      <c r="A76" s="146"/>
      <c r="B76" s="146"/>
      <c r="C76" s="146"/>
      <c r="D76" s="146"/>
      <c r="E76" s="146"/>
      <c r="F76" s="146"/>
      <c r="G76" s="146"/>
      <c r="H76" s="146"/>
      <c r="I76" s="146"/>
      <c r="J76" s="146"/>
      <c r="K76" s="146"/>
      <c r="L76" s="146"/>
      <c r="M76" s="146"/>
      <c r="N76" s="146"/>
      <c r="O76" s="146"/>
      <c r="P76" s="146"/>
      <c r="Q76" s="146"/>
      <c r="R76" s="146"/>
      <c r="S76" s="146"/>
      <c r="T76" s="146"/>
      <c r="U76" s="146"/>
      <c r="V76" s="146"/>
    </row>
    <row r="77" spans="1:22">
      <c r="A77" s="146"/>
      <c r="B77" s="146"/>
      <c r="C77" s="146"/>
      <c r="D77" s="146"/>
      <c r="E77" s="146"/>
      <c r="F77" s="146"/>
      <c r="G77" s="146"/>
      <c r="H77" s="146"/>
      <c r="I77" s="146"/>
      <c r="J77" s="146"/>
      <c r="K77" s="146"/>
      <c r="L77" s="146"/>
      <c r="M77" s="146"/>
      <c r="N77" s="146"/>
      <c r="O77" s="146"/>
      <c r="P77" s="146"/>
      <c r="Q77" s="146"/>
      <c r="R77" s="146"/>
      <c r="S77" s="146"/>
      <c r="T77" s="146"/>
      <c r="U77" s="146"/>
      <c r="V77" s="146"/>
    </row>
    <row r="78" spans="1:22">
      <c r="A78" s="146"/>
      <c r="B78" s="146"/>
      <c r="C78" s="146"/>
      <c r="D78" s="146"/>
      <c r="E78" s="146"/>
      <c r="F78" s="146"/>
      <c r="G78" s="146"/>
      <c r="H78" s="146"/>
      <c r="I78" s="146"/>
      <c r="J78" s="146"/>
      <c r="K78" s="146"/>
      <c r="L78" s="146"/>
      <c r="M78" s="146"/>
      <c r="N78" s="146"/>
      <c r="O78" s="146"/>
      <c r="P78" s="146"/>
      <c r="Q78" s="146"/>
      <c r="R78" s="146"/>
      <c r="S78" s="146"/>
      <c r="T78" s="146"/>
      <c r="U78" s="146"/>
      <c r="V78" s="146"/>
    </row>
    <row r="79" spans="1:22">
      <c r="A79" s="146"/>
      <c r="B79" s="146"/>
      <c r="C79" s="146"/>
      <c r="D79" s="146"/>
      <c r="E79" s="146"/>
      <c r="F79" s="146"/>
      <c r="G79" s="146"/>
      <c r="H79" s="146"/>
      <c r="I79" s="146"/>
      <c r="J79" s="146"/>
      <c r="K79" s="146"/>
      <c r="L79" s="146"/>
      <c r="M79" s="146"/>
      <c r="N79" s="146"/>
      <c r="O79" s="146"/>
      <c r="P79" s="146"/>
      <c r="Q79" s="146"/>
      <c r="R79" s="146"/>
      <c r="S79" s="146"/>
      <c r="T79" s="146"/>
      <c r="U79" s="146"/>
      <c r="V79" s="146"/>
    </row>
    <row r="80" spans="1:22">
      <c r="A80" s="146"/>
      <c r="B80" s="146"/>
      <c r="C80" s="146"/>
      <c r="D80" s="146"/>
      <c r="E80" s="146"/>
      <c r="F80" s="146"/>
      <c r="G80" s="146"/>
      <c r="H80" s="146"/>
      <c r="I80" s="146"/>
      <c r="J80" s="146"/>
      <c r="K80" s="146"/>
      <c r="L80" s="146"/>
      <c r="M80" s="146"/>
      <c r="N80" s="146"/>
      <c r="O80" s="146"/>
      <c r="P80" s="146"/>
      <c r="Q80" s="146"/>
      <c r="R80" s="146"/>
      <c r="S80" s="146"/>
      <c r="T80" s="146"/>
      <c r="U80" s="146"/>
      <c r="V80" s="146"/>
    </row>
    <row r="81" spans="1:22">
      <c r="A81" s="146"/>
      <c r="B81" s="146"/>
      <c r="C81" s="146"/>
      <c r="D81" s="146"/>
      <c r="E81" s="146"/>
      <c r="F81" s="146"/>
      <c r="G81" s="146"/>
      <c r="H81" s="146"/>
      <c r="I81" s="146"/>
      <c r="J81" s="146"/>
      <c r="K81" s="146"/>
      <c r="L81" s="146"/>
      <c r="M81" s="146"/>
      <c r="N81" s="146"/>
      <c r="O81" s="146"/>
      <c r="P81" s="146"/>
      <c r="Q81" s="146"/>
      <c r="R81" s="146"/>
      <c r="S81" s="146"/>
      <c r="T81" s="146"/>
      <c r="U81" s="146"/>
      <c r="V81" s="146"/>
    </row>
    <row r="82" spans="1:22">
      <c r="A82" s="146"/>
      <c r="B82" s="146"/>
      <c r="C82" s="146"/>
      <c r="D82" s="146"/>
      <c r="E82" s="146"/>
      <c r="F82" s="146"/>
      <c r="G82" s="146"/>
      <c r="H82" s="146"/>
      <c r="I82" s="146"/>
      <c r="J82" s="146"/>
      <c r="K82" s="146"/>
      <c r="L82" s="146"/>
      <c r="M82" s="146"/>
      <c r="N82" s="146"/>
      <c r="O82" s="146"/>
      <c r="P82" s="146"/>
      <c r="Q82" s="146"/>
      <c r="R82" s="146"/>
      <c r="S82" s="146"/>
      <c r="T82" s="146"/>
      <c r="U82" s="146"/>
      <c r="V82" s="146"/>
    </row>
    <row r="83" spans="1:22">
      <c r="A83" s="146"/>
      <c r="B83" s="146"/>
      <c r="C83" s="146"/>
      <c r="D83" s="146"/>
      <c r="E83" s="146"/>
      <c r="F83" s="146"/>
      <c r="G83" s="146"/>
      <c r="H83" s="146"/>
      <c r="I83" s="146"/>
      <c r="J83" s="146"/>
      <c r="K83" s="146"/>
      <c r="L83" s="146"/>
      <c r="M83" s="146"/>
      <c r="N83" s="146"/>
      <c r="O83" s="146"/>
      <c r="P83" s="146"/>
      <c r="Q83" s="146"/>
      <c r="R83" s="146"/>
      <c r="S83" s="146"/>
      <c r="T83" s="146"/>
      <c r="U83" s="146"/>
      <c r="V83" s="146"/>
    </row>
    <row r="84" spans="1:22">
      <c r="A84" s="146"/>
      <c r="B84" s="146"/>
      <c r="C84" s="146"/>
      <c r="D84" s="146"/>
      <c r="E84" s="146"/>
      <c r="F84" s="146"/>
      <c r="G84" s="146"/>
      <c r="H84" s="146"/>
      <c r="I84" s="146"/>
      <c r="J84" s="146"/>
      <c r="K84" s="146"/>
      <c r="L84" s="146"/>
      <c r="M84" s="146"/>
      <c r="N84" s="146"/>
      <c r="O84" s="146"/>
      <c r="P84" s="146"/>
      <c r="Q84" s="146"/>
      <c r="R84" s="146"/>
      <c r="S84" s="146"/>
      <c r="T84" s="146"/>
      <c r="U84" s="146"/>
      <c r="V84" s="146"/>
    </row>
    <row r="85" spans="1:22">
      <c r="A85" s="146"/>
      <c r="B85" s="146"/>
      <c r="C85" s="146"/>
      <c r="D85" s="146"/>
      <c r="E85" s="146"/>
      <c r="F85" s="146"/>
      <c r="G85" s="146"/>
      <c r="H85" s="146"/>
      <c r="I85" s="146"/>
      <c r="J85" s="146"/>
      <c r="K85" s="146"/>
      <c r="L85" s="146"/>
      <c r="M85" s="146"/>
      <c r="N85" s="146"/>
      <c r="O85" s="146"/>
      <c r="P85" s="146"/>
      <c r="Q85" s="146"/>
      <c r="R85" s="146"/>
      <c r="S85" s="146"/>
      <c r="T85" s="146"/>
      <c r="U85" s="146"/>
      <c r="V85" s="146"/>
    </row>
    <row r="86" spans="1:22">
      <c r="A86" s="146"/>
      <c r="B86" s="146"/>
      <c r="C86" s="146"/>
      <c r="D86" s="146"/>
      <c r="E86" s="146"/>
      <c r="F86" s="146"/>
      <c r="G86" s="146"/>
      <c r="H86" s="146"/>
      <c r="I86" s="146"/>
      <c r="J86" s="146"/>
      <c r="K86" s="146"/>
      <c r="L86" s="146"/>
      <c r="M86" s="146"/>
      <c r="N86" s="146"/>
      <c r="O86" s="146"/>
      <c r="P86" s="146"/>
      <c r="Q86" s="146"/>
      <c r="R86" s="146"/>
      <c r="S86" s="146"/>
      <c r="T86" s="146"/>
      <c r="U86" s="146"/>
      <c r="V86" s="146"/>
    </row>
    <row r="87" spans="1:22">
      <c r="A87" s="146"/>
      <c r="B87" s="146"/>
      <c r="C87" s="146"/>
      <c r="D87" s="146"/>
      <c r="E87" s="146"/>
      <c r="F87" s="146"/>
      <c r="G87" s="146"/>
      <c r="H87" s="146"/>
      <c r="I87" s="146"/>
      <c r="J87" s="146"/>
      <c r="K87" s="146"/>
      <c r="L87" s="146"/>
      <c r="M87" s="146"/>
      <c r="N87" s="146"/>
      <c r="O87" s="146"/>
      <c r="P87" s="146"/>
      <c r="Q87" s="146"/>
      <c r="R87" s="146"/>
      <c r="S87" s="146"/>
      <c r="T87" s="146"/>
      <c r="U87" s="146"/>
      <c r="V87" s="146"/>
    </row>
    <row r="88" spans="1:22">
      <c r="A88" s="146"/>
      <c r="B88" s="146"/>
      <c r="C88" s="146"/>
      <c r="D88" s="146"/>
      <c r="E88" s="146"/>
      <c r="F88" s="146"/>
      <c r="G88" s="146"/>
      <c r="H88" s="146"/>
      <c r="I88" s="146"/>
      <c r="J88" s="146"/>
      <c r="K88" s="146"/>
      <c r="L88" s="146"/>
      <c r="M88" s="146"/>
      <c r="N88" s="146"/>
      <c r="O88" s="146"/>
      <c r="P88" s="146"/>
      <c r="Q88" s="146"/>
      <c r="R88" s="146"/>
      <c r="S88" s="146"/>
      <c r="T88" s="146"/>
      <c r="U88" s="146"/>
      <c r="V88" s="146"/>
    </row>
    <row r="89" spans="1:22">
      <c r="A89" s="146"/>
      <c r="B89" s="146"/>
      <c r="C89" s="146"/>
      <c r="D89" s="146"/>
      <c r="E89" s="146"/>
      <c r="F89" s="146"/>
      <c r="G89" s="146"/>
      <c r="H89" s="146"/>
      <c r="I89" s="146"/>
      <c r="J89" s="146"/>
      <c r="K89" s="146"/>
      <c r="L89" s="146"/>
      <c r="M89" s="146"/>
      <c r="N89" s="146"/>
      <c r="O89" s="146"/>
      <c r="P89" s="146"/>
      <c r="Q89" s="146"/>
      <c r="R89" s="146"/>
      <c r="S89" s="146"/>
      <c r="T89" s="146"/>
      <c r="U89" s="146"/>
      <c r="V89" s="146"/>
    </row>
    <row r="90" spans="1:22">
      <c r="A90" s="146"/>
      <c r="B90" s="146"/>
      <c r="C90" s="146"/>
      <c r="D90" s="146"/>
      <c r="E90" s="146"/>
      <c r="F90" s="146"/>
      <c r="G90" s="146"/>
      <c r="H90" s="146"/>
      <c r="I90" s="146"/>
      <c r="J90" s="146"/>
      <c r="K90" s="146"/>
      <c r="L90" s="146"/>
      <c r="M90" s="146"/>
      <c r="N90" s="146"/>
      <c r="O90" s="146"/>
      <c r="P90" s="146"/>
      <c r="Q90" s="146"/>
      <c r="R90" s="146"/>
      <c r="S90" s="146"/>
      <c r="T90" s="146"/>
      <c r="U90" s="146"/>
      <c r="V90" s="146"/>
    </row>
    <row r="91" spans="1:22">
      <c r="A91" s="146"/>
      <c r="B91" s="146"/>
      <c r="C91" s="146"/>
      <c r="D91" s="146"/>
      <c r="E91" s="146"/>
      <c r="F91" s="146"/>
      <c r="G91" s="146"/>
      <c r="H91" s="146"/>
      <c r="I91" s="146"/>
      <c r="J91" s="146"/>
      <c r="K91" s="146"/>
      <c r="L91" s="146"/>
      <c r="M91" s="146"/>
      <c r="N91" s="146"/>
      <c r="O91" s="146"/>
      <c r="P91" s="146"/>
      <c r="Q91" s="146"/>
      <c r="R91" s="146"/>
      <c r="S91" s="146"/>
      <c r="T91" s="146"/>
      <c r="U91" s="146"/>
      <c r="V91" s="146"/>
    </row>
    <row r="92" spans="1:22">
      <c r="A92" s="146"/>
      <c r="B92" s="146"/>
      <c r="C92" s="146"/>
      <c r="D92" s="146"/>
      <c r="E92" s="146"/>
      <c r="F92" s="146"/>
      <c r="G92" s="146"/>
      <c r="H92" s="146"/>
      <c r="I92" s="146"/>
      <c r="J92" s="146"/>
      <c r="K92" s="146"/>
      <c r="L92" s="146"/>
      <c r="M92" s="146"/>
      <c r="N92" s="146"/>
      <c r="O92" s="146"/>
      <c r="P92" s="146"/>
      <c r="Q92" s="146"/>
      <c r="R92" s="146"/>
      <c r="S92" s="146"/>
      <c r="T92" s="146"/>
      <c r="U92" s="146"/>
      <c r="V92" s="146"/>
    </row>
    <row r="93" spans="1:22">
      <c r="A93" s="146"/>
      <c r="B93" s="146"/>
      <c r="C93" s="146"/>
      <c r="D93" s="146"/>
      <c r="E93" s="146"/>
      <c r="F93" s="146"/>
      <c r="G93" s="146"/>
      <c r="H93" s="146"/>
      <c r="I93" s="146"/>
      <c r="J93" s="146"/>
      <c r="K93" s="146"/>
      <c r="L93" s="146"/>
      <c r="M93" s="146"/>
      <c r="N93" s="146"/>
      <c r="O93" s="146"/>
      <c r="P93" s="146"/>
      <c r="Q93" s="146"/>
      <c r="R93" s="146"/>
      <c r="S93" s="146"/>
      <c r="T93" s="146"/>
      <c r="U93" s="146"/>
      <c r="V93" s="146"/>
    </row>
    <row r="94" spans="1:22">
      <c r="A94" s="146"/>
      <c r="B94" s="146"/>
      <c r="C94" s="146"/>
      <c r="D94" s="146"/>
      <c r="E94" s="146"/>
      <c r="F94" s="146"/>
      <c r="G94" s="146"/>
      <c r="H94" s="146"/>
      <c r="I94" s="146"/>
      <c r="J94" s="146"/>
      <c r="K94" s="146"/>
      <c r="L94" s="146"/>
      <c r="M94" s="146"/>
      <c r="N94" s="146"/>
      <c r="O94" s="146"/>
      <c r="P94" s="146"/>
      <c r="Q94" s="146"/>
      <c r="R94" s="146"/>
      <c r="S94" s="146"/>
      <c r="T94" s="146"/>
      <c r="U94" s="146"/>
      <c r="V94" s="146"/>
    </row>
    <row r="95" spans="1:22">
      <c r="A95" s="146"/>
      <c r="B95" s="146"/>
      <c r="C95" s="146"/>
      <c r="D95" s="146"/>
      <c r="E95" s="146"/>
      <c r="F95" s="146"/>
      <c r="G95" s="146"/>
      <c r="H95" s="146"/>
      <c r="I95" s="146"/>
      <c r="J95" s="146"/>
      <c r="K95" s="146"/>
      <c r="L95" s="146"/>
      <c r="M95" s="146"/>
      <c r="N95" s="146"/>
      <c r="O95" s="146"/>
      <c r="P95" s="146"/>
      <c r="Q95" s="146"/>
      <c r="R95" s="146"/>
      <c r="S95" s="146"/>
      <c r="T95" s="146"/>
      <c r="U95" s="146"/>
      <c r="V95" s="146"/>
    </row>
    <row r="96" spans="1:22">
      <c r="A96" s="146"/>
      <c r="B96" s="146"/>
      <c r="C96" s="146"/>
      <c r="D96" s="146"/>
      <c r="E96" s="146"/>
      <c r="F96" s="146"/>
      <c r="G96" s="146"/>
      <c r="H96" s="146"/>
      <c r="I96" s="146"/>
      <c r="J96" s="146"/>
      <c r="K96" s="146"/>
      <c r="L96" s="146"/>
      <c r="M96" s="146"/>
      <c r="N96" s="146"/>
      <c r="O96" s="146"/>
      <c r="P96" s="146"/>
      <c r="Q96" s="146"/>
      <c r="R96" s="146"/>
      <c r="S96" s="146"/>
      <c r="T96" s="146"/>
      <c r="U96" s="146"/>
      <c r="V96" s="146"/>
    </row>
    <row r="97" spans="1:22">
      <c r="A97" s="146"/>
      <c r="B97" s="146"/>
      <c r="C97" s="146"/>
      <c r="D97" s="146"/>
      <c r="E97" s="146"/>
      <c r="F97" s="146"/>
      <c r="G97" s="146"/>
      <c r="H97" s="146"/>
      <c r="I97" s="146"/>
      <c r="J97" s="146"/>
      <c r="K97" s="146"/>
      <c r="L97" s="146"/>
      <c r="M97" s="146"/>
      <c r="N97" s="146"/>
      <c r="O97" s="146"/>
      <c r="P97" s="146"/>
      <c r="Q97" s="146"/>
      <c r="R97" s="146"/>
      <c r="S97" s="146"/>
      <c r="T97" s="146"/>
      <c r="U97" s="146"/>
      <c r="V97" s="146"/>
    </row>
    <row r="98" spans="1:22">
      <c r="A98" s="146"/>
      <c r="B98" s="146"/>
      <c r="C98" s="146"/>
      <c r="D98" s="146"/>
      <c r="E98" s="146"/>
      <c r="F98" s="146"/>
      <c r="G98" s="146"/>
      <c r="H98" s="146"/>
      <c r="I98" s="146"/>
      <c r="J98" s="146"/>
      <c r="K98" s="146"/>
      <c r="L98" s="146"/>
      <c r="M98" s="146"/>
      <c r="N98" s="146"/>
      <c r="O98" s="146"/>
      <c r="P98" s="146"/>
      <c r="Q98" s="146"/>
      <c r="R98" s="146"/>
      <c r="S98" s="146"/>
      <c r="T98" s="146"/>
      <c r="U98" s="146"/>
      <c r="V98" s="146"/>
    </row>
    <row r="99" spans="1:22">
      <c r="A99" s="146"/>
      <c r="B99" s="146"/>
      <c r="C99" s="146"/>
      <c r="D99" s="146"/>
      <c r="E99" s="146"/>
      <c r="F99" s="146"/>
      <c r="G99" s="146"/>
      <c r="H99" s="146"/>
      <c r="I99" s="146"/>
      <c r="J99" s="146"/>
      <c r="K99" s="146"/>
      <c r="L99" s="146"/>
      <c r="M99" s="146"/>
      <c r="N99" s="146"/>
      <c r="O99" s="146"/>
      <c r="P99" s="146"/>
      <c r="Q99" s="146"/>
      <c r="R99" s="146"/>
      <c r="S99" s="146"/>
      <c r="T99" s="146"/>
      <c r="U99" s="146"/>
      <c r="V99" s="146"/>
    </row>
    <row r="100" spans="1:22">
      <c r="A100" s="146"/>
      <c r="B100" s="146"/>
      <c r="C100" s="146"/>
      <c r="D100" s="146"/>
      <c r="E100" s="146"/>
      <c r="F100" s="146"/>
      <c r="G100" s="146"/>
      <c r="H100" s="146"/>
      <c r="I100" s="146"/>
      <c r="J100" s="146"/>
      <c r="K100" s="146"/>
      <c r="L100" s="146"/>
      <c r="M100" s="146"/>
      <c r="N100" s="146"/>
      <c r="O100" s="146"/>
      <c r="P100" s="146"/>
      <c r="Q100" s="146"/>
      <c r="R100" s="146"/>
      <c r="S100" s="146"/>
      <c r="T100" s="146"/>
      <c r="U100" s="146"/>
      <c r="V100" s="146"/>
    </row>
    <row r="101" spans="1:22">
      <c r="A101" s="146"/>
      <c r="B101" s="146"/>
      <c r="C101" s="146"/>
      <c r="D101" s="146"/>
      <c r="E101" s="146"/>
      <c r="F101" s="146"/>
      <c r="G101" s="146"/>
      <c r="H101" s="146"/>
      <c r="I101" s="146"/>
      <c r="J101" s="146"/>
      <c r="K101" s="146"/>
      <c r="L101" s="146"/>
      <c r="M101" s="146"/>
      <c r="N101" s="146"/>
      <c r="O101" s="146"/>
      <c r="P101" s="146"/>
      <c r="Q101" s="146"/>
      <c r="R101" s="146"/>
      <c r="S101" s="146"/>
      <c r="T101" s="146"/>
      <c r="U101" s="146"/>
      <c r="V101" s="146"/>
    </row>
    <row r="102" spans="1:22">
      <c r="A102" s="146"/>
      <c r="B102" s="146"/>
      <c r="C102" s="146"/>
      <c r="D102" s="146"/>
      <c r="E102" s="146"/>
      <c r="F102" s="146"/>
      <c r="G102" s="146"/>
      <c r="H102" s="146"/>
      <c r="I102" s="146"/>
      <c r="J102" s="146"/>
      <c r="K102" s="146"/>
      <c r="L102" s="146"/>
      <c r="M102" s="146"/>
      <c r="N102" s="146"/>
      <c r="O102" s="146"/>
      <c r="P102" s="146"/>
      <c r="Q102" s="146"/>
      <c r="R102" s="146"/>
      <c r="S102" s="146"/>
      <c r="T102" s="146"/>
      <c r="U102" s="146"/>
      <c r="V102" s="146"/>
    </row>
    <row r="103" spans="1:22">
      <c r="A103" s="146"/>
      <c r="B103" s="146"/>
      <c r="C103" s="146"/>
      <c r="D103" s="146"/>
      <c r="E103" s="146"/>
      <c r="F103" s="146"/>
      <c r="G103" s="146"/>
      <c r="H103" s="146"/>
      <c r="I103" s="146"/>
      <c r="J103" s="146"/>
      <c r="K103" s="146"/>
      <c r="L103" s="146"/>
      <c r="M103" s="146"/>
      <c r="N103" s="146"/>
      <c r="O103" s="146"/>
      <c r="P103" s="146"/>
      <c r="Q103" s="146"/>
      <c r="R103" s="146"/>
      <c r="S103" s="146"/>
      <c r="T103" s="146"/>
      <c r="U103" s="146"/>
      <c r="V103" s="146"/>
    </row>
    <row r="104" spans="1:22">
      <c r="A104" s="146"/>
      <c r="B104" s="146"/>
      <c r="C104" s="146"/>
      <c r="D104" s="146"/>
      <c r="E104" s="146"/>
      <c r="F104" s="146"/>
      <c r="G104" s="146"/>
      <c r="H104" s="146"/>
      <c r="I104" s="146"/>
      <c r="J104" s="146"/>
      <c r="K104" s="146"/>
      <c r="L104" s="146"/>
      <c r="M104" s="146"/>
      <c r="N104" s="146"/>
      <c r="O104" s="146"/>
      <c r="P104" s="146"/>
      <c r="Q104" s="146"/>
      <c r="R104" s="146"/>
      <c r="S104" s="146"/>
      <c r="T104" s="146"/>
      <c r="U104" s="146"/>
      <c r="V104" s="146"/>
    </row>
    <row r="105" spans="1:22">
      <c r="A105" s="146"/>
      <c r="B105" s="146"/>
      <c r="C105" s="146"/>
      <c r="D105" s="146"/>
      <c r="E105" s="146"/>
      <c r="F105" s="146"/>
      <c r="G105" s="146"/>
      <c r="H105" s="146"/>
      <c r="I105" s="146"/>
      <c r="J105" s="146"/>
      <c r="K105" s="146"/>
      <c r="L105" s="146"/>
      <c r="M105" s="146"/>
      <c r="N105" s="146"/>
      <c r="O105" s="146"/>
      <c r="P105" s="146"/>
      <c r="Q105" s="146"/>
      <c r="R105" s="146"/>
      <c r="S105" s="146"/>
      <c r="T105" s="146"/>
      <c r="U105" s="146"/>
      <c r="V105" s="146"/>
    </row>
    <row r="106" spans="1:22">
      <c r="A106" s="146"/>
      <c r="B106" s="146"/>
      <c r="C106" s="146"/>
      <c r="D106" s="146"/>
      <c r="E106" s="146"/>
      <c r="F106" s="146"/>
      <c r="G106" s="146"/>
      <c r="H106" s="146"/>
      <c r="I106" s="146"/>
      <c r="J106" s="146"/>
      <c r="K106" s="146"/>
      <c r="L106" s="146"/>
      <c r="M106" s="146"/>
      <c r="N106" s="146"/>
      <c r="O106" s="146"/>
      <c r="P106" s="146"/>
      <c r="Q106" s="146"/>
      <c r="R106" s="146"/>
      <c r="S106" s="146"/>
      <c r="T106" s="146"/>
      <c r="U106" s="146"/>
      <c r="V106" s="146"/>
    </row>
    <row r="107" spans="1:22">
      <c r="A107" s="146"/>
      <c r="B107" s="146"/>
      <c r="C107" s="146"/>
      <c r="D107" s="146"/>
      <c r="E107" s="146"/>
      <c r="F107" s="146"/>
      <c r="G107" s="146"/>
      <c r="H107" s="146"/>
      <c r="I107" s="146"/>
      <c r="J107" s="146"/>
      <c r="K107" s="146"/>
      <c r="L107" s="146"/>
      <c r="M107" s="146"/>
      <c r="N107" s="146"/>
      <c r="O107" s="146"/>
      <c r="P107" s="146"/>
      <c r="Q107" s="146"/>
      <c r="R107" s="146"/>
      <c r="S107" s="146"/>
      <c r="T107" s="146"/>
      <c r="U107" s="146"/>
      <c r="V107" s="146"/>
    </row>
    <row r="108" spans="1:22">
      <c r="A108" s="146"/>
      <c r="B108" s="146"/>
      <c r="C108" s="146"/>
      <c r="D108" s="146"/>
      <c r="E108" s="146"/>
      <c r="F108" s="146"/>
      <c r="G108" s="146"/>
      <c r="H108" s="146"/>
      <c r="I108" s="146"/>
      <c r="J108" s="146"/>
      <c r="K108" s="146"/>
      <c r="L108" s="146"/>
      <c r="M108" s="146"/>
      <c r="N108" s="146"/>
      <c r="O108" s="146"/>
      <c r="P108" s="146"/>
      <c r="Q108" s="146"/>
      <c r="R108" s="146"/>
      <c r="S108" s="146"/>
      <c r="T108" s="146"/>
      <c r="U108" s="146"/>
      <c r="V108" s="146"/>
    </row>
    <row r="109" spans="1:22">
      <c r="A109" s="146"/>
      <c r="B109" s="146"/>
      <c r="C109" s="146"/>
      <c r="D109" s="146"/>
      <c r="E109" s="146"/>
      <c r="F109" s="146"/>
      <c r="G109" s="146"/>
      <c r="H109" s="146"/>
      <c r="I109" s="146"/>
      <c r="J109" s="146"/>
      <c r="K109" s="146"/>
      <c r="L109" s="146"/>
      <c r="M109" s="146"/>
      <c r="N109" s="146"/>
      <c r="O109" s="146"/>
      <c r="P109" s="146"/>
      <c r="Q109" s="146"/>
      <c r="R109" s="146"/>
      <c r="S109" s="146"/>
      <c r="T109" s="146"/>
      <c r="U109" s="146"/>
      <c r="V109" s="146"/>
    </row>
    <row r="110" spans="1:22">
      <c r="A110" s="146"/>
      <c r="B110" s="146"/>
      <c r="C110" s="146"/>
      <c r="D110" s="146"/>
      <c r="E110" s="146"/>
      <c r="F110" s="146"/>
      <c r="G110" s="146"/>
      <c r="H110" s="146"/>
      <c r="I110" s="146"/>
      <c r="J110" s="146"/>
      <c r="K110" s="146"/>
      <c r="L110" s="146"/>
      <c r="M110" s="146"/>
      <c r="N110" s="146"/>
      <c r="O110" s="146"/>
      <c r="P110" s="146"/>
      <c r="Q110" s="146"/>
      <c r="R110" s="146"/>
      <c r="S110" s="146"/>
      <c r="T110" s="146"/>
      <c r="U110" s="146"/>
      <c r="V110" s="146"/>
    </row>
    <row r="111" spans="1:22">
      <c r="A111" s="146"/>
      <c r="B111" s="146"/>
      <c r="C111" s="146"/>
      <c r="D111" s="146"/>
      <c r="E111" s="146"/>
      <c r="F111" s="146"/>
      <c r="G111" s="146"/>
      <c r="H111" s="146"/>
      <c r="I111" s="146"/>
      <c r="J111" s="146"/>
      <c r="K111" s="146"/>
      <c r="L111" s="146"/>
      <c r="M111" s="146"/>
      <c r="N111" s="146"/>
      <c r="O111" s="146"/>
      <c r="P111" s="146"/>
      <c r="Q111" s="146"/>
      <c r="R111" s="146"/>
      <c r="S111" s="146"/>
      <c r="T111" s="146"/>
      <c r="U111" s="146"/>
      <c r="V111" s="146"/>
    </row>
    <row r="112" spans="1:22">
      <c r="A112" s="146"/>
      <c r="B112" s="146"/>
      <c r="C112" s="146"/>
      <c r="D112" s="146"/>
      <c r="E112" s="146"/>
      <c r="F112" s="146"/>
      <c r="G112" s="146"/>
      <c r="H112" s="146"/>
      <c r="I112" s="146"/>
      <c r="J112" s="146"/>
      <c r="K112" s="146"/>
      <c r="L112" s="146"/>
      <c r="M112" s="146"/>
      <c r="N112" s="146"/>
      <c r="O112" s="146"/>
      <c r="P112" s="146"/>
      <c r="Q112" s="146"/>
      <c r="R112" s="146"/>
      <c r="S112" s="146"/>
      <c r="T112" s="146"/>
      <c r="U112" s="146"/>
      <c r="V112" s="146"/>
    </row>
    <row r="113" spans="1:22">
      <c r="A113" s="146"/>
      <c r="B113" s="146"/>
      <c r="C113" s="146"/>
      <c r="D113" s="146"/>
      <c r="E113" s="146"/>
      <c r="F113" s="146"/>
      <c r="G113" s="146"/>
      <c r="H113" s="146"/>
      <c r="I113" s="146"/>
      <c r="J113" s="146"/>
      <c r="K113" s="146"/>
      <c r="L113" s="146"/>
      <c r="M113" s="146"/>
      <c r="N113" s="146"/>
      <c r="O113" s="146"/>
      <c r="P113" s="146"/>
      <c r="Q113" s="146"/>
      <c r="R113" s="146"/>
      <c r="S113" s="146"/>
      <c r="T113" s="146"/>
      <c r="U113" s="146"/>
      <c r="V113" s="146"/>
    </row>
    <row r="114" spans="1:22">
      <c r="A114" s="146"/>
      <c r="B114" s="146"/>
      <c r="C114" s="146"/>
      <c r="D114" s="146"/>
      <c r="E114" s="146"/>
      <c r="F114" s="146"/>
      <c r="G114" s="146"/>
      <c r="H114" s="146"/>
      <c r="I114" s="146"/>
      <c r="J114" s="146"/>
      <c r="K114" s="146"/>
      <c r="L114" s="146"/>
      <c r="M114" s="146"/>
      <c r="N114" s="146"/>
      <c r="O114" s="146"/>
      <c r="P114" s="146"/>
      <c r="Q114" s="146"/>
      <c r="R114" s="146"/>
      <c r="S114" s="146"/>
      <c r="T114" s="146"/>
      <c r="U114" s="146"/>
      <c r="V114" s="146"/>
    </row>
    <row r="115" spans="1:22">
      <c r="A115" s="146"/>
      <c r="B115" s="146"/>
      <c r="C115" s="146"/>
      <c r="D115" s="146"/>
      <c r="E115" s="146"/>
      <c r="F115" s="146"/>
      <c r="G115" s="146"/>
      <c r="H115" s="146"/>
      <c r="I115" s="146"/>
      <c r="J115" s="146"/>
      <c r="K115" s="146"/>
      <c r="L115" s="146"/>
      <c r="M115" s="146"/>
      <c r="N115" s="146"/>
      <c r="O115" s="146"/>
      <c r="P115" s="146"/>
      <c r="Q115" s="146"/>
      <c r="R115" s="146"/>
      <c r="S115" s="146"/>
      <c r="T115" s="146"/>
      <c r="U115" s="146"/>
      <c r="V115" s="146"/>
    </row>
    <row r="116" spans="1:22">
      <c r="A116" s="146"/>
      <c r="B116" s="146"/>
      <c r="C116" s="146"/>
      <c r="D116" s="146"/>
      <c r="E116" s="146"/>
      <c r="F116" s="146"/>
      <c r="G116" s="146"/>
      <c r="H116" s="146"/>
      <c r="I116" s="146"/>
      <c r="J116" s="146"/>
      <c r="K116" s="146"/>
      <c r="L116" s="146"/>
      <c r="M116" s="146"/>
      <c r="N116" s="146"/>
      <c r="O116" s="146"/>
      <c r="P116" s="146"/>
      <c r="Q116" s="146"/>
      <c r="R116" s="146"/>
      <c r="S116" s="146"/>
      <c r="T116" s="146"/>
      <c r="U116" s="146"/>
      <c r="V116" s="146"/>
    </row>
    <row r="117" spans="1:22">
      <c r="A117" s="146"/>
      <c r="B117" s="146"/>
      <c r="C117" s="146"/>
      <c r="D117" s="146"/>
      <c r="E117" s="146"/>
      <c r="F117" s="146"/>
      <c r="G117" s="146"/>
      <c r="H117" s="146"/>
      <c r="I117" s="146"/>
      <c r="J117" s="146"/>
      <c r="K117" s="146"/>
      <c r="L117" s="146"/>
      <c r="M117" s="146"/>
      <c r="N117" s="146"/>
      <c r="O117" s="146"/>
      <c r="P117" s="146"/>
      <c r="Q117" s="146"/>
      <c r="R117" s="146"/>
      <c r="S117" s="146"/>
      <c r="T117" s="146"/>
      <c r="U117" s="146"/>
      <c r="V117" s="146"/>
    </row>
    <row r="118" spans="1:22">
      <c r="A118" s="146"/>
      <c r="B118" s="146"/>
      <c r="C118" s="146"/>
      <c r="D118" s="146"/>
      <c r="E118" s="146"/>
      <c r="F118" s="146"/>
      <c r="G118" s="146"/>
      <c r="H118" s="146"/>
      <c r="I118" s="146"/>
      <c r="J118" s="146"/>
      <c r="K118" s="146"/>
      <c r="L118" s="146"/>
      <c r="M118" s="146"/>
      <c r="N118" s="146"/>
      <c r="O118" s="146"/>
      <c r="P118" s="146"/>
      <c r="Q118" s="146"/>
      <c r="R118" s="146"/>
      <c r="S118" s="146"/>
      <c r="T118" s="146"/>
      <c r="U118" s="146"/>
      <c r="V118" s="146"/>
    </row>
    <row r="119" spans="1:22">
      <c r="A119" s="146"/>
      <c r="B119" s="146"/>
      <c r="C119" s="146"/>
      <c r="D119" s="146"/>
      <c r="E119" s="146"/>
      <c r="F119" s="146"/>
      <c r="G119" s="146"/>
      <c r="H119" s="146"/>
      <c r="I119" s="146"/>
      <c r="J119" s="146"/>
      <c r="K119" s="146"/>
      <c r="L119" s="146"/>
      <c r="M119" s="146"/>
      <c r="N119" s="146"/>
      <c r="O119" s="146"/>
      <c r="P119" s="146"/>
      <c r="Q119" s="146"/>
      <c r="R119" s="146"/>
      <c r="S119" s="146"/>
      <c r="T119" s="146"/>
      <c r="U119" s="146"/>
      <c r="V119" s="146"/>
    </row>
    <row r="120" spans="1:22">
      <c r="A120" s="146"/>
      <c r="B120" s="146"/>
      <c r="C120" s="146"/>
      <c r="D120" s="146"/>
      <c r="E120" s="146"/>
      <c r="F120" s="146"/>
      <c r="G120" s="146"/>
      <c r="H120" s="146"/>
      <c r="I120" s="146"/>
      <c r="J120" s="146"/>
      <c r="K120" s="146"/>
      <c r="L120" s="146"/>
      <c r="M120" s="146"/>
      <c r="N120" s="146"/>
      <c r="O120" s="146"/>
      <c r="P120" s="146"/>
      <c r="Q120" s="146"/>
      <c r="R120" s="146"/>
      <c r="S120" s="146"/>
      <c r="T120" s="146"/>
      <c r="U120" s="146"/>
      <c r="V120" s="146"/>
    </row>
    <row r="121" spans="1:22">
      <c r="A121" s="146"/>
      <c r="B121" s="146"/>
      <c r="C121" s="146"/>
      <c r="D121" s="146"/>
      <c r="E121" s="146"/>
      <c r="F121" s="146"/>
      <c r="G121" s="146"/>
      <c r="H121" s="146"/>
      <c r="I121" s="146"/>
      <c r="J121" s="146"/>
      <c r="K121" s="146"/>
      <c r="L121" s="146"/>
      <c r="M121" s="146"/>
      <c r="N121" s="146"/>
      <c r="O121" s="146"/>
      <c r="P121" s="146"/>
      <c r="Q121" s="146"/>
      <c r="R121" s="146"/>
      <c r="S121" s="146"/>
      <c r="T121" s="146"/>
      <c r="U121" s="146"/>
      <c r="V121" s="146"/>
    </row>
    <row r="122" spans="1:22">
      <c r="A122" s="146"/>
      <c r="B122" s="146"/>
      <c r="C122" s="146"/>
      <c r="D122" s="146"/>
      <c r="E122" s="146"/>
      <c r="F122" s="146"/>
      <c r="G122" s="146"/>
      <c r="H122" s="146"/>
      <c r="I122" s="146"/>
      <c r="J122" s="146"/>
      <c r="K122" s="146"/>
      <c r="L122" s="146"/>
      <c r="M122" s="146"/>
      <c r="N122" s="146"/>
      <c r="O122" s="146"/>
      <c r="P122" s="146"/>
      <c r="Q122" s="146"/>
      <c r="R122" s="146"/>
      <c r="S122" s="146"/>
      <c r="T122" s="146"/>
      <c r="U122" s="146"/>
      <c r="V122" s="146"/>
    </row>
    <row r="123" spans="1:22">
      <c r="A123" s="146"/>
      <c r="B123" s="146"/>
      <c r="C123" s="146"/>
      <c r="D123" s="146"/>
      <c r="E123" s="146"/>
      <c r="F123" s="146"/>
      <c r="G123" s="146"/>
      <c r="H123" s="146"/>
      <c r="I123" s="146"/>
      <c r="J123" s="146"/>
      <c r="K123" s="146"/>
      <c r="L123" s="146"/>
      <c r="M123" s="146"/>
      <c r="N123" s="146"/>
      <c r="O123" s="146"/>
      <c r="P123" s="146"/>
      <c r="Q123" s="146"/>
      <c r="R123" s="146"/>
      <c r="S123" s="146"/>
      <c r="T123" s="146"/>
      <c r="U123" s="146"/>
      <c r="V123" s="146"/>
    </row>
    <row r="124" spans="1:22">
      <c r="A124" s="146"/>
      <c r="B124" s="146"/>
      <c r="C124" s="146"/>
      <c r="D124" s="146"/>
      <c r="E124" s="146"/>
      <c r="F124" s="146"/>
      <c r="G124" s="146"/>
      <c r="H124" s="146"/>
      <c r="I124" s="146"/>
      <c r="J124" s="146"/>
      <c r="K124" s="146"/>
      <c r="L124" s="146"/>
      <c r="M124" s="146"/>
      <c r="N124" s="146"/>
      <c r="O124" s="146"/>
      <c r="P124" s="146"/>
      <c r="Q124" s="146"/>
      <c r="R124" s="146"/>
      <c r="S124" s="146"/>
      <c r="T124" s="146"/>
      <c r="U124" s="146"/>
      <c r="V124" s="146"/>
    </row>
    <row r="125" spans="1:22">
      <c r="A125" s="146"/>
      <c r="B125" s="146"/>
      <c r="C125" s="146"/>
      <c r="D125" s="146"/>
      <c r="E125" s="146"/>
      <c r="F125" s="146"/>
      <c r="G125" s="146"/>
      <c r="H125" s="146"/>
      <c r="I125" s="146"/>
      <c r="J125" s="146"/>
      <c r="K125" s="146"/>
      <c r="L125" s="146"/>
      <c r="M125" s="146"/>
      <c r="N125" s="146"/>
      <c r="O125" s="146"/>
      <c r="P125" s="146"/>
      <c r="Q125" s="146"/>
      <c r="R125" s="146"/>
      <c r="S125" s="146"/>
      <c r="T125" s="146"/>
      <c r="U125" s="146"/>
      <c r="V125" s="146"/>
    </row>
    <row r="126" spans="1:22">
      <c r="A126" s="146"/>
      <c r="B126" s="146"/>
      <c r="C126" s="146"/>
      <c r="D126" s="146"/>
      <c r="E126" s="146"/>
      <c r="F126" s="146"/>
      <c r="G126" s="146"/>
      <c r="H126" s="146"/>
      <c r="I126" s="146"/>
      <c r="J126" s="146"/>
      <c r="K126" s="146"/>
      <c r="L126" s="146"/>
      <c r="M126" s="146"/>
      <c r="N126" s="146"/>
      <c r="O126" s="146"/>
      <c r="P126" s="146"/>
      <c r="Q126" s="146"/>
      <c r="R126" s="146"/>
      <c r="S126" s="146"/>
      <c r="T126" s="146"/>
      <c r="U126" s="146"/>
      <c r="V126" s="146"/>
    </row>
    <row r="127" spans="1:22">
      <c r="A127" s="146"/>
      <c r="B127" s="146"/>
      <c r="C127" s="146"/>
      <c r="D127" s="146"/>
      <c r="E127" s="146"/>
      <c r="F127" s="146"/>
      <c r="G127" s="146"/>
      <c r="H127" s="146"/>
      <c r="I127" s="146"/>
      <c r="J127" s="146"/>
      <c r="K127" s="146"/>
      <c r="L127" s="146"/>
      <c r="M127" s="146"/>
      <c r="N127" s="146"/>
      <c r="O127" s="146"/>
      <c r="P127" s="146"/>
      <c r="Q127" s="146"/>
      <c r="R127" s="146"/>
      <c r="S127" s="146"/>
      <c r="T127" s="146"/>
      <c r="U127" s="146"/>
      <c r="V127" s="146"/>
    </row>
    <row r="128" spans="1:22">
      <c r="A128" s="146"/>
      <c r="B128" s="146"/>
      <c r="C128" s="146"/>
      <c r="D128" s="146"/>
      <c r="E128" s="146"/>
      <c r="F128" s="146"/>
      <c r="G128" s="146"/>
      <c r="H128" s="146"/>
      <c r="I128" s="146"/>
      <c r="J128" s="146"/>
      <c r="K128" s="146"/>
      <c r="L128" s="146"/>
      <c r="M128" s="146"/>
      <c r="N128" s="146"/>
      <c r="O128" s="146"/>
      <c r="P128" s="146"/>
      <c r="Q128" s="146"/>
      <c r="R128" s="146"/>
      <c r="S128" s="146"/>
      <c r="T128" s="146"/>
      <c r="U128" s="146"/>
      <c r="V128" s="146"/>
    </row>
    <row r="129" spans="1:22">
      <c r="A129" s="146"/>
      <c r="B129" s="146"/>
      <c r="C129" s="146"/>
      <c r="D129" s="146"/>
      <c r="E129" s="146"/>
      <c r="F129" s="146"/>
      <c r="G129" s="146"/>
      <c r="H129" s="146"/>
      <c r="I129" s="146"/>
      <c r="J129" s="146"/>
      <c r="K129" s="146"/>
      <c r="L129" s="146"/>
      <c r="M129" s="146"/>
      <c r="N129" s="146"/>
      <c r="O129" s="146"/>
      <c r="P129" s="146"/>
      <c r="Q129" s="146"/>
      <c r="R129" s="146"/>
      <c r="S129" s="146"/>
      <c r="T129" s="146"/>
      <c r="U129" s="146"/>
      <c r="V129" s="146"/>
    </row>
    <row r="130" spans="1:22">
      <c r="A130" s="146"/>
      <c r="B130" s="146"/>
      <c r="C130" s="146"/>
      <c r="D130" s="146"/>
      <c r="E130" s="146"/>
      <c r="F130" s="146"/>
      <c r="G130" s="146"/>
      <c r="H130" s="146"/>
      <c r="I130" s="146"/>
      <c r="J130" s="146"/>
      <c r="K130" s="146"/>
      <c r="L130" s="146"/>
      <c r="M130" s="146"/>
      <c r="N130" s="146"/>
      <c r="O130" s="146"/>
      <c r="P130" s="146"/>
      <c r="Q130" s="146"/>
      <c r="R130" s="146"/>
      <c r="S130" s="146"/>
      <c r="T130" s="146"/>
      <c r="U130" s="146"/>
      <c r="V130" s="146"/>
    </row>
    <row r="131" spans="1:22">
      <c r="A131" s="146"/>
      <c r="B131" s="146"/>
      <c r="C131" s="146"/>
      <c r="D131" s="146"/>
      <c r="E131" s="146"/>
      <c r="F131" s="146"/>
      <c r="G131" s="146"/>
      <c r="H131" s="146"/>
      <c r="I131" s="146"/>
      <c r="J131" s="146"/>
      <c r="K131" s="146"/>
      <c r="L131" s="146"/>
      <c r="M131" s="146"/>
      <c r="N131" s="146"/>
      <c r="O131" s="146"/>
      <c r="P131" s="146"/>
      <c r="Q131" s="146"/>
      <c r="R131" s="146"/>
      <c r="S131" s="146"/>
      <c r="T131" s="146"/>
      <c r="U131" s="146"/>
      <c r="V131" s="146"/>
    </row>
    <row r="132" spans="1:22">
      <c r="A132" s="146"/>
      <c r="B132" s="146"/>
      <c r="C132" s="146"/>
      <c r="D132" s="146"/>
      <c r="E132" s="146"/>
      <c r="F132" s="146"/>
      <c r="G132" s="146"/>
      <c r="H132" s="146"/>
      <c r="I132" s="146"/>
      <c r="J132" s="146"/>
      <c r="K132" s="146"/>
      <c r="L132" s="146"/>
      <c r="M132" s="146"/>
      <c r="N132" s="146"/>
      <c r="O132" s="146"/>
      <c r="P132" s="146"/>
      <c r="Q132" s="146"/>
      <c r="R132" s="146"/>
      <c r="S132" s="146"/>
      <c r="T132" s="146"/>
      <c r="U132" s="146"/>
      <c r="V132" s="146"/>
    </row>
    <row r="133" spans="1:22">
      <c r="A133" s="146"/>
      <c r="B133" s="146"/>
      <c r="C133" s="146"/>
      <c r="D133" s="146"/>
      <c r="E133" s="146"/>
      <c r="F133" s="146"/>
      <c r="G133" s="146"/>
      <c r="H133" s="146"/>
      <c r="I133" s="146"/>
      <c r="J133" s="146"/>
      <c r="K133" s="146"/>
      <c r="L133" s="146"/>
      <c r="M133" s="146"/>
      <c r="N133" s="146"/>
      <c r="O133" s="146"/>
      <c r="P133" s="146"/>
      <c r="Q133" s="146"/>
      <c r="R133" s="146"/>
      <c r="S133" s="146"/>
      <c r="T133" s="146"/>
      <c r="U133" s="146"/>
      <c r="V133" s="146"/>
    </row>
    <row r="134" spans="1:22">
      <c r="A134" s="146"/>
      <c r="B134" s="146"/>
      <c r="C134" s="146"/>
      <c r="D134" s="146"/>
      <c r="E134" s="146"/>
      <c r="F134" s="146"/>
      <c r="G134" s="146"/>
      <c r="H134" s="146"/>
      <c r="I134" s="146"/>
      <c r="J134" s="146"/>
      <c r="K134" s="146"/>
      <c r="L134" s="146"/>
      <c r="M134" s="146"/>
      <c r="N134" s="146"/>
      <c r="O134" s="146"/>
      <c r="P134" s="146"/>
      <c r="Q134" s="146"/>
      <c r="R134" s="146"/>
      <c r="S134" s="146"/>
      <c r="T134" s="146"/>
      <c r="U134" s="146"/>
      <c r="V134" s="146"/>
    </row>
    <row r="135" spans="1:22">
      <c r="A135" s="146"/>
      <c r="B135" s="146"/>
      <c r="C135" s="146"/>
      <c r="D135" s="146"/>
      <c r="E135" s="146"/>
      <c r="F135" s="146"/>
      <c r="G135" s="146"/>
      <c r="H135" s="146"/>
      <c r="I135" s="146"/>
      <c r="J135" s="146"/>
      <c r="K135" s="146"/>
      <c r="L135" s="146"/>
      <c r="M135" s="146"/>
      <c r="N135" s="146"/>
      <c r="O135" s="146"/>
      <c r="P135" s="146"/>
      <c r="Q135" s="146"/>
      <c r="R135" s="146"/>
      <c r="S135" s="146"/>
      <c r="T135" s="146"/>
      <c r="U135" s="146"/>
      <c r="V135" s="146"/>
    </row>
    <row r="136" spans="1:22">
      <c r="A136" s="146"/>
      <c r="B136" s="146"/>
      <c r="C136" s="146"/>
      <c r="D136" s="146"/>
      <c r="E136" s="146"/>
      <c r="F136" s="146"/>
      <c r="G136" s="146"/>
      <c r="H136" s="146"/>
      <c r="I136" s="146"/>
      <c r="J136" s="146"/>
      <c r="K136" s="146"/>
      <c r="L136" s="146"/>
      <c r="M136" s="146"/>
      <c r="N136" s="146"/>
      <c r="O136" s="146"/>
      <c r="P136" s="146"/>
      <c r="Q136" s="146"/>
      <c r="R136" s="146"/>
      <c r="S136" s="146"/>
      <c r="T136" s="146"/>
      <c r="U136" s="146"/>
      <c r="V136" s="146"/>
    </row>
    <row r="137" spans="1:22">
      <c r="A137" s="146"/>
      <c r="B137" s="146"/>
      <c r="C137" s="146"/>
      <c r="D137" s="146"/>
      <c r="E137" s="146"/>
      <c r="F137" s="146"/>
      <c r="G137" s="146"/>
      <c r="H137" s="146"/>
      <c r="I137" s="146"/>
      <c r="J137" s="146"/>
      <c r="K137" s="146"/>
      <c r="L137" s="146"/>
      <c r="M137" s="146"/>
      <c r="N137" s="146"/>
      <c r="O137" s="146"/>
      <c r="P137" s="146"/>
      <c r="Q137" s="146"/>
      <c r="R137" s="146"/>
      <c r="S137" s="146"/>
      <c r="T137" s="146"/>
      <c r="U137" s="146"/>
      <c r="V137" s="146"/>
    </row>
    <row r="138" spans="1:22">
      <c r="A138" s="146"/>
      <c r="B138" s="146"/>
      <c r="C138" s="146"/>
      <c r="D138" s="146"/>
      <c r="E138" s="146"/>
      <c r="F138" s="146"/>
      <c r="G138" s="146"/>
      <c r="H138" s="146"/>
      <c r="I138" s="146"/>
      <c r="J138" s="146"/>
      <c r="K138" s="146"/>
      <c r="L138" s="146"/>
      <c r="M138" s="146"/>
      <c r="N138" s="146"/>
      <c r="O138" s="146"/>
      <c r="P138" s="146"/>
      <c r="Q138" s="146"/>
      <c r="R138" s="146"/>
      <c r="S138" s="146"/>
      <c r="T138" s="146"/>
      <c r="U138" s="146"/>
      <c r="V138" s="146"/>
    </row>
    <row r="139" spans="1:22">
      <c r="A139" s="146"/>
      <c r="B139" s="146"/>
      <c r="C139" s="146"/>
      <c r="D139" s="146"/>
      <c r="E139" s="146"/>
      <c r="F139" s="146"/>
      <c r="G139" s="146"/>
      <c r="H139" s="146"/>
      <c r="I139" s="146"/>
      <c r="J139" s="146"/>
      <c r="K139" s="146"/>
      <c r="L139" s="146"/>
      <c r="M139" s="146"/>
      <c r="N139" s="146"/>
      <c r="O139" s="146"/>
      <c r="P139" s="146"/>
      <c r="Q139" s="146"/>
      <c r="R139" s="146"/>
      <c r="S139" s="146"/>
      <c r="T139" s="146"/>
      <c r="U139" s="146"/>
      <c r="V139" s="146"/>
    </row>
    <row r="140" spans="1:22">
      <c r="A140" s="146"/>
      <c r="B140" s="146"/>
      <c r="C140" s="146"/>
      <c r="D140" s="146"/>
      <c r="E140" s="146"/>
      <c r="F140" s="146"/>
      <c r="G140" s="146"/>
      <c r="H140" s="146"/>
      <c r="I140" s="146"/>
      <c r="J140" s="146"/>
      <c r="K140" s="146"/>
      <c r="L140" s="146"/>
      <c r="M140" s="146"/>
      <c r="N140" s="146"/>
      <c r="O140" s="146"/>
      <c r="P140" s="146"/>
      <c r="Q140" s="146"/>
      <c r="R140" s="146"/>
      <c r="S140" s="146"/>
      <c r="T140" s="146"/>
      <c r="U140" s="146"/>
      <c r="V140" s="146"/>
    </row>
    <row r="141" spans="1:22">
      <c r="A141" s="146"/>
      <c r="B141" s="146"/>
      <c r="C141" s="146"/>
      <c r="D141" s="146"/>
      <c r="E141" s="146"/>
      <c r="F141" s="146"/>
      <c r="G141" s="146"/>
      <c r="H141" s="146"/>
      <c r="I141" s="146"/>
      <c r="J141" s="146"/>
      <c r="K141" s="146"/>
      <c r="L141" s="146"/>
      <c r="M141" s="146"/>
      <c r="N141" s="146"/>
      <c r="O141" s="146"/>
      <c r="P141" s="146"/>
      <c r="Q141" s="146"/>
      <c r="R141" s="146"/>
      <c r="S141" s="146"/>
      <c r="T141" s="146"/>
      <c r="U141" s="146"/>
      <c r="V141" s="146"/>
    </row>
    <row r="142" spans="1:22">
      <c r="A142" s="146"/>
      <c r="B142" s="146"/>
      <c r="C142" s="146"/>
      <c r="D142" s="146"/>
      <c r="E142" s="146"/>
      <c r="F142" s="146"/>
      <c r="G142" s="146"/>
      <c r="H142" s="146"/>
      <c r="I142" s="146"/>
      <c r="J142" s="146"/>
      <c r="K142" s="146"/>
      <c r="L142" s="146"/>
      <c r="M142" s="146"/>
      <c r="N142" s="146"/>
      <c r="O142" s="146"/>
      <c r="P142" s="146"/>
      <c r="Q142" s="146"/>
      <c r="R142" s="146"/>
      <c r="S142" s="146"/>
      <c r="T142" s="146"/>
      <c r="U142" s="146"/>
      <c r="V142" s="146"/>
    </row>
    <row r="143" spans="1:22">
      <c r="A143" s="146"/>
      <c r="B143" s="146"/>
      <c r="C143" s="146"/>
      <c r="D143" s="146"/>
      <c r="E143" s="146"/>
      <c r="F143" s="146"/>
      <c r="G143" s="146"/>
      <c r="H143" s="146"/>
      <c r="I143" s="146"/>
      <c r="J143" s="146"/>
      <c r="K143" s="146"/>
      <c r="L143" s="146"/>
      <c r="M143" s="146"/>
      <c r="N143" s="146"/>
      <c r="O143" s="146"/>
      <c r="P143" s="146"/>
      <c r="Q143" s="146"/>
      <c r="R143" s="146"/>
      <c r="S143" s="146"/>
      <c r="T143" s="146"/>
      <c r="U143" s="146"/>
      <c r="V143" s="146"/>
    </row>
    <row r="144" spans="1:22">
      <c r="A144" s="146"/>
      <c r="B144" s="146"/>
      <c r="C144" s="146"/>
      <c r="D144" s="146"/>
      <c r="E144" s="146"/>
      <c r="F144" s="146"/>
      <c r="G144" s="146"/>
      <c r="H144" s="146"/>
      <c r="I144" s="146"/>
      <c r="J144" s="146"/>
      <c r="K144" s="146"/>
      <c r="L144" s="146"/>
      <c r="M144" s="146"/>
      <c r="N144" s="146"/>
      <c r="O144" s="146"/>
      <c r="P144" s="146"/>
      <c r="Q144" s="146"/>
      <c r="R144" s="146"/>
      <c r="S144" s="146"/>
      <c r="T144" s="146"/>
      <c r="U144" s="146"/>
      <c r="V144" s="146"/>
    </row>
    <row r="145" spans="1:22">
      <c r="A145" s="146"/>
      <c r="B145" s="146"/>
      <c r="C145" s="146"/>
      <c r="D145" s="146"/>
      <c r="E145" s="146"/>
      <c r="F145" s="146"/>
      <c r="G145" s="146"/>
      <c r="H145" s="146"/>
      <c r="I145" s="146"/>
      <c r="J145" s="146"/>
      <c r="K145" s="146"/>
      <c r="L145" s="146"/>
      <c r="M145" s="146"/>
      <c r="N145" s="146"/>
      <c r="O145" s="146"/>
      <c r="P145" s="146"/>
      <c r="Q145" s="146"/>
      <c r="R145" s="146"/>
      <c r="S145" s="146"/>
      <c r="T145" s="146"/>
      <c r="U145" s="146"/>
      <c r="V145" s="146"/>
    </row>
    <row r="146" spans="1:22">
      <c r="A146" s="146"/>
      <c r="B146" s="146"/>
      <c r="C146" s="146"/>
      <c r="D146" s="146"/>
      <c r="E146" s="146"/>
      <c r="F146" s="146"/>
      <c r="G146" s="146"/>
      <c r="H146" s="146"/>
      <c r="I146" s="146"/>
      <c r="J146" s="146"/>
      <c r="K146" s="146"/>
      <c r="L146" s="146"/>
      <c r="M146" s="146"/>
      <c r="N146" s="146"/>
      <c r="O146" s="146"/>
      <c r="P146" s="146"/>
      <c r="Q146" s="146"/>
      <c r="R146" s="146"/>
      <c r="S146" s="146"/>
      <c r="T146" s="146"/>
      <c r="U146" s="146"/>
      <c r="V146" s="146"/>
    </row>
    <row r="147" spans="1:22">
      <c r="A147" s="146"/>
      <c r="B147" s="146"/>
      <c r="C147" s="146"/>
      <c r="D147" s="146"/>
      <c r="E147" s="146"/>
      <c r="F147" s="146"/>
      <c r="G147" s="146"/>
      <c r="H147" s="146"/>
      <c r="I147" s="146"/>
      <c r="J147" s="146"/>
      <c r="K147" s="146"/>
      <c r="L147" s="146"/>
      <c r="M147" s="146"/>
      <c r="N147" s="146"/>
      <c r="O147" s="146"/>
      <c r="P147" s="146"/>
      <c r="Q147" s="146"/>
      <c r="R147" s="146"/>
      <c r="S147" s="146"/>
      <c r="T147" s="146"/>
      <c r="U147" s="146"/>
      <c r="V147" s="146"/>
    </row>
    <row r="148" spans="1:22">
      <c r="A148" s="146"/>
      <c r="B148" s="146"/>
      <c r="C148" s="146"/>
      <c r="D148" s="146"/>
      <c r="E148" s="146"/>
      <c r="F148" s="146"/>
      <c r="G148" s="146"/>
      <c r="H148" s="146"/>
      <c r="I148" s="146"/>
      <c r="J148" s="146"/>
      <c r="K148" s="146"/>
      <c r="L148" s="146"/>
      <c r="M148" s="146"/>
      <c r="N148" s="146"/>
      <c r="O148" s="146"/>
      <c r="P148" s="146"/>
      <c r="Q148" s="146"/>
      <c r="R148" s="146"/>
      <c r="S148" s="146"/>
      <c r="T148" s="146"/>
      <c r="U148" s="146"/>
      <c r="V148" s="146"/>
    </row>
    <row r="149" spans="1:22">
      <c r="A149" s="146"/>
      <c r="B149" s="146"/>
      <c r="C149" s="146"/>
      <c r="D149" s="146"/>
      <c r="E149" s="146"/>
      <c r="F149" s="146"/>
      <c r="G149" s="146"/>
      <c r="H149" s="146"/>
      <c r="I149" s="146"/>
      <c r="J149" s="146"/>
      <c r="K149" s="146"/>
      <c r="L149" s="146"/>
      <c r="M149" s="146"/>
      <c r="N149" s="146"/>
      <c r="O149" s="146"/>
      <c r="P149" s="146"/>
      <c r="Q149" s="146"/>
      <c r="R149" s="146"/>
      <c r="S149" s="146"/>
      <c r="T149" s="146"/>
      <c r="U149" s="146"/>
      <c r="V149" s="146"/>
    </row>
    <row r="150" spans="1:22">
      <c r="A150" s="146"/>
      <c r="B150" s="146"/>
      <c r="C150" s="146"/>
      <c r="D150" s="146"/>
      <c r="E150" s="146"/>
      <c r="F150" s="146"/>
      <c r="G150" s="146"/>
      <c r="H150" s="146"/>
      <c r="I150" s="146"/>
      <c r="J150" s="146"/>
      <c r="K150" s="146"/>
      <c r="L150" s="146"/>
      <c r="M150" s="146"/>
      <c r="N150" s="146"/>
      <c r="O150" s="146"/>
      <c r="P150" s="146"/>
      <c r="Q150" s="146"/>
      <c r="R150" s="146"/>
      <c r="S150" s="146"/>
      <c r="T150" s="146"/>
      <c r="U150" s="146"/>
      <c r="V150" s="146"/>
    </row>
    <row r="151" spans="1:22">
      <c r="A151" s="146"/>
      <c r="B151" s="146"/>
      <c r="C151" s="146"/>
      <c r="D151" s="146"/>
      <c r="E151" s="146"/>
      <c r="F151" s="146"/>
      <c r="G151" s="146"/>
      <c r="H151" s="146"/>
      <c r="I151" s="146"/>
      <c r="J151" s="146"/>
      <c r="K151" s="146"/>
      <c r="L151" s="146"/>
      <c r="M151" s="146"/>
      <c r="N151" s="146"/>
      <c r="O151" s="146"/>
      <c r="P151" s="146"/>
      <c r="Q151" s="146"/>
      <c r="R151" s="146"/>
      <c r="S151" s="146"/>
      <c r="T151" s="146"/>
      <c r="U151" s="146"/>
      <c r="V151" s="146"/>
    </row>
    <row r="152" spans="1:22">
      <c r="A152" s="146"/>
      <c r="B152" s="146"/>
      <c r="C152" s="146"/>
      <c r="D152" s="146"/>
      <c r="E152" s="146"/>
      <c r="F152" s="146"/>
      <c r="G152" s="146"/>
      <c r="H152" s="146"/>
      <c r="I152" s="146"/>
      <c r="J152" s="146"/>
      <c r="K152" s="146"/>
      <c r="L152" s="146"/>
      <c r="M152" s="146"/>
      <c r="N152" s="146"/>
      <c r="O152" s="146"/>
      <c r="P152" s="146"/>
      <c r="Q152" s="146"/>
      <c r="R152" s="146"/>
      <c r="S152" s="146"/>
      <c r="T152" s="146"/>
      <c r="U152" s="146"/>
      <c r="V152" s="146"/>
    </row>
    <row r="153" spans="1:22">
      <c r="A153" s="146"/>
      <c r="B153" s="146"/>
      <c r="C153" s="146"/>
      <c r="D153" s="146"/>
      <c r="E153" s="146"/>
      <c r="F153" s="146"/>
      <c r="G153" s="146"/>
      <c r="H153" s="146"/>
      <c r="I153" s="146"/>
      <c r="J153" s="146"/>
      <c r="K153" s="146"/>
      <c r="L153" s="146"/>
      <c r="M153" s="146"/>
      <c r="N153" s="146"/>
      <c r="O153" s="146"/>
      <c r="P153" s="146"/>
      <c r="Q153" s="146"/>
      <c r="R153" s="146"/>
      <c r="S153" s="146"/>
      <c r="T153" s="146"/>
      <c r="U153" s="146"/>
      <c r="V153" s="146"/>
    </row>
    <row r="154" spans="1:22">
      <c r="A154" s="146"/>
      <c r="B154" s="146"/>
      <c r="C154" s="146"/>
      <c r="D154" s="146"/>
      <c r="E154" s="146"/>
      <c r="F154" s="146"/>
      <c r="G154" s="146"/>
      <c r="H154" s="146"/>
      <c r="I154" s="146"/>
      <c r="J154" s="146"/>
      <c r="K154" s="146"/>
      <c r="L154" s="146"/>
      <c r="M154" s="146"/>
      <c r="N154" s="146"/>
      <c r="O154" s="146"/>
      <c r="P154" s="146"/>
      <c r="Q154" s="146"/>
      <c r="R154" s="146"/>
      <c r="S154" s="146"/>
      <c r="T154" s="146"/>
      <c r="U154" s="146"/>
      <c r="V154" s="146"/>
    </row>
    <row r="155" spans="1:22">
      <c r="A155" s="146"/>
      <c r="B155" s="146"/>
      <c r="C155" s="146"/>
      <c r="D155" s="146"/>
      <c r="E155" s="146"/>
      <c r="F155" s="146"/>
      <c r="G155" s="146"/>
      <c r="H155" s="146"/>
      <c r="I155" s="146"/>
      <c r="J155" s="146"/>
      <c r="K155" s="146"/>
      <c r="L155" s="146"/>
      <c r="M155" s="146"/>
      <c r="N155" s="146"/>
      <c r="O155" s="146"/>
      <c r="P155" s="146"/>
      <c r="Q155" s="146"/>
      <c r="R155" s="146"/>
      <c r="S155" s="146"/>
      <c r="T155" s="146"/>
      <c r="U155" s="146"/>
      <c r="V155" s="146"/>
    </row>
    <row r="156" spans="1:22">
      <c r="A156" s="146"/>
      <c r="B156" s="146"/>
      <c r="C156" s="146"/>
      <c r="D156" s="146"/>
      <c r="E156" s="146"/>
      <c r="F156" s="146"/>
      <c r="G156" s="146"/>
      <c r="H156" s="146"/>
      <c r="I156" s="146"/>
      <c r="J156" s="146"/>
      <c r="K156" s="146"/>
      <c r="L156" s="146"/>
      <c r="M156" s="146"/>
      <c r="N156" s="146"/>
      <c r="O156" s="146"/>
      <c r="P156" s="146"/>
      <c r="Q156" s="146"/>
      <c r="R156" s="146"/>
      <c r="S156" s="146"/>
      <c r="T156" s="146"/>
      <c r="U156" s="146"/>
      <c r="V156" s="146"/>
    </row>
    <row r="157" spans="1:22">
      <c r="A157" s="146"/>
      <c r="B157" s="146"/>
      <c r="C157" s="146"/>
      <c r="D157" s="146"/>
      <c r="E157" s="146"/>
      <c r="F157" s="146"/>
      <c r="G157" s="146"/>
      <c r="H157" s="146"/>
      <c r="I157" s="146"/>
      <c r="J157" s="146"/>
      <c r="K157" s="146"/>
      <c r="L157" s="146"/>
      <c r="M157" s="146"/>
      <c r="N157" s="146"/>
      <c r="O157" s="146"/>
      <c r="P157" s="146"/>
      <c r="Q157" s="146"/>
      <c r="R157" s="146"/>
      <c r="S157" s="146"/>
      <c r="T157" s="146"/>
      <c r="U157" s="146"/>
      <c r="V157" s="146"/>
    </row>
    <row r="158" spans="1:22">
      <c r="A158" s="146"/>
      <c r="B158" s="146"/>
      <c r="C158" s="146"/>
      <c r="D158" s="146"/>
      <c r="E158" s="146"/>
      <c r="F158" s="146"/>
      <c r="G158" s="146"/>
      <c r="H158" s="146"/>
      <c r="I158" s="146"/>
      <c r="J158" s="146"/>
      <c r="K158" s="146"/>
      <c r="L158" s="146"/>
      <c r="M158" s="146"/>
      <c r="N158" s="146"/>
      <c r="O158" s="146"/>
      <c r="P158" s="146"/>
      <c r="Q158" s="146"/>
      <c r="R158" s="146"/>
      <c r="S158" s="146"/>
      <c r="T158" s="146"/>
      <c r="U158" s="146"/>
      <c r="V158" s="146"/>
    </row>
    <row r="159" spans="1:22">
      <c r="A159" s="146"/>
      <c r="B159" s="146"/>
      <c r="C159" s="146"/>
      <c r="D159" s="146"/>
      <c r="E159" s="146"/>
      <c r="F159" s="146"/>
      <c r="G159" s="146"/>
      <c r="H159" s="146"/>
      <c r="I159" s="146"/>
      <c r="J159" s="146"/>
      <c r="K159" s="146"/>
      <c r="L159" s="146"/>
      <c r="M159" s="146"/>
      <c r="N159" s="146"/>
      <c r="O159" s="146"/>
      <c r="P159" s="146"/>
      <c r="Q159" s="146"/>
      <c r="R159" s="146"/>
      <c r="S159" s="146"/>
      <c r="T159" s="146"/>
      <c r="U159" s="146"/>
      <c r="V159" s="146"/>
    </row>
    <row r="160" spans="1:22">
      <c r="A160" s="146"/>
      <c r="B160" s="146"/>
      <c r="C160" s="146"/>
      <c r="D160" s="146"/>
      <c r="E160" s="146"/>
      <c r="F160" s="146"/>
      <c r="G160" s="146"/>
      <c r="H160" s="146"/>
      <c r="I160" s="146"/>
      <c r="J160" s="146"/>
      <c r="K160" s="146"/>
      <c r="L160" s="146"/>
      <c r="M160" s="146"/>
      <c r="N160" s="146"/>
      <c r="O160" s="146"/>
      <c r="P160" s="146"/>
      <c r="Q160" s="146"/>
      <c r="R160" s="146"/>
      <c r="S160" s="146"/>
      <c r="T160" s="146"/>
      <c r="U160" s="146"/>
      <c r="V160" s="146"/>
    </row>
    <row r="161" spans="1:22">
      <c r="A161" s="146"/>
      <c r="B161" s="146"/>
      <c r="C161" s="146"/>
      <c r="D161" s="146"/>
      <c r="E161" s="146"/>
      <c r="F161" s="146"/>
      <c r="G161" s="146"/>
      <c r="H161" s="146"/>
      <c r="I161" s="146"/>
      <c r="J161" s="146"/>
      <c r="K161" s="146"/>
      <c r="L161" s="146"/>
      <c r="M161" s="146"/>
      <c r="N161" s="146"/>
      <c r="O161" s="146"/>
      <c r="P161" s="146"/>
      <c r="Q161" s="146"/>
      <c r="R161" s="146"/>
      <c r="S161" s="146"/>
      <c r="T161" s="146"/>
      <c r="U161" s="146"/>
      <c r="V161" s="146"/>
    </row>
    <row r="162" spans="1:22">
      <c r="A162" s="146"/>
      <c r="B162" s="146"/>
      <c r="C162" s="146"/>
      <c r="D162" s="146"/>
      <c r="E162" s="146"/>
      <c r="F162" s="146"/>
      <c r="G162" s="146"/>
      <c r="H162" s="146"/>
      <c r="I162" s="146"/>
      <c r="J162" s="146"/>
      <c r="K162" s="146"/>
      <c r="L162" s="146"/>
      <c r="M162" s="146"/>
      <c r="N162" s="146"/>
      <c r="O162" s="146"/>
      <c r="P162" s="146"/>
      <c r="Q162" s="146"/>
      <c r="R162" s="146"/>
      <c r="S162" s="146"/>
      <c r="T162" s="146"/>
      <c r="U162" s="146"/>
      <c r="V162" s="146"/>
    </row>
    <row r="163" spans="1:22">
      <c r="A163" s="146"/>
      <c r="B163" s="146"/>
      <c r="C163" s="146"/>
      <c r="D163" s="146"/>
      <c r="E163" s="146"/>
      <c r="F163" s="146"/>
      <c r="G163" s="146"/>
      <c r="H163" s="146"/>
      <c r="I163" s="146"/>
      <c r="J163" s="146"/>
      <c r="K163" s="146"/>
      <c r="L163" s="146"/>
      <c r="M163" s="146"/>
      <c r="N163" s="146"/>
      <c r="O163" s="146"/>
      <c r="P163" s="146"/>
      <c r="Q163" s="146"/>
      <c r="R163" s="146"/>
      <c r="S163" s="146"/>
      <c r="T163" s="146"/>
      <c r="U163" s="146"/>
      <c r="V163" s="146"/>
    </row>
    <row r="164" spans="1:22">
      <c r="A164" s="146"/>
      <c r="B164" s="146"/>
      <c r="C164" s="146"/>
      <c r="D164" s="146"/>
      <c r="E164" s="146"/>
      <c r="F164" s="146"/>
      <c r="G164" s="146"/>
      <c r="H164" s="146"/>
      <c r="I164" s="146"/>
      <c r="J164" s="146"/>
      <c r="K164" s="146"/>
      <c r="L164" s="146"/>
      <c r="M164" s="146"/>
      <c r="N164" s="146"/>
      <c r="O164" s="146"/>
      <c r="P164" s="146"/>
      <c r="Q164" s="146"/>
      <c r="R164" s="146"/>
      <c r="S164" s="146"/>
      <c r="T164" s="146"/>
      <c r="U164" s="146"/>
      <c r="V164" s="146"/>
    </row>
    <row r="165" spans="1:22">
      <c r="A165" s="146"/>
      <c r="B165" s="146"/>
      <c r="C165" s="146"/>
      <c r="D165" s="146"/>
      <c r="E165" s="146"/>
      <c r="F165" s="146"/>
      <c r="G165" s="146"/>
      <c r="H165" s="146"/>
      <c r="I165" s="146"/>
      <c r="J165" s="146"/>
      <c r="K165" s="146"/>
      <c r="L165" s="146"/>
      <c r="M165" s="146"/>
      <c r="N165" s="146"/>
      <c r="O165" s="146"/>
      <c r="P165" s="146"/>
      <c r="Q165" s="146"/>
      <c r="R165" s="146"/>
      <c r="S165" s="146"/>
      <c r="T165" s="146"/>
      <c r="U165" s="146"/>
      <c r="V165" s="146"/>
    </row>
    <row r="166" spans="1:22">
      <c r="A166" s="146"/>
      <c r="B166" s="146"/>
      <c r="C166" s="146"/>
      <c r="D166" s="146"/>
      <c r="E166" s="146"/>
      <c r="F166" s="146"/>
      <c r="G166" s="146"/>
      <c r="H166" s="146"/>
      <c r="I166" s="146"/>
      <c r="J166" s="146"/>
      <c r="K166" s="146"/>
      <c r="L166" s="146"/>
      <c r="M166" s="146"/>
      <c r="N166" s="146"/>
      <c r="O166" s="146"/>
      <c r="P166" s="146"/>
      <c r="Q166" s="146"/>
      <c r="R166" s="146"/>
      <c r="S166" s="146"/>
      <c r="T166" s="146"/>
      <c r="U166" s="146"/>
      <c r="V166" s="146"/>
    </row>
    <row r="167" spans="1:22">
      <c r="A167" s="146"/>
      <c r="B167" s="146"/>
      <c r="C167" s="146"/>
      <c r="D167" s="146"/>
      <c r="E167" s="146"/>
      <c r="F167" s="146"/>
      <c r="G167" s="146"/>
      <c r="H167" s="146"/>
      <c r="I167" s="146"/>
      <c r="J167" s="146"/>
      <c r="K167" s="146"/>
      <c r="L167" s="146"/>
      <c r="M167" s="146"/>
      <c r="N167" s="146"/>
      <c r="O167" s="146"/>
      <c r="P167" s="146"/>
      <c r="Q167" s="146"/>
      <c r="R167" s="146"/>
      <c r="S167" s="146"/>
      <c r="T167" s="146"/>
      <c r="U167" s="146"/>
      <c r="V167" s="146"/>
    </row>
    <row r="168" spans="1:22">
      <c r="A168" s="146"/>
      <c r="B168" s="146"/>
      <c r="C168" s="146"/>
      <c r="D168" s="146"/>
      <c r="E168" s="146"/>
      <c r="F168" s="146"/>
      <c r="G168" s="146"/>
      <c r="H168" s="146"/>
      <c r="I168" s="146"/>
      <c r="J168" s="146"/>
      <c r="K168" s="146"/>
      <c r="L168" s="146"/>
      <c r="M168" s="146"/>
      <c r="N168" s="146"/>
      <c r="O168" s="146"/>
      <c r="P168" s="146"/>
      <c r="Q168" s="146"/>
      <c r="R168" s="146"/>
      <c r="S168" s="146"/>
      <c r="T168" s="146"/>
      <c r="U168" s="146"/>
      <c r="V168" s="146"/>
    </row>
    <row r="169" spans="1:22">
      <c r="A169" s="146"/>
      <c r="B169" s="146"/>
      <c r="C169" s="146"/>
      <c r="D169" s="146"/>
      <c r="E169" s="146"/>
      <c r="F169" s="146"/>
      <c r="G169" s="146"/>
      <c r="H169" s="146"/>
      <c r="I169" s="146"/>
      <c r="J169" s="146"/>
      <c r="K169" s="146"/>
      <c r="L169" s="146"/>
      <c r="M169" s="146"/>
      <c r="N169" s="146"/>
      <c r="O169" s="146"/>
      <c r="P169" s="146"/>
      <c r="Q169" s="146"/>
      <c r="R169" s="146"/>
      <c r="S169" s="146"/>
      <c r="T169" s="146"/>
      <c r="U169" s="146"/>
      <c r="V169" s="146"/>
    </row>
    <row r="170" spans="1:22">
      <c r="A170" s="146"/>
      <c r="B170" s="146"/>
      <c r="C170" s="146"/>
      <c r="D170" s="146"/>
      <c r="E170" s="146"/>
      <c r="F170" s="146"/>
      <c r="G170" s="146"/>
      <c r="H170" s="146"/>
      <c r="I170" s="146"/>
      <c r="J170" s="146"/>
      <c r="K170" s="146"/>
      <c r="L170" s="146"/>
      <c r="M170" s="146"/>
      <c r="N170" s="146"/>
      <c r="O170" s="146"/>
      <c r="P170" s="146"/>
      <c r="Q170" s="146"/>
      <c r="R170" s="146"/>
      <c r="S170" s="146"/>
      <c r="T170" s="146"/>
      <c r="U170" s="146"/>
      <c r="V170" s="146"/>
    </row>
    <row r="171" spans="1:22">
      <c r="A171" s="146"/>
      <c r="B171" s="146"/>
      <c r="C171" s="146"/>
      <c r="D171" s="146"/>
      <c r="E171" s="146"/>
      <c r="F171" s="146"/>
      <c r="G171" s="146"/>
      <c r="H171" s="146"/>
      <c r="I171" s="146"/>
      <c r="J171" s="146"/>
      <c r="K171" s="146"/>
      <c r="L171" s="146"/>
      <c r="M171" s="146"/>
      <c r="N171" s="146"/>
      <c r="O171" s="146"/>
    </row>
    <row r="172" spans="1:22">
      <c r="A172" s="146"/>
      <c r="B172" s="146"/>
      <c r="C172" s="146"/>
      <c r="D172" s="146"/>
      <c r="E172" s="146"/>
      <c r="F172" s="146"/>
      <c r="G172" s="146"/>
      <c r="H172" s="146"/>
      <c r="I172" s="146"/>
      <c r="J172" s="146"/>
      <c r="K172" s="146"/>
      <c r="L172" s="146"/>
      <c r="M172" s="146"/>
      <c r="N172" s="146"/>
      <c r="O172" s="146"/>
    </row>
    <row r="173" spans="1:22">
      <c r="A173" s="146"/>
      <c r="B173" s="146"/>
      <c r="C173" s="146"/>
      <c r="D173" s="146"/>
      <c r="E173" s="146"/>
      <c r="F173" s="146"/>
      <c r="G173" s="146"/>
      <c r="H173" s="146"/>
      <c r="I173" s="146"/>
      <c r="J173" s="146"/>
      <c r="K173" s="146"/>
      <c r="L173" s="146"/>
      <c r="M173" s="146"/>
      <c r="N173" s="146"/>
      <c r="O173" s="146"/>
    </row>
    <row r="174" spans="1:22">
      <c r="A174" s="146"/>
      <c r="B174" s="146"/>
      <c r="C174" s="146"/>
      <c r="D174" s="146"/>
      <c r="E174" s="146"/>
      <c r="F174" s="146"/>
      <c r="G174" s="146"/>
      <c r="H174" s="146"/>
      <c r="I174" s="146"/>
      <c r="J174" s="146"/>
      <c r="K174" s="146"/>
      <c r="L174" s="146"/>
      <c r="M174" s="146"/>
      <c r="N174" s="146"/>
      <c r="O174" s="146"/>
    </row>
  </sheetData>
  <mergeCells count="1">
    <mergeCell ref="B2:C2"/>
  </mergeCells>
  <dataValidations count="1">
    <dataValidation type="list" allowBlank="1" showInputMessage="1" showErrorMessage="1" sqref="C9" xr:uid="{89AE87C2-5203-479C-9F11-3F86DAB93D25}">
      <formula1>"1,5 °C,2 °C,3 °C"</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'Résultats détaillés GES'!$B$6:$AP$6</xm:f>
          </x14:formula1>
          <xm:sqref>C4</xm:sqref>
        </x14:dataValidation>
        <x14:dataValidation type="list" allowBlank="1" showInputMessage="1" showErrorMessage="1" xr:uid="{B1821668-DB0D-4E6F-BEF4-7CF3B7B8E055}">
          <x14:formula1>
            <xm:f>'Résultats détaillés GES'!$B$6:$BJ$6</xm:f>
          </x14:formula1>
          <xm:sqref>C5</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48BB5-C078-4ADC-8789-28B97520C2B1}">
  <dimension ref="A1:AJ51"/>
  <sheetViews>
    <sheetView workbookViewId="0"/>
  </sheetViews>
  <sheetFormatPr baseColWidth="10" defaultRowHeight="14.4" outlineLevelCol="1"/>
  <cols>
    <col min="2" max="2" width="50.33203125" customWidth="1"/>
    <col min="4" max="6" width="10.6640625" customWidth="1"/>
    <col min="7" max="9" width="10.6640625" customWidth="1" outlineLevel="1"/>
    <col min="10" max="10" width="10.6640625" customWidth="1"/>
    <col min="11" max="14" width="10.6640625" customWidth="1" outlineLevel="1"/>
    <col min="16" max="19" width="0" hidden="1" customWidth="1" outlineLevel="1"/>
    <col min="20" max="20" width="11.5546875" collapsed="1"/>
    <col min="21" max="24" width="0" hidden="1" customWidth="1" outlineLevel="1"/>
    <col min="25" max="25" width="11.5546875" collapsed="1"/>
    <col min="26" max="29" width="0" hidden="1" customWidth="1" outlineLevel="1"/>
    <col min="30" max="30" width="11.5546875" collapsed="1"/>
    <col min="31" max="34" width="0" hidden="1" customWidth="1" outlineLevel="1"/>
    <col min="35" max="35" width="11.5546875" collapsed="1"/>
    <col min="36" max="36" width="26.88671875" customWidth="1"/>
  </cols>
  <sheetData>
    <row r="1" spans="1:36">
      <c r="A1" t="s">
        <v>383</v>
      </c>
      <c r="B1" t="s">
        <v>384</v>
      </c>
      <c r="C1" t="s">
        <v>195</v>
      </c>
      <c r="D1" t="s">
        <v>478</v>
      </c>
      <c r="E1" t="s">
        <v>477</v>
      </c>
      <c r="F1" t="s">
        <v>476</v>
      </c>
      <c r="G1" t="s">
        <v>475</v>
      </c>
      <c r="H1" t="s">
        <v>474</v>
      </c>
      <c r="I1" t="s">
        <v>473</v>
      </c>
      <c r="J1" t="s">
        <v>472</v>
      </c>
      <c r="K1" t="s">
        <v>471</v>
      </c>
      <c r="L1" t="s">
        <v>470</v>
      </c>
      <c r="M1" t="s">
        <v>469</v>
      </c>
      <c r="N1" t="s">
        <v>468</v>
      </c>
      <c r="O1" t="s">
        <v>385</v>
      </c>
      <c r="P1" t="s">
        <v>448</v>
      </c>
      <c r="Q1" t="s">
        <v>454</v>
      </c>
      <c r="R1" t="s">
        <v>455</v>
      </c>
      <c r="S1" t="s">
        <v>456</v>
      </c>
      <c r="T1" t="s">
        <v>450</v>
      </c>
      <c r="U1" t="s">
        <v>457</v>
      </c>
      <c r="V1" t="s">
        <v>460</v>
      </c>
      <c r="W1" t="s">
        <v>459</v>
      </c>
      <c r="X1" t="s">
        <v>458</v>
      </c>
      <c r="Y1" t="s">
        <v>449</v>
      </c>
      <c r="Z1" t="s">
        <v>451</v>
      </c>
      <c r="AA1" t="s">
        <v>463</v>
      </c>
      <c r="AB1" t="s">
        <v>462</v>
      </c>
      <c r="AC1" t="s">
        <v>461</v>
      </c>
      <c r="AD1" t="s">
        <v>452</v>
      </c>
      <c r="AE1" t="s">
        <v>464</v>
      </c>
      <c r="AF1" t="s">
        <v>467</v>
      </c>
      <c r="AG1" t="s">
        <v>466</v>
      </c>
      <c r="AH1" t="s">
        <v>465</v>
      </c>
      <c r="AI1" t="s">
        <v>386</v>
      </c>
      <c r="AJ1" t="s">
        <v>387</v>
      </c>
    </row>
    <row r="2" spans="1:36" s="327" customFormat="1">
      <c r="A2" s="327" t="s">
        <v>388</v>
      </c>
      <c r="B2" s="327" t="s">
        <v>389</v>
      </c>
      <c r="D2" s="328">
        <v>67.257981999999998</v>
      </c>
      <c r="E2" s="328"/>
      <c r="F2" s="328"/>
      <c r="G2" s="328"/>
      <c r="H2" s="328"/>
      <c r="I2" s="328"/>
      <c r="J2" s="328"/>
      <c r="K2" s="328"/>
      <c r="L2" s="328"/>
      <c r="M2" s="328"/>
      <c r="N2" s="328"/>
      <c r="O2" s="328">
        <v>68.599999999999994</v>
      </c>
      <c r="P2" s="328"/>
      <c r="Q2" s="328"/>
      <c r="R2" s="328"/>
      <c r="S2" s="328"/>
      <c r="T2" s="328"/>
      <c r="U2" s="328"/>
      <c r="V2" s="328"/>
      <c r="W2" s="328"/>
      <c r="X2" s="328"/>
      <c r="Y2" s="328"/>
      <c r="Z2" s="328"/>
      <c r="AA2" s="328"/>
      <c r="AB2" s="328"/>
      <c r="AC2" s="328"/>
      <c r="AD2" s="328"/>
      <c r="AE2" s="328"/>
      <c r="AF2" s="328"/>
      <c r="AG2" s="328"/>
      <c r="AH2" s="328"/>
      <c r="AI2" s="328">
        <v>69.2</v>
      </c>
      <c r="AJ2" s="327" t="s">
        <v>390</v>
      </c>
    </row>
    <row r="3" spans="1:36" s="327" customFormat="1">
      <c r="A3" s="327" t="s">
        <v>391</v>
      </c>
      <c r="B3" s="327" t="s">
        <v>392</v>
      </c>
      <c r="C3" s="327" t="s">
        <v>673</v>
      </c>
      <c r="D3" s="328">
        <f>IFERROR('Résultats détaillés GES'!AE142/Tableau145[[#This Row],[2019]]*1000000,NA())</f>
        <v>1.3861398879629052</v>
      </c>
      <c r="E3" s="328">
        <f>IFERROR('Résultats détaillés GES'!AF142/Tableau145[[#This Row],[2020]]*1000000,NA())</f>
        <v>1.3452151252789954</v>
      </c>
      <c r="F3" s="328">
        <f>IFERROR('Résultats détaillés GES'!AG142/Tableau145[[#This Row],[2021]]*1000000,NA())</f>
        <v>1.3599918721481472</v>
      </c>
      <c r="G3" s="328">
        <f>IFERROR('Résultats détaillés GES'!AH142/Tableau145[[#This Row],[2022]]*1000000,NA())</f>
        <v>1.1135399090069225</v>
      </c>
      <c r="H3" s="328">
        <f>IFERROR('Résultats détaillés GES'!AI142/Tableau145[[#This Row],[2023]]*1000000,NA())</f>
        <v>1.0048515263627309</v>
      </c>
      <c r="I3" s="328">
        <f>IFERROR('Résultats détaillés GES'!AJ142/Tableau145[[#This Row],[2024]]*1000000,NA())</f>
        <v>0.98618153134341469</v>
      </c>
      <c r="J3" s="328">
        <f>IFERROR('Résultats détaillés GES'!AK142/Tableau145[[#This Row],[2025]]*1000000,NA())</f>
        <v>0.96398425909157615</v>
      </c>
      <c r="K3" s="328">
        <f>IFERROR('Résultats détaillés GES'!AL142/Tableau145[[#This Row],[2026]]*1000000,NA())</f>
        <v>0.9144828373545093</v>
      </c>
      <c r="L3" s="328">
        <f>IFERROR('Résultats détaillés GES'!AM142/Tableau145[[#This Row],[2027]]*1000000,NA())</f>
        <v>0.81474341648790072</v>
      </c>
      <c r="M3" s="328">
        <f>IFERROR('Résultats détaillés GES'!AN142/Tableau145[[#This Row],[2028]]*1000000,NA())</f>
        <v>0.71620331821824434</v>
      </c>
      <c r="N3" s="328">
        <f>IFERROR('Résultats détaillés GES'!AO142/Tableau145[[#This Row],[2029]]*1000000,NA())</f>
        <v>0.65741618354652342</v>
      </c>
      <c r="O3" s="328">
        <f>IFERROR('Résultats détaillés GES'!AP142/Tableau145[[#This Row],[2030]]*1000000,NA())</f>
        <v>0.59932753923244519</v>
      </c>
      <c r="P3" s="328">
        <f>IFERROR('Résultats détaillés GES'!AQ142/Tableau145[[#This Row],[2031]]*1000000,NA())</f>
        <v>0.544409613956227</v>
      </c>
      <c r="Q3" s="328">
        <f>IFERROR('Résultats détaillés GES'!AR142/Tableau145[[#This Row],[2032]]*1000000,NA())</f>
        <v>0.48993816177755911</v>
      </c>
      <c r="R3" s="328">
        <f>IFERROR('Résultats détaillés GES'!AS142/Tableau145[[#This Row],[2033]]*1000000,NA())</f>
        <v>0.43590776011682353</v>
      </c>
      <c r="S3" s="328">
        <f>IFERROR('Résultats détaillés GES'!AT142/Tableau145[[#This Row],[2034]]*1000000,NA())</f>
        <v>0.39575041837918634</v>
      </c>
      <c r="T3" s="328">
        <f>IFERROR('Résultats détaillés GES'!AU142/Tableau145[[#This Row],[2035]]*1000000,NA())</f>
        <v>0.35591561550797118</v>
      </c>
      <c r="U3" s="328">
        <f>IFERROR('Résultats détaillés GES'!AV142/Tableau145[[#This Row],[2036]]*1000000,NA())</f>
        <v>0.32159965777778288</v>
      </c>
      <c r="V3" s="328">
        <f>IFERROR('Résultats détaillés GES'!AW142/Tableau145[[#This Row],[2037]]*1000000,NA())</f>
        <v>0.28755712551084478</v>
      </c>
      <c r="W3" s="328">
        <f>IFERROR('Résultats détaillés GES'!AX142/Tableau145[[#This Row],[2038]]*1000000,NA())</f>
        <v>0.25378476374246423</v>
      </c>
      <c r="X3" s="328">
        <f>IFERROR('Résultats détaillés GES'!AY142/Tableau145[[#This Row],[2039]]*1000000,NA())</f>
        <v>0.22306897200867543</v>
      </c>
      <c r="Y3" s="328">
        <f>IFERROR('Résultats détaillés GES'!AZ142/Tableau145[[#This Row],[2040]]*1000000,NA())</f>
        <v>0.19259502950556412</v>
      </c>
      <c r="Z3" s="328">
        <f>IFERROR('Résultats détaillés GES'!BA142/Tableau145[[#This Row],[2041]]*1000000,NA())</f>
        <v>0.18045108547923278</v>
      </c>
      <c r="AA3" s="328">
        <f>IFERROR('Résultats détaillés GES'!BB142/Tableau145[[#This Row],[2042]]*1000000,NA())</f>
        <v>0.16833056663265847</v>
      </c>
      <c r="AB3" s="328">
        <f>IFERROR('Résultats détaillés GES'!BC142/Tableau145[[#This Row],[2043]]*1000000,NA())</f>
        <v>0.15623340525180526</v>
      </c>
      <c r="AC3" s="328">
        <f>IFERROR('Résultats détaillés GES'!BD142/Tableau145[[#This Row],[2044]]*1000000,NA())</f>
        <v>0.1441595338833695</v>
      </c>
      <c r="AD3" s="328">
        <f>IFERROR('Résultats détaillés GES'!BE142/Tableau145[[#This Row],[2045]]*1000000,NA())</f>
        <v>0.13210888533352605</v>
      </c>
      <c r="AE3" s="328">
        <f>IFERROR('Résultats détaillés GES'!BF142/Tableau145[[#This Row],[2046]]*1000000,NA())</f>
        <v>0.11681359721198586</v>
      </c>
      <c r="AF3" s="328">
        <f>IFERROR('Résultats détaillés GES'!BG142/Tableau145[[#This Row],[2047]]*1000000,NA())</f>
        <v>0.10154767148904102</v>
      </c>
      <c r="AG3" s="328">
        <f>IFERROR('Résultats détaillés GES'!BH142/Tableau145[[#This Row],[2048]]*1000000,NA())</f>
        <v>8.6311023695176903E-2</v>
      </c>
      <c r="AH3" s="328">
        <f>IFERROR('Résultats détaillés GES'!BI142/Tableau145[[#This Row],[2049]]*1000000,NA())</f>
        <v>7.1103569684570211E-2</v>
      </c>
      <c r="AI3" s="328">
        <f>IFERROR('Résultats détaillés GES'!BJ142/Tableau145[[#This Row],[2050]]*1000000,NA())</f>
        <v>5.5925225633539757E-2</v>
      </c>
      <c r="AJ3" s="327" t="s">
        <v>390</v>
      </c>
    </row>
    <row r="4" spans="1:36" s="327" customFormat="1">
      <c r="A4" s="327" t="s">
        <v>391</v>
      </c>
      <c r="B4" s="327" t="s">
        <v>394</v>
      </c>
      <c r="C4" s="327" t="s">
        <v>453</v>
      </c>
      <c r="D4" s="328">
        <f>'Résultats détaillés GES'!AE142/Tableau145[[#This Row],[2019]]*1000</f>
        <v>14.874488247592346</v>
      </c>
      <c r="E4" s="328">
        <f>'Résultats détaillés GES'!AF142/Tableau145[[#This Row],[2020]]*1000</f>
        <v>14.435329900831308</v>
      </c>
      <c r="F4" s="328">
        <f>'Résultats détaillés GES'!AG142/Tableau145[[#This Row],[2021]]*1000</f>
        <v>14.661475960372504</v>
      </c>
      <c r="G4" s="328">
        <f>'Résultats détaillés GES'!AH142/Tableau145[[#This Row],[2022]]*1000</f>
        <v>12.03192174727255</v>
      </c>
      <c r="H4" s="328">
        <f>'Résultats détaillés GES'!AI142/Tableau145[[#This Row],[2023]]*1000</f>
        <v>10.882004589931118</v>
      </c>
      <c r="I4" s="328">
        <f>'Résultats détaillés GES'!AJ142/Tableau145[[#This Row],[2024]]*1000</f>
        <v>10.703647247284495</v>
      </c>
      <c r="J4" s="328">
        <f>'Résultats détaillés GES'!AK142/Tableau145[[#This Row],[2025]]*1000</f>
        <v>10.4858357291606</v>
      </c>
      <c r="K4" s="328">
        <f>'Résultats détaillés GES'!AL142/Tableau145[[#This Row],[2026]]*1000</f>
        <v>9.9691302303879379</v>
      </c>
      <c r="L4" s="328">
        <f>'Résultats détaillés GES'!AM142/Tableau145[[#This Row],[2027]]*1000</f>
        <v>8.9010601565125302</v>
      </c>
      <c r="M4" s="328">
        <f>'Résultats détaillés GES'!AN142/Tableau145[[#This Row],[2028]]*1000</f>
        <v>7.841282073663618</v>
      </c>
      <c r="N4" s="328">
        <f>'Résultats détaillés GES'!AO142/Tableau145[[#This Row],[2029]]*1000</f>
        <v>7.2129323004166137</v>
      </c>
      <c r="O4" s="328">
        <f>'Résultats détaillés GES'!AP142/Tableau145[[#This Row],[2030]]*1000</f>
        <v>6.5894231573359425</v>
      </c>
      <c r="P4" s="328">
        <f>'Résultats détaillés GES'!AQ142/Tableau145[[#This Row],[2031]]*1000</f>
        <v>6.0016427401266332</v>
      </c>
      <c r="Q4" s="328">
        <f>'Résultats détaillés GES'!AR142/Tableau145[[#This Row],[2032]]*1000</f>
        <v>5.4155235253868099</v>
      </c>
      <c r="R4" s="328">
        <f>'Résultats détaillés GES'!AS142/Tableau145[[#This Row],[2033]]*1000</f>
        <v>4.8310584806445425</v>
      </c>
      <c r="S4" s="328">
        <f>'Résultats détaillés GES'!AT142/Tableau145[[#This Row],[2034]]*1000</f>
        <v>4.3975556029367349</v>
      </c>
      <c r="T4" s="328">
        <f>'Résultats détaillés GES'!AU142/Tableau145[[#This Row],[2035]]*1000</f>
        <v>3.965272731906293</v>
      </c>
      <c r="U4" s="328">
        <f>'Résultats détaillés GES'!AV142/Tableau145[[#This Row],[2036]]*1000</f>
        <v>3.5922910675766078</v>
      </c>
      <c r="V4" s="328">
        <f>'Résultats détaillés GES'!AW142/Tableau145[[#This Row],[2037]]*1000</f>
        <v>3.2203561393111175</v>
      </c>
      <c r="W4" s="328">
        <f>'Résultats détaillés GES'!AX142/Tableau145[[#This Row],[2038]]*1000</f>
        <v>2.8494635469426526</v>
      </c>
      <c r="X4" s="328">
        <f>'Résultats détaillés GES'!AY142/Tableau145[[#This Row],[2039]]*1000</f>
        <v>2.5110105146395658</v>
      </c>
      <c r="Y4" s="328">
        <f>'Résultats détaillés GES'!AZ142/Tableau145[[#This Row],[2040]]*1000</f>
        <v>2.1735033355530784</v>
      </c>
      <c r="Z4" s="328">
        <f>'Résultats détaillés GES'!BA142/Tableau145[[#This Row],[2041]]*1000</f>
        <v>2.0355781775330946</v>
      </c>
      <c r="AA4" s="328">
        <f>'Résultats détaillés GES'!BB142/Tableau145[[#This Row],[2042]]*1000</f>
        <v>1.8980373960091128</v>
      </c>
      <c r="AB4" s="328">
        <f>'Résultats détaillés GES'!BC142/Tableau145[[#This Row],[2043]]*1000</f>
        <v>1.7608793864184773</v>
      </c>
      <c r="AC4" s="328">
        <f>'Résultats détaillés GES'!BD142/Tableau145[[#This Row],[2044]]*1000</f>
        <v>1.6241025531170217</v>
      </c>
      <c r="AD4" s="328">
        <f>'Résultats détaillés GES'!BE142/Tableau145[[#This Row],[2045]]*1000</f>
        <v>1.4877053093171946</v>
      </c>
      <c r="AE4" s="328">
        <f>'Résultats détaillés GES'!BF142/Tableau145[[#This Row],[2020]]*1000</f>
        <v>1.4042135722789579</v>
      </c>
      <c r="AF4" s="328">
        <f>'Résultats détaillés GES'!BG142/Tableau145[[#This Row],[2021]]*1000</f>
        <v>1.2121240293529196</v>
      </c>
      <c r="AG4" s="328">
        <f>'Résultats détaillés GES'!BH142/Tableau145[[#This Row],[2022]]*1000</f>
        <v>1.02714214542426</v>
      </c>
      <c r="AH4" s="328">
        <f>'Résultats détaillés GES'!BI142/Tableau145[[#This Row],[2023]]*1000</f>
        <v>0.84362479830365866</v>
      </c>
      <c r="AI4" s="328">
        <f>'Résultats détaillés GES'!BJ142/Tableau145[[#This Row],[2024]]*1000</f>
        <v>0.66155466404432561</v>
      </c>
      <c r="AJ4" s="327" t="s">
        <v>390</v>
      </c>
    </row>
    <row r="5" spans="1:36" s="327" customFormat="1">
      <c r="A5" s="327" t="s">
        <v>391</v>
      </c>
      <c r="B5" s="327" t="s">
        <v>396</v>
      </c>
      <c r="C5" s="327" t="s">
        <v>453</v>
      </c>
      <c r="D5" s="328">
        <f>IFERROR('Résultats détaillés GES'!AE148/Tableau145[[#This Row],[2019]]*1000000,NA())</f>
        <v>26.793859247034725</v>
      </c>
      <c r="E5" s="328">
        <f>IFERROR('Résultats détaillés GES'!AF148/Tableau145[[#This Row],[2020]]*1000000,NA())</f>
        <v>24.330524483480712</v>
      </c>
      <c r="F5" s="328">
        <f>IFERROR('Résultats détaillés GES'!AG148/Tableau145[[#This Row],[2021]]*1000000,NA())</f>
        <v>25.657140894762694</v>
      </c>
      <c r="G5" s="328">
        <f>IFERROR('Résultats détaillés GES'!AH148/Tableau145[[#This Row],[2022]]*1000000,NA())</f>
        <v>22.101375944735505</v>
      </c>
      <c r="H5" s="328">
        <f>IFERROR('Résultats détaillés GES'!AI148/Tableau145[[#This Row],[2023]]*1000000,NA())</f>
        <v>20.257291105078171</v>
      </c>
      <c r="I5" s="328">
        <f>IFERROR('Résultats détaillés GES'!AJ148/Tableau145[[#This Row],[2024]]*1000000,NA())</f>
        <v>19.74729180004536</v>
      </c>
      <c r="J5" s="328">
        <f>IFERROR('Résultats détaillés GES'!AK148/Tableau145[[#This Row],[2025]]*1000000,NA())</f>
        <v>19.130915395064516</v>
      </c>
      <c r="K5" s="328">
        <f>IFERROR('Résultats détaillés GES'!AL148/Tableau145[[#This Row],[2026]]*1000000,NA())</f>
        <v>18.212430869227795</v>
      </c>
      <c r="L5" s="328">
        <f>IFERROR('Résultats détaillés GES'!AM148/Tableau145[[#This Row],[2027]]*1000000,NA())</f>
        <v>17.399051760081615</v>
      </c>
      <c r="M5" s="328">
        <f>IFERROR('Résultats détaillés GES'!AN148/Tableau145[[#This Row],[2028]]*1000000,NA())</f>
        <v>16.58780917027854</v>
      </c>
      <c r="N5" s="328">
        <f>IFERROR('Résultats détaillés GES'!AO148/Tableau145[[#This Row],[2029]]*1000000,NA())</f>
        <v>15.098160353609252</v>
      </c>
      <c r="O5" s="328">
        <f>IFERROR('Résultats détaillés GES'!AP148/Tableau145[[#This Row],[2030]]*1000000,NA())</f>
        <v>13.612414176448086</v>
      </c>
      <c r="P5" s="328">
        <f>IFERROR('Résultats détaillés GES'!AQ148/Tableau145[[#This Row],[2031]]*1000000,NA())</f>
        <v>12.708089165430568</v>
      </c>
      <c r="Q5" s="328">
        <f>IFERROR('Résultats détaillés GES'!AR148/Tableau145[[#This Row],[2032]]*1000000,NA())</f>
        <v>11.803751399869244</v>
      </c>
      <c r="R5" s="328">
        <f>IFERROR('Résultats détaillés GES'!AS148/Tableau145[[#This Row],[2033]]*1000000,NA())</f>
        <v>10.899400879494262</v>
      </c>
      <c r="S5" s="328">
        <f>IFERROR('Résultats détaillés GES'!AT148/Tableau145[[#This Row],[2034]]*1000000,NA())</f>
        <v>10.127926370222028</v>
      </c>
      <c r="T5" s="328">
        <f>IFERROR('Résultats détaillés GES'!AU148/Tableau145[[#This Row],[2035]]*1000000,NA())</f>
        <v>9.3564409798910049</v>
      </c>
      <c r="U5" s="328">
        <f>IFERROR('Résultats détaillés GES'!AV148/Tableau145[[#This Row],[2036]]*1000000,NA())</f>
        <v>8.5333014312997975</v>
      </c>
      <c r="V5" s="328">
        <f>IFERROR('Résultats détaillés GES'!AW148/Tableau145[[#This Row],[2037]]*1000000,NA())</f>
        <v>7.7101502727901332</v>
      </c>
      <c r="W5" s="328">
        <f>IFERROR('Résultats détaillés GES'!AX148/Tableau145[[#This Row],[2038]]*1000000,NA())</f>
        <v>6.8869875041163837</v>
      </c>
      <c r="X5" s="328">
        <f>IFERROR('Résultats détaillés GES'!AY148/Tableau145[[#This Row],[2039]]*1000000,NA())</f>
        <v>6.192213006043807</v>
      </c>
      <c r="Y5" s="328">
        <f>IFERROR('Résultats détaillés GES'!AZ148/Tableau145[[#This Row],[2040]]*1000000,NA())</f>
        <v>5.4974287083619888</v>
      </c>
      <c r="Z5" s="328">
        <f>IFERROR('Résultats détaillés GES'!BA148/Tableau145[[#This Row],[2041]]*1000000,NA())</f>
        <v>5.0197056905943063</v>
      </c>
      <c r="AA5" s="328">
        <f>IFERROR('Résultats détaillés GES'!BB148/Tableau145[[#This Row],[2042]]*1000000,NA())</f>
        <v>4.5387960868210371</v>
      </c>
      <c r="AB5" s="328">
        <f>IFERROR('Résultats détaillés GES'!BC148/Tableau145[[#This Row],[2043]]*1000000,NA())</f>
        <v>4.0546679068202645</v>
      </c>
      <c r="AC5" s="328">
        <f>IFERROR('Résultats détaillés GES'!BD148/Tableau145[[#This Row],[2044]]*1000000,NA())</f>
        <v>3.5672887307314349</v>
      </c>
      <c r="AD5" s="328">
        <f>IFERROR('Résultats détaillés GES'!BE148/Tableau145[[#This Row],[2045]]*1000000,NA())</f>
        <v>3.0766257018183247</v>
      </c>
      <c r="AE5" s="328">
        <f>IFERROR('Résultats détaillés GES'!BF148/Tableau145[[#This Row],[2046]]*1000000,NA())</f>
        <v>2.6358302327446514</v>
      </c>
      <c r="AF5" s="328">
        <f>IFERROR('Résultats détaillés GES'!BG148/Tableau145[[#This Row],[2047]]*1000000,NA())</f>
        <v>2.1920446347098341</v>
      </c>
      <c r="AG5" s="328">
        <f>IFERROR('Résultats détaillés GES'!BH148/Tableau145[[#This Row],[2048]]*1000000,NA())</f>
        <v>1.7452383789306856</v>
      </c>
      <c r="AH5" s="328">
        <f>IFERROR('Résultats détaillés GES'!BI148/Tableau145[[#This Row],[2049]]*1000000,NA())</f>
        <v>1.2953805196122068</v>
      </c>
      <c r="AI5" s="328">
        <f>IFERROR('Résultats détaillés GES'!BJ148/Tableau145[[#This Row],[2050]]*1000000,NA())</f>
        <v>0.84243968680290704</v>
      </c>
      <c r="AJ5" s="327" t="s">
        <v>390</v>
      </c>
    </row>
    <row r="6" spans="1:36" s="327" customFormat="1">
      <c r="A6" s="327" t="s">
        <v>257</v>
      </c>
      <c r="B6" s="327" t="s">
        <v>397</v>
      </c>
      <c r="C6" s="327" t="s">
        <v>480</v>
      </c>
      <c r="D6" s="331">
        <f>IFERROR('Résultats détaillés GES'!AE191/Tableau145[[#This Row],[2019]],NA())</f>
        <v>0.12380613786653248</v>
      </c>
      <c r="E6" s="331">
        <f>IFERROR('Résultats détaillés GES'!AF191/Tableau145[[#This Row],[2020]],NA())</f>
        <v>0.13853743598499355</v>
      </c>
      <c r="F6" s="331">
        <f>IFERROR('Résultats détaillés GES'!AG191/Tableau145[[#This Row],[2021]],NA())</f>
        <v>0.13982595446538798</v>
      </c>
      <c r="G6" s="331">
        <f>IFERROR('Résultats détaillés GES'!AH191/Tableau145[[#This Row],[2022]],NA())</f>
        <v>0.12624415607741343</v>
      </c>
      <c r="H6" s="331">
        <f>IFERROR('Résultats détaillés GES'!AI191/Tableau145[[#This Row],[2023]],NA())</f>
        <v>0.12140826272271031</v>
      </c>
      <c r="I6" s="331">
        <f>IFERROR('Résultats détaillés GES'!AJ191/Tableau145[[#This Row],[2024]],NA())</f>
        <v>0.11874673709675182</v>
      </c>
      <c r="J6" s="331">
        <f>IFERROR('Résultats détaillés GES'!AK191/Tableau145[[#This Row],[2025]],NA())</f>
        <v>0.11520309942883142</v>
      </c>
      <c r="K6" s="331">
        <f>IFERROR('Résultats détaillés GES'!AL191/Tableau145[[#This Row],[2026]],NA())</f>
        <v>0.11012013171865825</v>
      </c>
      <c r="L6" s="331">
        <f>IFERROR('Résultats détaillés GES'!AM191/Tableau145[[#This Row],[2027]],NA())</f>
        <v>0.10165605659680191</v>
      </c>
      <c r="M6" s="331">
        <f>IFERROR('Résultats détaillés GES'!AN191/Tableau145[[#This Row],[2028]],NA())</f>
        <v>9.33466198734519E-2</v>
      </c>
      <c r="N6" s="331">
        <f>IFERROR('Résultats détaillés GES'!AO191/Tableau145[[#This Row],[2029]],NA())</f>
        <v>8.6667624625601125E-2</v>
      </c>
      <c r="O6" s="331">
        <f>IFERROR('Résultats détaillés GES'!AP191/Tableau145[[#This Row],[2030]],NA())</f>
        <v>8.1131961984623732E-2</v>
      </c>
      <c r="P6" s="331">
        <f>IFERROR('Résultats détaillés GES'!AQ191/Tableau145[[#This Row],[2031]],NA())</f>
        <v>8.1467223456629781E-2</v>
      </c>
      <c r="Q6" s="331">
        <f>IFERROR('Résultats détaillés GES'!AR191/Tableau145[[#This Row],[2032]],NA())</f>
        <v>7.5636309433766716E-2</v>
      </c>
      <c r="R6" s="331">
        <f>IFERROR('Résultats détaillés GES'!AS191/Tableau145[[#This Row],[2033]],NA())</f>
        <v>6.3479441228569009E-2</v>
      </c>
      <c r="S6" s="331">
        <f>IFERROR('Résultats détaillés GES'!AT191/Tableau145[[#This Row],[2034]],NA())</f>
        <v>6.4127513937767208E-2</v>
      </c>
      <c r="T6" s="331">
        <f>IFERROR('Résultats détaillés GES'!AU191/Tableau145[[#This Row],[2035]],NA())</f>
        <v>5.1946633465727456E-2</v>
      </c>
      <c r="U6" s="331">
        <f>IFERROR('Résultats détaillés GES'!AV191/Tableau145[[#This Row],[2036]],NA())</f>
        <v>5.8869367072960754E-2</v>
      </c>
      <c r="V6" s="331">
        <f>IFERROR('Résultats détaillés GES'!AW191/Tableau145[[#This Row],[2037]],NA())</f>
        <v>5.3202176613654457E-2</v>
      </c>
      <c r="W6" s="331">
        <f>IFERROR('Résultats détaillés GES'!AX191/Tableau145[[#This Row],[2038]],NA())</f>
        <v>3.5030131778706335E-2</v>
      </c>
      <c r="X6" s="331">
        <f>IFERROR('Résultats détaillés GES'!AY191/Tableau145[[#This Row],[2039]],NA())</f>
        <v>4.1992210097724615E-2</v>
      </c>
      <c r="Y6" s="331">
        <f>IFERROR('Résultats détaillés GES'!AZ191/Tableau145[[#This Row],[2040]],NA())</f>
        <v>2.3935061687166061E-2</v>
      </c>
      <c r="Z6" s="331">
        <f>IFERROR('Résultats détaillés GES'!BA191/Tableau145[[#This Row],[2041]],NA())</f>
        <v>2.0220662852900737E-2</v>
      </c>
      <c r="AA6" s="331">
        <f>IFERROR('Résultats détaillés GES'!BB191/Tableau145[[#This Row],[2042]],NA())</f>
        <v>1.6529171470055955E-2</v>
      </c>
      <c r="AB6" s="331">
        <f>IFERROR('Résultats détaillés GES'!BC191/Tableau145[[#This Row],[2043]],NA())</f>
        <v>1.2860376277723446E-2</v>
      </c>
      <c r="AC6" s="331">
        <f>IFERROR('Résultats détaillés GES'!BD191/Tableau145[[#This Row],[2044]],NA())</f>
        <v>9.2140686048008836E-3</v>
      </c>
      <c r="AD6" s="331">
        <f>IFERROR('Résultats détaillés GES'!BE191/Tableau145[[#This Row],[2045]],NA())</f>
        <v>5.5900423304282134E-3</v>
      </c>
      <c r="AE6" s="331">
        <f>IFERROR('Résultats détaillés GES'!BF191/Tableau145[[#This Row],[2046]],NA())</f>
        <v>4.4717642006853837E-3</v>
      </c>
      <c r="AF6" s="331">
        <f>IFERROR('Résultats détaillés GES'!BG191/Tableau145[[#This Row],[2047]],NA())</f>
        <v>3.360278001085995E-3</v>
      </c>
      <c r="AG6" s="331">
        <f>IFERROR('Résultats détaillés GES'!BH191/Tableau145[[#This Row],[2048]],NA())</f>
        <v>2.2555220421670106E-3</v>
      </c>
      <c r="AH6" s="331">
        <f>IFERROR('Résultats détaillés GES'!BI191/Tableau145[[#This Row],[2049]],NA())</f>
        <v>1.1574353792910528E-3</v>
      </c>
      <c r="AI6" s="331">
        <f>IFERROR('Résultats détaillés GES'!BJ191/Tableau145[[#This Row],[2050]],NA())</f>
        <v>6.5957801439143977E-5</v>
      </c>
      <c r="AJ6" s="327" t="s">
        <v>390</v>
      </c>
    </row>
    <row r="7" spans="1:36" s="327" customFormat="1">
      <c r="A7" s="327" t="s">
        <v>257</v>
      </c>
      <c r="B7" s="327" t="s">
        <v>479</v>
      </c>
      <c r="C7" s="327" t="s">
        <v>480</v>
      </c>
      <c r="D7" s="328">
        <f>IFERROR(SUM('Résultats détaillés GES'!AE170:AE174)/Tableau145[[#This Row],[2019]],NA())</f>
        <v>9.052917166372737E-2</v>
      </c>
      <c r="E7" s="328">
        <f>IFERROR(SUM('Résultats détaillés GES'!AF170:AF174)/Tableau145[[#This Row],[2020]],NA())</f>
        <v>9.2200251639581357E-2</v>
      </c>
      <c r="F7" s="328">
        <f>IFERROR(SUM('Résultats détaillés GES'!AG170:AG174)/Tableau145[[#This Row],[2021]],NA())</f>
        <v>9.4882074282153589E-2</v>
      </c>
      <c r="G7" s="328">
        <f>IFERROR(SUM('Résultats détaillés GES'!AH170:AH174)/Tableau145[[#This Row],[2022]],NA())</f>
        <v>8.9929516378996821E-2</v>
      </c>
      <c r="H7" s="328">
        <f>IFERROR(SUM('Résultats détaillés GES'!AI170:AI174)/Tableau145[[#This Row],[2023]],NA())</f>
        <v>8.8233480638280612E-2</v>
      </c>
      <c r="I7" s="328">
        <f>IFERROR(SUM('Résultats détaillés GES'!AJ170:AJ174)/Tableau145[[#This Row],[2024]],NA())</f>
        <v>8.7057450475180737E-2</v>
      </c>
      <c r="J7" s="328">
        <f>IFERROR(SUM('Résultats détaillés GES'!AK170:AK174)/Tableau145[[#This Row],[2025]],NA())</f>
        <v>8.6109666543906532E-2</v>
      </c>
      <c r="K7" s="328">
        <f>IFERROR(SUM('Résultats détaillés GES'!AL170:AL174)/Tableau145[[#This Row],[2026]],NA())</f>
        <v>8.2938604607970298E-2</v>
      </c>
      <c r="L7" s="328">
        <f>IFERROR(SUM('Résultats détaillés GES'!AM170:AM174)/Tableau145[[#This Row],[2027]],NA())</f>
        <v>7.5834486272149795E-2</v>
      </c>
      <c r="M7" s="328">
        <f>IFERROR(SUM('Résultats détaillés GES'!AN170:AN174)/Tableau145[[#This Row],[2028]],NA())</f>
        <v>6.8761911251920327E-2</v>
      </c>
      <c r="N7" s="328">
        <f>IFERROR(SUM('Résultats détaillés GES'!AO170:AO174)/Tableau145[[#This Row],[2029]],NA())</f>
        <v>6.4832645551723744E-2</v>
      </c>
      <c r="O7" s="328">
        <f>IFERROR(SUM('Résultats détaillés GES'!AP170:AP174)/Tableau145[[#This Row],[2030]],NA())</f>
        <v>6.0920749238428759E-2</v>
      </c>
      <c r="P7" s="328">
        <f>IFERROR(SUM('Résultats détaillés GES'!AQ170:AQ174)/Tableau145[[#This Row],[2031]],NA())</f>
        <v>5.6528951063495057E-2</v>
      </c>
      <c r="Q7" s="328">
        <f>IFERROR(SUM('Résultats détaillés GES'!AR170:AR174)/Tableau145[[#This Row],[2032]],NA())</f>
        <v>5.2133889297401294E-2</v>
      </c>
      <c r="R7" s="328">
        <f>IFERROR(SUM('Résultats détaillés GES'!AS170:AS174)/Tableau145[[#This Row],[2033]],NA())</f>
        <v>4.7735560300982263E-2</v>
      </c>
      <c r="S7" s="328">
        <f>IFERROR(SUM('Résultats détaillés GES'!AT170:AT174)/Tableau145[[#This Row],[2034]],NA())</f>
        <v>4.3359540538991444E-2</v>
      </c>
      <c r="T7" s="328">
        <f>IFERROR(SUM('Résultats détaillés GES'!AU170:AU174)/Tableau145[[#This Row],[2035]],NA())</f>
        <v>3.8980265282155875E-2</v>
      </c>
      <c r="U7" s="328">
        <f>IFERROR(SUM('Résultats détaillés GES'!AV170:AV174)/Tableau145[[#This Row],[2036]],NA())</f>
        <v>3.4740770537202446E-2</v>
      </c>
      <c r="V7" s="328">
        <f>IFERROR(SUM('Résultats détaillés GES'!AW170:AW174)/Tableau145[[#This Row],[2037]],NA())</f>
        <v>3.0498119515705562E-2</v>
      </c>
      <c r="W7" s="328">
        <f>IFERROR(SUM('Résultats détaillés GES'!AX170:AX174)/Tableau145[[#This Row],[2038]],NA())</f>
        <v>2.6252308691611281E-2</v>
      </c>
      <c r="X7" s="328">
        <f>IFERROR(SUM('Résultats détaillés GES'!AY170:AY174)/Tableau145[[#This Row],[2039]],NA())</f>
        <v>2.2001771272533888E-2</v>
      </c>
      <c r="Y7" s="328">
        <f>IFERROR(SUM('Résultats détaillés GES'!AZ170:AZ174)/Tableau145[[#This Row],[2040]],NA())</f>
        <v>1.7748065817840053E-2</v>
      </c>
      <c r="Z7" s="328">
        <f>IFERROR(SUM('Résultats détaillés GES'!BA170:BA174)/Tableau145[[#This Row],[2041]],NA())</f>
        <v>1.4912309455494913E-2</v>
      </c>
      <c r="AA7" s="328">
        <f>IFERROR(SUM('Résultats détaillés GES'!BB170:BB174)/Tableau145[[#This Row],[2042]],NA())</f>
        <v>1.2074437954026143E-2</v>
      </c>
      <c r="AB7" s="328">
        <f>IFERROR(SUM('Résultats détaillés GES'!BC170:BC174)/Tableau145[[#This Row],[2043]],NA())</f>
        <v>9.2344489460851244E-3</v>
      </c>
      <c r="AC7" s="328">
        <f>IFERROR(SUM('Résultats détaillés GES'!BD170:BD174)/Tableau145[[#This Row],[2044]],NA())</f>
        <v>6.3923400607890759E-3</v>
      </c>
      <c r="AD7" s="328">
        <f>IFERROR(SUM('Résultats détaillés GES'!BE170:BE174)/Tableau145[[#This Row],[2045]],NA())</f>
        <v>3.5481089237144655E-3</v>
      </c>
      <c r="AE7" s="328">
        <f>IFERROR(SUM('Résultats détaillés GES'!BF170:BF174)/Tableau145[[#This Row],[2046]],NA())</f>
        <v>2.8400370942081878E-3</v>
      </c>
      <c r="AF7" s="328">
        <f>IFERROR(SUM('Résultats détaillés GES'!BG170:BG174)/Tableau145[[#This Row],[2047]],NA())</f>
        <v>2.1314361401342857E-3</v>
      </c>
      <c r="AG7" s="328">
        <f>IFERROR(SUM('Résultats détaillés GES'!BH170:BH174)/Tableau145[[#This Row],[2048]],NA())</f>
        <v>1.4223054681685133E-3</v>
      </c>
      <c r="AH7" s="328">
        <f>IFERROR(SUM('Résultats détaillés GES'!BI170:BI174)/Tableau145[[#This Row],[2049]],NA())</f>
        <v>7.1264448409921071E-4</v>
      </c>
      <c r="AI7" s="328">
        <f>IFERROR(SUM('Résultats détaillés GES'!BJ170:BJ174)/Tableau145[[#This Row],[2050]],NA())</f>
        <v>2.4525928256407077E-6</v>
      </c>
      <c r="AJ7" s="327" t="s">
        <v>390</v>
      </c>
    </row>
    <row r="8" spans="1:36" s="327" customFormat="1">
      <c r="A8" s="327" t="s">
        <v>257</v>
      </c>
      <c r="B8" s="327" t="s">
        <v>399</v>
      </c>
      <c r="C8" s="327" t="s">
        <v>480</v>
      </c>
      <c r="D8" s="328">
        <f>IFERROR(SUM('Résultats détaillés GES'!AE188:AE190)/Tableau145[[#This Row],[2019]],NA())</f>
        <v>0.12901152904969257</v>
      </c>
      <c r="E8" s="328">
        <f>IFERROR(SUM('Résultats détaillés GES'!AF188:AF190)/Tableau145[[#This Row],[2020]],NA())</f>
        <v>0.13152283207298357</v>
      </c>
      <c r="F8" s="328">
        <f>IFERROR(SUM('Résultats détaillés GES'!AG188:AG190)/Tableau145[[#This Row],[2021]],NA())</f>
        <v>0.13254931379147505</v>
      </c>
      <c r="G8" s="328">
        <f>IFERROR(SUM('Résultats détaillés GES'!AH188:AH190)/Tableau145[[#This Row],[2022]],NA())</f>
        <v>0.13165108272218873</v>
      </c>
      <c r="H8" s="328">
        <f>IFERROR(SUM('Résultats détaillés GES'!AI188:AI190)/Tableau145[[#This Row],[2023]],NA())</f>
        <v>0.13636042870940823</v>
      </c>
      <c r="I8" s="328">
        <f>IFERROR(SUM('Résultats détaillés GES'!AJ188:AJ190)/Tableau145[[#This Row],[2024]],NA())</f>
        <v>0.14899754885690616</v>
      </c>
      <c r="J8" s="328">
        <f>IFERROR(SUM('Résultats détaillés GES'!AK188:AK190)/Tableau145[[#This Row],[2025]],NA())</f>
        <v>0.15435479803482369</v>
      </c>
      <c r="K8" s="328">
        <f>IFERROR(SUM('Résultats détaillés GES'!AL188:AL190)/Tableau145[[#This Row],[2026]],NA())</f>
        <v>0.14648917764575667</v>
      </c>
      <c r="L8" s="328">
        <f>IFERROR(SUM('Résultats détaillés GES'!AM188:AM190)/Tableau145[[#This Row],[2027]],NA())</f>
        <v>0.12526779026802737</v>
      </c>
      <c r="M8" s="328">
        <f>IFERROR(SUM('Résultats détaillés GES'!AN188:AN190)/Tableau145[[#This Row],[2028]],NA())</f>
        <v>0.10405608461798002</v>
      </c>
      <c r="N8" s="328">
        <f>IFERROR(SUM('Résultats détaillés GES'!AO188:AO190)/Tableau145[[#This Row],[2029]],NA())</f>
        <v>9.6838392408303497E-2</v>
      </c>
      <c r="O8" s="328">
        <f>IFERROR(SUM('Résultats détaillés GES'!AP188:AP190)/Tableau145[[#This Row],[2030]],NA())</f>
        <v>8.9623991588717533E-2</v>
      </c>
      <c r="P8" s="328">
        <f>IFERROR(SUM('Résultats détaillés GES'!AQ188:AQ190)/Tableau145[[#This Row],[2031]],NA())</f>
        <v>8.2651439359831297E-2</v>
      </c>
      <c r="Q8" s="328">
        <f>IFERROR(SUM('Résultats détaillés GES'!AR188:AR190)/Tableau145[[#This Row],[2032]],NA())</f>
        <v>7.5663696385348353E-2</v>
      </c>
      <c r="R8" s="328">
        <f>IFERROR(SUM('Résultats détaillés GES'!AS188:AS190)/Tableau145[[#This Row],[2033]],NA())</f>
        <v>6.8660712968172999E-2</v>
      </c>
      <c r="S8" s="328">
        <f>IFERROR(SUM('Résultats détaillés GES'!AT188:AT190)/Tableau145[[#This Row],[2034]],NA())</f>
        <v>6.1648311719940126E-2</v>
      </c>
      <c r="T8" s="328">
        <f>IFERROR(SUM('Résultats détaillés GES'!AU188:AU190)/Tableau145[[#This Row],[2035]],NA())</f>
        <v>5.4620582818705674E-2</v>
      </c>
      <c r="U8" s="328">
        <f>IFERROR(SUM('Résultats détaillés GES'!AV188:AV190)/Tableau145[[#This Row],[2036]],NA())</f>
        <v>5.0308428026757793E-2</v>
      </c>
      <c r="V8" s="328">
        <f>IFERROR(SUM('Résultats détaillés GES'!AW188:AW190)/Tableau145[[#This Row],[2037]],NA())</f>
        <v>4.5986827112593151E-2</v>
      </c>
      <c r="W8" s="328">
        <f>IFERROR(SUM('Résultats détaillés GES'!AX188:AX190)/Tableau145[[#This Row],[2038]],NA())</f>
        <v>4.1655749003441309E-2</v>
      </c>
      <c r="X8" s="328">
        <f>IFERROR(SUM('Résultats détaillés GES'!AY188:AY190)/Tableau145[[#This Row],[2039]],NA())</f>
        <v>3.731518133714172E-2</v>
      </c>
      <c r="Y8" s="328">
        <f>IFERROR(SUM('Résultats détaillés GES'!AZ188:AZ190)/Tableau145[[#This Row],[2040]],NA())</f>
        <v>3.2965073961685437E-2</v>
      </c>
      <c r="Z8" s="328">
        <f>IFERROR(SUM('Résultats détaillés GES'!BA188:BA190)/Tableau145[[#This Row],[2041]],NA())</f>
        <v>2.9133958176268522E-2</v>
      </c>
      <c r="AA8" s="328">
        <f>IFERROR(SUM('Résultats détaillés GES'!BB188:BB190)/Tableau145[[#This Row],[2042]],NA())</f>
        <v>2.5294403809826463E-2</v>
      </c>
      <c r="AB8" s="328">
        <f>IFERROR(SUM('Résultats détaillés GES'!BC188:BC190)/Tableau145[[#This Row],[2043]],NA())</f>
        <v>2.1446382950845392E-2</v>
      </c>
      <c r="AC8" s="328">
        <f>IFERROR(SUM('Résultats détaillés GES'!BD188:BD190)/Tableau145[[#This Row],[2044]],NA())</f>
        <v>1.75898675645818E-2</v>
      </c>
      <c r="AD8" s="328">
        <f>IFERROR(SUM('Résultats détaillés GES'!BE188:BE190)/Tableau145[[#This Row],[2045]],NA())</f>
        <v>1.3724829492381716E-2</v>
      </c>
      <c r="AE8" s="328">
        <f>IFERROR(SUM('Résultats détaillés GES'!BF188:BF190)/Tableau145[[#This Row],[2046]],NA())</f>
        <v>1.1059459894329122E-2</v>
      </c>
      <c r="AF8" s="328">
        <f>IFERROR(SUM('Résultats détaillés GES'!BG188:BG190)/Tableau145[[#This Row],[2047]],NA())</f>
        <v>8.3881869306108511E-3</v>
      </c>
      <c r="AG8" s="328">
        <f>IFERROR(SUM('Résultats détaillés GES'!BH188:BH190)/Tableau145[[#This Row],[2048]],NA())</f>
        <v>5.7109909669730285E-3</v>
      </c>
      <c r="AH8" s="328">
        <f>IFERROR(SUM('Résultats détaillés GES'!BI188:BI190)/Tableau145[[#This Row],[2049]],NA())</f>
        <v>3.0278522819952771E-3</v>
      </c>
      <c r="AI8" s="328">
        <f>IFERROR(SUM('Résultats détaillés GES'!BJ188:BJ190)/Tableau145[[#This Row],[2050]],NA())</f>
        <v>3.3875106660646365E-4</v>
      </c>
      <c r="AJ8" s="327" t="s">
        <v>390</v>
      </c>
    </row>
    <row r="9" spans="1:36" s="327" customFormat="1">
      <c r="A9" s="327" t="s">
        <v>257</v>
      </c>
      <c r="B9" s="327" t="s">
        <v>400</v>
      </c>
      <c r="C9" s="327" t="s">
        <v>480</v>
      </c>
      <c r="D9" s="328">
        <f>IFERROR(SUM('Résultats détaillés GES'!AE184:AE187)/Tableau145[[#This Row],[2019]],NA())</f>
        <v>4.5854295544744746E-2</v>
      </c>
      <c r="E9" s="328">
        <f>IFERROR(SUM('Résultats détaillés GES'!AF184:AF187)/Tableau145[[#This Row],[2020]],NA())</f>
        <v>5.7382753202377297E-2</v>
      </c>
      <c r="F9" s="328">
        <f>IFERROR(SUM('Résultats détaillés GES'!AG184:AG187)/Tableau145[[#This Row],[2021]],NA())</f>
        <v>6.3992951337283582E-2</v>
      </c>
      <c r="G9" s="328">
        <f>IFERROR(SUM('Résultats détaillés GES'!AH184:AH187)/Tableau145[[#This Row],[2022]],NA())</f>
        <v>5.9898903740085101E-2</v>
      </c>
      <c r="H9" s="328">
        <f>IFERROR(SUM('Résultats détaillés GES'!AI184:AI187)/Tableau145[[#This Row],[2023]],NA())</f>
        <v>5.5307154735407094E-2</v>
      </c>
      <c r="I9" s="328">
        <f>IFERROR(SUM('Résultats détaillés GES'!AJ184:AJ187)/Tableau145[[#This Row],[2024]],NA())</f>
        <v>5.3374188957210411E-2</v>
      </c>
      <c r="J9" s="328">
        <f>IFERROR(SUM('Résultats détaillés GES'!AK184:AK187)/Tableau145[[#This Row],[2025]],NA())</f>
        <v>4.9931553760269552E-2</v>
      </c>
      <c r="K9" s="328">
        <f>IFERROR(SUM('Résultats détaillés GES'!AL184:AL187)/Tableau145[[#This Row],[2026]],NA())</f>
        <v>3.8851617698722883E-2</v>
      </c>
      <c r="L9" s="328">
        <f>IFERROR(SUM('Résultats détaillés GES'!AM184:AM187)/Tableau145[[#This Row],[2027]],NA())</f>
        <v>3.8561238764947804E-2</v>
      </c>
      <c r="M9" s="328">
        <f>IFERROR(SUM('Résultats détaillés GES'!AN184:AN187)/Tableau145[[#This Row],[2028]],NA())</f>
        <v>3.8291167947497207E-2</v>
      </c>
      <c r="N9" s="328">
        <f>IFERROR(SUM('Résultats détaillés GES'!AO184:AO187)/Tableau145[[#This Row],[2029]],NA())</f>
        <v>2.7820081588324882E-2</v>
      </c>
      <c r="O9" s="328">
        <f>IFERROR(SUM('Résultats détaillés GES'!AP184:AP187)/Tableau145[[#This Row],[2030]],NA())</f>
        <v>3.4096079025204028E-2</v>
      </c>
      <c r="P9" s="328">
        <f>IFERROR(SUM('Résultats détaillés GES'!AQ184:AQ187)/Tableau145[[#This Row],[2031]],NA())</f>
        <v>2.427269952277239E-2</v>
      </c>
      <c r="Q9" s="328">
        <f>IFERROR(SUM('Résultats détaillés GES'!AR184:AR187)/Tableau145[[#This Row],[2032]],NA())</f>
        <v>2.3061017019914486E-2</v>
      </c>
      <c r="R9" s="328">
        <f>IFERROR(SUM('Résultats détaillés GES'!AS184:AS187)/Tableau145[[#This Row],[2033]],NA())</f>
        <v>2.7346854777167442E-2</v>
      </c>
      <c r="S9" s="328">
        <f>IFERROR(SUM('Résultats détaillés GES'!AT184:AT187)/Tableau145[[#This Row],[2034]],NA())</f>
        <v>2.0542018276029302E-2</v>
      </c>
      <c r="T9" s="328">
        <f>IFERROR(SUM('Résultats détaillés GES'!AU184:AU187)/Tableau145[[#This Row],[2035]],NA())</f>
        <v>2.2867771182200861E-2</v>
      </c>
      <c r="U9" s="328">
        <f>IFERROR(SUM('Résultats détaillés GES'!AV184:AV187)/Tableau145[[#This Row],[2036]],NA())</f>
        <v>1.8088596631458856E-2</v>
      </c>
      <c r="V9" s="328">
        <f>IFERROR(SUM('Résultats détaillés GES'!AW184:AW187)/Tableau145[[#This Row],[2037]],NA())</f>
        <v>1.7008531611983953E-2</v>
      </c>
      <c r="W9" s="328">
        <f>IFERROR(SUM('Résultats détaillés GES'!AX184:AX187)/Tableau145[[#This Row],[2038]],NA())</f>
        <v>1.5848744087787883E-2</v>
      </c>
      <c r="X9" s="328">
        <f>IFERROR(SUM('Résultats détaillés GES'!AY184:AY187)/Tableau145[[#This Row],[2039]],NA())</f>
        <v>1.4752156106094106E-2</v>
      </c>
      <c r="Y9" s="328">
        <f>IFERROR(SUM('Résultats détaillés GES'!AZ184:AZ187)/Tableau145[[#This Row],[2040]],NA())</f>
        <v>1.1180179494876647E-2</v>
      </c>
      <c r="Z9" s="328">
        <f>IFERROR(SUM('Résultats détaillés GES'!BA184:BA187)/Tableau145[[#This Row],[2041]],NA())</f>
        <v>9.5629380429350149E-3</v>
      </c>
      <c r="AA9" s="328">
        <f>IFERROR(SUM('Résultats détaillés GES'!BB184:BB187)/Tableau145[[#This Row],[2042]],NA())</f>
        <v>7.9520105886246306E-3</v>
      </c>
      <c r="AB9" s="328">
        <f>IFERROR(SUM('Résultats détaillés GES'!BC184:BC187)/Tableau145[[#This Row],[2043]],NA())</f>
        <v>6.3473602275352743E-3</v>
      </c>
      <c r="AC9" s="328">
        <f>IFERROR(SUM('Résultats détaillés GES'!BD184:BD187)/Tableau145[[#This Row],[2044]],NA())</f>
        <v>4.7489503422988152E-3</v>
      </c>
      <c r="AD9" s="328">
        <f>IFERROR(SUM('Résultats détaillés GES'!BE184:BE187)/Tableau145[[#This Row],[2045]],NA())</f>
        <v>3.1567445998038307E-3</v>
      </c>
      <c r="AE9" s="328">
        <f>IFERROR(SUM('Résultats détaillés GES'!BF184:BF187)/Tableau145[[#This Row],[2046]],NA())</f>
        <v>2.5337087832575603E-3</v>
      </c>
      <c r="AF9" s="328">
        <f>IFERROR(SUM('Résultats détaillés GES'!BG184:BG187)/Tableau145[[#This Row],[2047]],NA())</f>
        <v>1.9130818968786122E-3</v>
      </c>
      <c r="AG9" s="328">
        <f>IFERROR(SUM('Résultats détaillés GES'!BH184:BH187)/Tableau145[[#This Row],[2048]],NA())</f>
        <v>1.2948499966504237E-3</v>
      </c>
      <c r="AH9" s="328">
        <f>IFERROR(SUM('Résultats détaillés GES'!BI184:BI187)/Tableau145[[#This Row],[2049]],NA())</f>
        <v>6.7899924596851694E-4</v>
      </c>
      <c r="AI9" s="328">
        <f>IFERROR(SUM('Résultats détaillés GES'!BJ184:BJ187)/Tableau145[[#This Row],[2050]],NA())</f>
        <v>6.5515914608228751E-5</v>
      </c>
      <c r="AJ9" s="327" t="s">
        <v>390</v>
      </c>
    </row>
    <row r="10" spans="1:36" s="327" customFormat="1">
      <c r="A10" s="327" t="s">
        <v>257</v>
      </c>
      <c r="B10" s="327" t="s">
        <v>401</v>
      </c>
      <c r="C10" s="327" t="s">
        <v>480</v>
      </c>
      <c r="D10" s="328">
        <f>IFERROR(SUM('Résultats détaillés GES'!AE192)/Tableau145[[#This Row],[2019]]*Tableau145[[#This Row],[2019]]/(Tableau145[[#This Row],[2019]]+'Données d''activité'!D16),NA())</f>
        <v>3.3481726171202221E-3</v>
      </c>
      <c r="E10" s="328">
        <f>IFERROR(SUM('Résultats détaillés GES'!AF192)/Tableau145[[#This Row],[2020]]*Tableau145[[#This Row],[2020]]/(Tableau145[[#This Row],[2020]]+'Données d''activité'!E16),NA())</f>
        <v>4.1873615850521661E-3</v>
      </c>
      <c r="F10" s="328">
        <f>IFERROR(SUM('Résultats détaillés GES'!AG192)/Tableau145[[#This Row],[2021]]*Tableau145[[#This Row],[2021]]/(Tableau145[[#This Row],[2021]]+'Données d''activité'!F16),NA())</f>
        <v>3.7445477339519049E-3</v>
      </c>
      <c r="G10" s="328">
        <f>IFERROR(SUM('Résultats détaillés GES'!AH192)/Tableau145[[#This Row],[2022]]*Tableau145[[#This Row],[2022]]/(Tableau145[[#This Row],[2022]]+'Données d''activité'!G16),NA())</f>
        <v>3.1942850213228435E-3</v>
      </c>
      <c r="H10" s="328">
        <f>IFERROR(SUM('Résultats détaillés GES'!AI192)/Tableau145[[#This Row],[2023]]*Tableau145[[#This Row],[2023]]/(Tableau145[[#This Row],[2023]]+'Données d''activité'!H16),NA())</f>
        <v>2.9183367504004637E-3</v>
      </c>
      <c r="I10" s="328">
        <f>IFERROR(SUM('Résultats détaillés GES'!AJ192)/Tableau145[[#This Row],[2024]]*Tableau145[[#This Row],[2024]]/(Tableau145[[#This Row],[2024]]+'Données d''activité'!I16),NA())</f>
        <v>2.8911457885513383E-3</v>
      </c>
      <c r="J10" s="328">
        <f>IFERROR(SUM('Résultats détaillés GES'!AK192)/Tableau145[[#This Row],[2025]]*Tableau145[[#This Row],[2025]]/(Tableau145[[#This Row],[2025]]+'Données d''activité'!J16),NA())</f>
        <v>2.7598018185595839E-3</v>
      </c>
      <c r="K10" s="328">
        <f>IFERROR(SUM('Résultats détaillés GES'!AL192)/Tableau145[[#This Row],[2026]]*Tableau145[[#This Row],[2026]]/(Tableau145[[#This Row],[2026]]+'Données d''activité'!K16),NA())</f>
        <v>2.58967082814316E-3</v>
      </c>
      <c r="L10" s="328">
        <f>IFERROR(SUM('Résultats détaillés GES'!AM192)/Tableau145[[#This Row],[2027]]*Tableau145[[#This Row],[2027]]/(Tableau145[[#This Row],[2027]]+'Données d''activité'!L16),NA())</f>
        <v>2.3854341089736579E-3</v>
      </c>
      <c r="M10" s="328">
        <f>IFERROR(SUM('Résultats détaillés GES'!AN192)/Tableau145[[#This Row],[2028]]*Tableau145[[#This Row],[2028]]/(Tableau145[[#This Row],[2028]]+'Données d''activité'!M16),NA())</f>
        <v>2.2022172692973303E-3</v>
      </c>
      <c r="N10" s="328">
        <f>IFERROR(SUM('Résultats détaillés GES'!AO192)/Tableau145[[#This Row],[2029]]*Tableau145[[#This Row],[2029]]/(Tableau145[[#This Row],[2029]]+'Données d''activité'!N16),NA())</f>
        <v>2.0962539938471124E-3</v>
      </c>
      <c r="O10" s="328">
        <f>IFERROR(SUM('Résultats détaillés GES'!AP192)/Tableau145[[#This Row],[2030]]*Tableau145[[#This Row],[2030]]/(Tableau145[[#This Row],[2030]]+'Données d''activité'!O16),NA())</f>
        <v>2.0001787096650269E-3</v>
      </c>
      <c r="P10" s="328">
        <f>IFERROR(SUM('Résultats détaillés GES'!AQ192)/Tableau145[[#This Row],[2031]]*Tableau145[[#This Row],[2031]]/(Tableau145[[#This Row],[2031]]+'Données d''activité'!P16),NA())</f>
        <v>1.8611343512534577E-3</v>
      </c>
      <c r="Q10" s="328">
        <f>IFERROR(SUM('Résultats détaillés GES'!AR192)/Tableau145[[#This Row],[2032]]*Tableau145[[#This Row],[2032]]/(Tableau145[[#This Row],[2032]]+'Données d''activité'!Q16),NA())</f>
        <v>1.7271001431388962E-3</v>
      </c>
      <c r="R10" s="328">
        <f>IFERROR(SUM('Résultats détaillés GES'!AS192)/Tableau145[[#This Row],[2033]]*Tableau145[[#This Row],[2033]]/(Tableau145[[#This Row],[2033]]+'Données d''activité'!R16),NA())</f>
        <v>1.5978100834868529E-3</v>
      </c>
      <c r="S10" s="328">
        <f>IFERROR(SUM('Résultats détaillés GES'!AT192)/Tableau145[[#This Row],[2034]]*Tableau145[[#This Row],[2034]]/(Tableau145[[#This Row],[2034]]+'Données d''activité'!S16),NA())</f>
        <v>1.5493343904349134E-3</v>
      </c>
      <c r="T10" s="328">
        <f>IFERROR(SUM('Résultats détaillés GES'!AU192)/Tableau145[[#This Row],[2035]]*Tableau145[[#This Row],[2035]]/(Tableau145[[#This Row],[2035]]+'Données d''activité'!T16),NA())</f>
        <v>1.5025158425627707E-3</v>
      </c>
      <c r="U10" s="328">
        <f>IFERROR(SUM('Résultats détaillés GES'!AV192)/Tableau145[[#This Row],[2036]]*Tableau145[[#This Row],[2036]]/(Tableau145[[#This Row],[2036]]+'Données d''activité'!U16),NA())</f>
        <v>1.3721212146800969E-3</v>
      </c>
      <c r="V10" s="328">
        <f>IFERROR(SUM('Résultats détaillés GES'!AW192)/Tableau145[[#This Row],[2037]]*Tableau145[[#This Row],[2037]]/(Tableau145[[#This Row],[2037]]+'Données d''activité'!V16),NA())</f>
        <v>1.2460874035996185E-3</v>
      </c>
      <c r="W10" s="328">
        <f>IFERROR(SUM('Résultats détaillés GES'!AX192)/Tableau145[[#This Row],[2038]]*Tableau145[[#This Row],[2038]]/(Tableau145[[#This Row],[2038]]+'Données d''activité'!W16),NA())</f>
        <v>1.124199247511291E-3</v>
      </c>
      <c r="X10" s="328">
        <f>IFERROR(SUM('Résultats détaillés GES'!AY192)/Tableau145[[#This Row],[2039]]*Tableau145[[#This Row],[2039]]/(Tableau145[[#This Row],[2039]]+'Données d''activité'!X16),NA())</f>
        <v>1.0821939812374933E-3</v>
      </c>
      <c r="Y10" s="328">
        <f>IFERROR(SUM('Résultats détaillés GES'!AZ192)/Tableau145[[#This Row],[2040]]*Tableau145[[#This Row],[2040]]/(Tableau145[[#This Row],[2040]]+'Données d''activité'!Y16),NA())</f>
        <v>1.0415264016748046E-3</v>
      </c>
      <c r="Z10" s="328">
        <f>IFERROR(SUM('Résultats détaillés GES'!BA192)/Tableau145[[#This Row],[2041]]*Tableau145[[#This Row],[2041]]/(Tableau145[[#This Row],[2041]]+'Données d''activité'!Z16),NA())</f>
        <v>8.8160986377183075E-4</v>
      </c>
      <c r="AA10" s="328">
        <f>IFERROR(SUM('Résultats détaillés GES'!BB192)/Tableau145[[#This Row],[2042]]*Tableau145[[#This Row],[2042]]/(Tableau145[[#This Row],[2042]]+'Données d''activité'!AA16),NA())</f>
        <v>7.2668619424445433E-4</v>
      </c>
      <c r="AB10" s="328">
        <f>IFERROR(SUM('Résultats détaillés GES'!BC192)/Tableau145[[#This Row],[2043]]*Tableau145[[#This Row],[2043]]/(Tableau145[[#This Row],[2043]]+'Données d''activité'!AB16),NA())</f>
        <v>5.7652515839256039E-4</v>
      </c>
      <c r="AC10" s="328">
        <f>IFERROR(SUM('Résultats détaillés GES'!BD192)/Tableau145[[#This Row],[2044]]*Tableau145[[#This Row],[2044]]/(Tableau145[[#This Row],[2044]]+'Données d''activité'!AC16),NA())</f>
        <v>4.3091046288637935E-4</v>
      </c>
      <c r="AD10" s="328">
        <f>IFERROR(SUM('Résultats détaillés GES'!BE192)/Tableau145[[#This Row],[2045]]*Tableau145[[#This Row],[2045]]/(Tableau145[[#This Row],[2045]]+'Données d''activité'!AD16),NA())</f>
        <v>2.8963871626531279E-4</v>
      </c>
      <c r="AE10" s="328">
        <f>IFERROR(SUM('Résultats détaillés GES'!BF192)/Tableau145[[#This Row],[2046]]*Tableau145[[#This Row],[2046]]/(Tableau145[[#This Row],[2046]]+'Données d''activité'!AE16),NA())</f>
        <v>2.308224596822665E-4</v>
      </c>
      <c r="AF10" s="328">
        <f>IFERROR(SUM('Résultats détaillés GES'!BG192)/Tableau145[[#This Row],[2047]]*Tableau145[[#This Row],[2047]]/(Tableau145[[#This Row],[2047]]+'Données d''activité'!AF16),NA())</f>
        <v>1.7372920165741255E-4</v>
      </c>
      <c r="AG10" s="328">
        <f>IFERROR(SUM('Résultats détaillés GES'!BH192)/Tableau145[[#This Row],[2048]]*Tableau145[[#This Row],[2048]]/(Tableau145[[#This Row],[2048]]+'Données d''activité'!AG16),NA())</f>
        <v>1.1828432333179802E-4</v>
      </c>
      <c r="AH10" s="328">
        <f>IFERROR(SUM('Résultats détaillés GES'!BI192)/Tableau145[[#This Row],[2049]]*Tableau145[[#This Row],[2049]]/(Tableau145[[#This Row],[2049]]+'Données d''activité'!AH16),NA())</f>
        <v>6.4417453278523579E-5</v>
      </c>
      <c r="AI10" s="328">
        <f>IFERROR(SUM('Résultats détaillés GES'!BJ192)/Tableau145[[#This Row],[2050]]*Tableau145[[#This Row],[2050]]/(Tableau145[[#This Row],[2050]]+'Données d''activité'!AI16),NA())</f>
        <v>1.2062169529234146E-5</v>
      </c>
      <c r="AJ10" s="327" t="s">
        <v>390</v>
      </c>
    </row>
    <row r="11" spans="1:36" s="327" customFormat="1">
      <c r="A11" s="327" t="s">
        <v>257</v>
      </c>
      <c r="B11" s="327" t="s">
        <v>402</v>
      </c>
      <c r="C11" s="327" t="s">
        <v>480</v>
      </c>
      <c r="D11" s="328">
        <f>IFERROR('Résultats détaillés GES'!AE196/Tableau145[[#This Row],[2019]],NA())</f>
        <v>9.4236780049164262E-2</v>
      </c>
      <c r="E11" s="328">
        <f>IFERROR('Résultats détaillés GES'!AF196/Tableau145[[#This Row],[2020]],NA())</f>
        <v>0.11378004124059124</v>
      </c>
      <c r="F11" s="328">
        <f>IFERROR('Résultats détaillés GES'!AG196/Tableau145[[#This Row],[2021]],NA())</f>
        <v>0.11378319094518323</v>
      </c>
      <c r="G11" s="328">
        <f>IFERROR('Résultats détaillés GES'!AH196/Tableau145[[#This Row],[2022]],NA())</f>
        <v>9.2578036543636277E-2</v>
      </c>
      <c r="H11" s="328">
        <f>IFERROR('Résultats détaillés GES'!AI196/Tableau145[[#This Row],[2023]],NA())</f>
        <v>8.8035242238741734E-2</v>
      </c>
      <c r="I11" s="328">
        <f>IFERROR('Résultats détaillés GES'!AJ196/Tableau145[[#This Row],[2024]],NA())</f>
        <v>8.300734878492852E-2</v>
      </c>
      <c r="J11" s="328">
        <f>IFERROR('Résultats détaillés GES'!AK196/Tableau145[[#This Row],[2025]],NA())</f>
        <v>8.3236236959187401E-2</v>
      </c>
      <c r="K11" s="328">
        <f>IFERROR('Résultats détaillés GES'!AL196/Tableau145[[#This Row],[2026]],NA())</f>
        <v>8.2153857880375256E-2</v>
      </c>
      <c r="L11" s="328">
        <f>IFERROR('Résultats détaillés GES'!AM196/Tableau145[[#This Row],[2027]],NA())</f>
        <v>8.0324715327906832E-2</v>
      </c>
      <c r="M11" s="328">
        <f>IFERROR('Résultats détaillés GES'!AN196/Tableau145[[#This Row],[2028]],NA())</f>
        <v>7.8535722870805402E-2</v>
      </c>
      <c r="N11" s="328">
        <f>IFERROR('Résultats détaillés GES'!AO196/Tableau145[[#This Row],[2029]],NA())</f>
        <v>7.6470673086825425E-2</v>
      </c>
      <c r="O11" s="328">
        <f>IFERROR('Résultats détaillés GES'!AP196/Tableau145[[#This Row],[2030]],NA())</f>
        <v>7.4449978019513502E-2</v>
      </c>
      <c r="P11" s="328">
        <f>IFERROR('Résultats détaillés GES'!AQ196/Tableau145[[#This Row],[2031]],NA())</f>
        <v>7.1558850346850583E-2</v>
      </c>
      <c r="Q11" s="328">
        <f>IFERROR('Résultats détaillés GES'!AR196/Tableau145[[#This Row],[2032]],NA())</f>
        <v>6.8564064692584997E-2</v>
      </c>
      <c r="R11" s="328">
        <f>IFERROR('Résultats détaillés GES'!AS196/Tableau145[[#This Row],[2033]],NA())</f>
        <v>6.5459944490940877E-2</v>
      </c>
      <c r="S11" s="328">
        <f>IFERROR('Résultats détaillés GES'!AT196/Tableau145[[#This Row],[2034]],NA())</f>
        <v>6.2240946018290631E-2</v>
      </c>
      <c r="T11" s="328">
        <f>IFERROR('Résultats détaillés GES'!AU196/Tableau145[[#This Row],[2035]],NA())</f>
        <v>5.8899974333140141E-2</v>
      </c>
      <c r="U11" s="328">
        <f>IFERROR('Résultats détaillés GES'!AV196/Tableau145[[#This Row],[2036]],NA())</f>
        <v>5.5762862308963955E-2</v>
      </c>
      <c r="V11" s="328">
        <f>IFERROR('Résultats détaillés GES'!AW196/Tableau145[[#This Row],[2037]],NA())</f>
        <v>5.2593918854558469E-2</v>
      </c>
      <c r="W11" s="328">
        <f>IFERROR('Résultats détaillés GES'!AX196/Tableau145[[#This Row],[2038]],NA())</f>
        <v>4.9392657022043686E-2</v>
      </c>
      <c r="X11" s="328">
        <f>IFERROR('Résultats détaillés GES'!AY196/Tableau145[[#This Row],[2039]],NA())</f>
        <v>4.615858843469646E-2</v>
      </c>
      <c r="Y11" s="328">
        <f>IFERROR('Résultats détaillés GES'!AZ196/Tableau145[[#This Row],[2040]],NA())</f>
        <v>4.289119745500241E-2</v>
      </c>
      <c r="Z11" s="328">
        <f>IFERROR('Résultats détaillés GES'!BA196/Tableau145[[#This Row],[2041]],NA())</f>
        <v>4.0018536705182572E-2</v>
      </c>
      <c r="AA11" s="328">
        <f>IFERROR('Résultats détaillés GES'!BB196/Tableau145[[#This Row],[2042]],NA())</f>
        <v>3.7201010425824722E-2</v>
      </c>
      <c r="AB11" s="328">
        <f>IFERROR('Résultats détaillés GES'!BC196/Tableau145[[#This Row],[2043]],NA())</f>
        <v>3.4437046425096617E-2</v>
      </c>
      <c r="AC11" s="328">
        <f>IFERROR('Résultats détaillés GES'!BD196/Tableau145[[#This Row],[2044]],NA())</f>
        <v>3.1725131724299215E-2</v>
      </c>
      <c r="AD11" s="328">
        <f>IFERROR('Résultats détaillés GES'!BE196/Tableau145[[#This Row],[2045]],NA())</f>
        <v>2.9063809796204727E-2</v>
      </c>
      <c r="AE11" s="328">
        <f>IFERROR('Résultats détaillés GES'!BF196/Tableau145[[#This Row],[2046]],NA())</f>
        <v>2.4825386785965502E-2</v>
      </c>
      <c r="AF11" s="328">
        <f>IFERROR('Résultats détaillés GES'!BG196/Tableau145[[#This Row],[2047]],NA())</f>
        <v>2.0704185655894207E-2</v>
      </c>
      <c r="AG11" s="328">
        <f>IFERROR('Résultats détaillés GES'!BH196/Tableau145[[#This Row],[2048]],NA())</f>
        <v>1.6695409736003267E-2</v>
      </c>
      <c r="AH11" s="328">
        <f>IFERROR('Résultats détaillés GES'!BI196/Tableau145[[#This Row],[2049]],NA())</f>
        <v>1.2794520538360154E-2</v>
      </c>
      <c r="AI11" s="328">
        <f>IFERROR('Résultats détaillés GES'!BJ196/Tableau145[[#This Row],[2050]],NA())</f>
        <v>8.9972206168337458E-3</v>
      </c>
      <c r="AJ11" s="327" t="s">
        <v>390</v>
      </c>
    </row>
    <row r="12" spans="1:36" s="327" customFormat="1">
      <c r="A12" s="327" t="s">
        <v>257</v>
      </c>
      <c r="B12" s="327" t="s">
        <v>403</v>
      </c>
      <c r="C12" s="327" t="s">
        <v>480</v>
      </c>
      <c r="D12" s="328">
        <f>IFERROR('Résultats détaillés GES'!AE202/Tableau145[[#This Row],[2019]],NA())</f>
        <v>0.10465168633673391</v>
      </c>
      <c r="E12" s="328">
        <f>IFERROR('Résultats détaillés GES'!AF202/Tableau145[[#This Row],[2020]],NA())</f>
        <v>0.17502643757225217</v>
      </c>
      <c r="F12" s="328">
        <f>IFERROR('Résultats détaillés GES'!AG202/Tableau145[[#This Row],[2021]],NA())</f>
        <v>0.16118788274003051</v>
      </c>
      <c r="G12" s="328">
        <f>IFERROR('Résultats détaillés GES'!AH202/Tableau145[[#This Row],[2022]],NA())</f>
        <v>0.1051206558582867</v>
      </c>
      <c r="H12" s="328">
        <f>IFERROR('Résultats détaillés GES'!AI202/Tableau145[[#This Row],[2023]],NA())</f>
        <v>9.7041775706810565E-2</v>
      </c>
      <c r="I12" s="328">
        <f>IFERROR('Résultats détaillés GES'!AJ202/Tableau145[[#This Row],[2024]],NA())</f>
        <v>9.6994866810672709E-2</v>
      </c>
      <c r="J12" s="328">
        <f>IFERROR('Résultats détaillés GES'!AK202/Tableau145[[#This Row],[2025]],NA())</f>
        <v>9.6564310932382547E-2</v>
      </c>
      <c r="K12" s="328">
        <f>IFERROR('Résultats détaillés GES'!AL202/Tableau145[[#This Row],[2026]],NA())</f>
        <v>9.5697923380775665E-2</v>
      </c>
      <c r="L12" s="328">
        <f>IFERROR('Résultats détaillés GES'!AM202/Tableau145[[#This Row],[2027]],NA())</f>
        <v>9.3024116545153079E-2</v>
      </c>
      <c r="M12" s="328">
        <f>IFERROR('Résultats détaillés GES'!AN202/Tableau145[[#This Row],[2028]],NA())</f>
        <v>9.0421184261351553E-2</v>
      </c>
      <c r="N12" s="328">
        <f>IFERROR('Résultats détaillés GES'!AO202/Tableau145[[#This Row],[2029]],NA())</f>
        <v>8.8346498327340831E-2</v>
      </c>
      <c r="O12" s="328">
        <f>IFERROR('Résultats détaillés GES'!AP202/Tableau145[[#This Row],[2030]],NA())</f>
        <v>8.6325385983479816E-2</v>
      </c>
      <c r="P12" s="328">
        <f>IFERROR('Résultats détaillés GES'!AQ202/Tableau145[[#This Row],[2031]],NA())</f>
        <v>8.2853933693347995E-2</v>
      </c>
      <c r="Q12" s="328">
        <f>IFERROR('Résultats détaillés GES'!AR202/Tableau145[[#This Row],[2032]],NA())</f>
        <v>7.9373866707800542E-2</v>
      </c>
      <c r="R12" s="328">
        <f>IFERROR('Résultats détaillés GES'!AS202/Tableau145[[#This Row],[2033]],NA())</f>
        <v>7.5885152919882695E-2</v>
      </c>
      <c r="S12" s="328">
        <f>IFERROR('Résultats détaillés GES'!AT202/Tableau145[[#This Row],[2034]],NA())</f>
        <v>7.2388161739193435E-2</v>
      </c>
      <c r="T12" s="328">
        <f>IFERROR('Résultats détaillés GES'!AU202/Tableau145[[#This Row],[2035]],NA())</f>
        <v>6.8882460062501163E-2</v>
      </c>
      <c r="U12" s="328">
        <f>IFERROR('Résultats détaillés GES'!AV202/Tableau145[[#This Row],[2036]],NA())</f>
        <v>6.5241071944418985E-2</v>
      </c>
      <c r="V12" s="328">
        <f>IFERROR('Résultats détaillés GES'!AW202/Tableau145[[#This Row],[2037]],NA())</f>
        <v>6.1619127857021158E-2</v>
      </c>
      <c r="W12" s="328">
        <f>IFERROR('Résultats détaillés GES'!AX202/Tableau145[[#This Row],[2038]],NA())</f>
        <v>5.8016472476180754E-2</v>
      </c>
      <c r="X12" s="328">
        <f>IFERROR('Résultats détaillés GES'!AY202/Tableau145[[#This Row],[2039]],NA())</f>
        <v>5.4432971762853374E-2</v>
      </c>
      <c r="Y12" s="328">
        <f>IFERROR('Résultats détaillés GES'!AZ202/Tableau145[[#This Row],[2040]],NA())</f>
        <v>5.0868453931868049E-2</v>
      </c>
      <c r="Z12" s="328">
        <f>IFERROR('Résultats détaillés GES'!BA202/Tableau145[[#This Row],[2041]],NA())</f>
        <v>4.7523873059623502E-2</v>
      </c>
      <c r="AA12" s="328">
        <f>IFERROR('Résultats détaillés GES'!BB202/Tableau145[[#This Row],[2042]],NA())</f>
        <v>4.4190532506891457E-2</v>
      </c>
      <c r="AB12" s="328">
        <f>IFERROR('Résultats détaillés GES'!BC202/Tableau145[[#This Row],[2043]],NA())</f>
        <v>4.0868375704775813E-2</v>
      </c>
      <c r="AC12" s="328">
        <f>IFERROR('Résultats détaillés GES'!BD202/Tableau145[[#This Row],[2044]],NA())</f>
        <v>3.7557346463335375E-2</v>
      </c>
      <c r="AD12" s="328">
        <f>IFERROR('Résultats détaillés GES'!BE202/Tableau145[[#This Row],[2045]],NA())</f>
        <v>3.4257388968415903E-2</v>
      </c>
      <c r="AE12" s="328">
        <f>IFERROR('Résultats détaillés GES'!BF202/Tableau145[[#This Row],[2046]],NA())</f>
        <v>2.9517087519667459E-2</v>
      </c>
      <c r="AF12" s="328">
        <f>IFERROR('Résultats détaillés GES'!BG202/Tableau145[[#This Row],[2047]],NA())</f>
        <v>2.4792584331195772E-2</v>
      </c>
      <c r="AG12" s="328">
        <f>IFERROR('Résultats détaillés GES'!BH202/Tableau145[[#This Row],[2048]],NA())</f>
        <v>2.0083800556807335E-2</v>
      </c>
      <c r="AH12" s="328">
        <f>IFERROR('Résultats détaillés GES'!BI202/Tableau145[[#This Row],[2049]],NA())</f>
        <v>1.5390657874112921E-2</v>
      </c>
      <c r="AI12" s="328">
        <f>IFERROR('Résultats détaillés GES'!BJ202/Tableau145[[#This Row],[2050]],NA())</f>
        <v>1.0713078480185011E-2</v>
      </c>
      <c r="AJ12" s="327" t="s">
        <v>390</v>
      </c>
    </row>
    <row r="13" spans="1:36" s="327" customFormat="1">
      <c r="A13" s="327" t="s">
        <v>257</v>
      </c>
      <c r="B13" s="327" t="s">
        <v>404</v>
      </c>
      <c r="C13" s="327" t="s">
        <v>667</v>
      </c>
      <c r="D13" s="331">
        <f>IFERROR((SUM('Résultats détaillés GES'!AE180:AE183)+'Résultats détaillés GES'!AE192+'Résultats détaillés GES'!AE193)/Tableau145[[#This Row],[2019]],NA())</f>
        <v>9.0460181646136131E-2</v>
      </c>
      <c r="E13" s="331">
        <f>IFERROR((SUM('Résultats détaillés GES'!AF180:AF183)+'Résultats détaillés GES'!AF192+'Résultats détaillés GES'!AF193)/Tableau145[[#This Row],[2020]],NA())</f>
        <v>8.6915695492574038E-2</v>
      </c>
      <c r="F13" s="331">
        <f>IFERROR((SUM('Résultats détaillés GES'!AG180:AG183)+'Résultats détaillés GES'!AG192+'Résultats détaillés GES'!AG193)/Tableau145[[#This Row],[2021]],NA())</f>
        <v>9.2143761947968139E-2</v>
      </c>
      <c r="G13" s="331">
        <f>IFERROR((SUM('Résultats détaillés GES'!AH180:AH183)+'Résultats détaillés GES'!AH192+'Résultats détaillés GES'!AH193)/Tableau145[[#This Row],[2022]],NA())</f>
        <v>9.1446055508329724E-2</v>
      </c>
      <c r="H13" s="331">
        <f>IFERROR((SUM('Résultats détaillés GES'!AI180:AI183)+'Résultats détaillés GES'!AI192+'Résultats détaillés GES'!AI193)/Tableau145[[#This Row],[2023]],NA())</f>
        <v>8.9733609013840823E-2</v>
      </c>
      <c r="I13" s="331">
        <f>IFERROR((SUM('Résultats détaillés GES'!AJ180:AJ183)+'Résultats détaillés GES'!AJ192+'Résultats détaillés GES'!AJ193)/Tableau145[[#This Row],[2024]],NA())</f>
        <v>8.5580456897783902E-2</v>
      </c>
      <c r="J13" s="331">
        <f>IFERROR((SUM('Résultats détaillés GES'!AK180:AK183)+'Résultats détaillés GES'!AK192+'Résultats détaillés GES'!AK193)/Tableau145[[#This Row],[2025]],NA())</f>
        <v>7.9816413888675997E-2</v>
      </c>
      <c r="K13" s="331">
        <f>IFERROR((SUM('Résultats détaillés GES'!AL180:AL183)+'Résultats détaillés GES'!AL192+'Résultats détaillés GES'!AL193)/Tableau145[[#This Row],[2026]],NA())</f>
        <v>7.721092258870263E-2</v>
      </c>
      <c r="L13" s="331">
        <f>IFERROR((SUM('Résultats détaillés GES'!AM180:AM183)+'Résultats détaillés GES'!AM192+'Résultats détaillés GES'!AM193)/Tableau145[[#This Row],[2027]],NA())</f>
        <v>7.2887851388813624E-2</v>
      </c>
      <c r="M13" s="331">
        <f>IFERROR((SUM('Résultats détaillés GES'!AN180:AN183)+'Résultats détaillés GES'!AN192+'Résultats détaillés GES'!AN193)/Tableau145[[#This Row],[2028]],NA())</f>
        <v>6.8611276351491238E-2</v>
      </c>
      <c r="N13" s="331">
        <f>IFERROR((SUM('Résultats détaillés GES'!AO180:AO183)+'Résultats détaillés GES'!AO192+'Résultats détaillés GES'!AO193)/Tableau145[[#This Row],[2029]],NA())</f>
        <v>6.3076741488309357E-2</v>
      </c>
      <c r="O13" s="331">
        <f>IFERROR((SUM('Résultats détaillés GES'!AP180:AP183)+'Résultats détaillés GES'!AP192+'Résultats détaillés GES'!AP193)/Tableau145[[#This Row],[2030]],NA())</f>
        <v>5.7452374652437209E-2</v>
      </c>
      <c r="P13" s="331">
        <f>IFERROR((SUM('Résultats détaillés GES'!AQ180:AQ183)+'Résultats détaillés GES'!AQ192+'Résultats détaillés GES'!AQ193)/Tableau145[[#This Row],[2031]],NA())</f>
        <v>7.3577280149438373E-2</v>
      </c>
      <c r="Q13" s="331">
        <f>IFERROR((SUM('Résultats détaillés GES'!AR180:AR183)+'Résultats détaillés GES'!AR192+'Résultats détaillés GES'!AR193)/Tableau145[[#This Row],[2032]],NA())</f>
        <v>6.9517274770210566E-2</v>
      </c>
      <c r="R13" s="331">
        <f>IFERROR((SUM('Résultats détaillés GES'!AS180:AS183)+'Résultats détaillés GES'!AS192+'Résultats détaillés GES'!AS193)/Tableau145[[#This Row],[2033]],NA())</f>
        <v>4.5457869701996216E-2</v>
      </c>
      <c r="S13" s="331">
        <f>IFERROR((SUM('Résultats détaillés GES'!AT180:AT183)+'Résultats détaillés GES'!AT192+'Résultats détaillés GES'!AT193)/Tableau145[[#This Row],[2034]],NA())</f>
        <v>6.1616692019600024E-2</v>
      </c>
      <c r="T13" s="331">
        <f>IFERROR((SUM('Résultats détaillés GES'!AU180:AU183)+'Résultats détaillés GES'!AU192+'Résultats détaillés GES'!AU193)/Tableau145[[#This Row],[2035]],NA())</f>
        <v>3.7724832553011477E-2</v>
      </c>
      <c r="U13" s="331">
        <f>IFERROR((SUM('Résultats détaillés GES'!AV180:AV183)+'Résultats détaillés GES'!AV192+'Résultats détaillés GES'!AV193)/Tableau145[[#This Row],[2036]],NA())</f>
        <v>7.1970990705903515E-2</v>
      </c>
      <c r="V13" s="331">
        <f>IFERROR((SUM('Résultats détaillés GES'!AW180:AW183)+'Résultats détaillés GES'!AW192+'Résultats détaillés GES'!AW193)/Tableau145[[#This Row],[2037]],NA())</f>
        <v>6.7978162661470456E-2</v>
      </c>
      <c r="W13" s="331">
        <f>IFERROR((SUM('Résultats détaillés GES'!AX180:AX183)+'Résultats détaillés GES'!AX192+'Résultats détaillés GES'!AX193)/Tableau145[[#This Row],[2038]],NA())</f>
        <v>2.6812220672826823E-2</v>
      </c>
      <c r="X13" s="331">
        <f>IFERROR((SUM('Résultats détaillés GES'!AY180:AY183)+'Résultats détaillés GES'!AY192+'Résultats détaillés GES'!AY193)/Tableau145[[#This Row],[2039]],NA())</f>
        <v>6.0210241253635499E-2</v>
      </c>
      <c r="Y13" s="331">
        <f>IFERROR((SUM('Résultats détaillés GES'!AZ180:AZ183)+'Résultats détaillés GES'!AZ192+'Résultats détaillés GES'!AZ193)/Tableau145[[#This Row],[2040]],NA())</f>
        <v>1.9805642517150283E-2</v>
      </c>
      <c r="Z13" s="331">
        <f>IFERROR((SUM('Résultats détaillés GES'!BA180:BA183)+'Résultats détaillés GES'!BA192+'Résultats détaillés GES'!BA193)/Tableau145[[#This Row],[2041]],NA())</f>
        <v>1.7146582102369794E-2</v>
      </c>
      <c r="AA13" s="331">
        <f>IFERROR((SUM('Résultats détaillés GES'!BB180:BB183)+'Résultats détaillés GES'!BB192+'Résultats détaillés GES'!BB193)/Tableau145[[#This Row],[2042]],NA())</f>
        <v>1.4506947041091024E-2</v>
      </c>
      <c r="AB13" s="331">
        <f>IFERROR((SUM('Résultats détaillés GES'!BC180:BC183)+'Résultats détaillés GES'!BC192+'Résultats détaillés GES'!BC193)/Tableau145[[#This Row],[2043]],NA())</f>
        <v>1.1886525244643049E-2</v>
      </c>
      <c r="AC13" s="331">
        <f>IFERROR((SUM('Résultats détaillés GES'!BD180:BD183)+'Résultats détaillés GES'!BD192+'Résultats détaillés GES'!BD193)/Tableau145[[#This Row],[2044]],NA())</f>
        <v>9.2851077006433792E-3</v>
      </c>
      <c r="AD13" s="331">
        <f>IFERROR((SUM('Résultats détaillés GES'!BE180:BE183)+'Résultats détaillés GES'!BE192+'Résultats détaillés GES'!BE193)/Tableau145[[#This Row],[2045]],NA())</f>
        <v>6.7024884174235865E-3</v>
      </c>
      <c r="AE13" s="331">
        <f>IFERROR((SUM('Résultats détaillés GES'!BF180:BF183)+'Résultats détaillés GES'!BF192+'Résultats détaillés GES'!BF193)/Tableau145[[#This Row],[2046]],NA())</f>
        <v>5.3794314996550062E-3</v>
      </c>
      <c r="AF13" s="331">
        <f>IFERROR((SUM('Résultats détaillés GES'!BG180:BG183)+'Résultats détaillés GES'!BG192+'Résultats détaillés GES'!BG193)/Tableau145[[#This Row],[2047]],NA())</f>
        <v>4.0658666126273503E-3</v>
      </c>
      <c r="AG13" s="331">
        <f>IFERROR((SUM('Résultats détaillés GES'!BH180:BH183)+'Résultats détaillés GES'!BH192+'Résultats détaillés GES'!BH193)/Tableau145[[#This Row],[2048]],NA())</f>
        <v>2.7616919731859044E-3</v>
      </c>
      <c r="AH13" s="331">
        <f>IFERROR((SUM('Résultats détaillés GES'!BI180:BI183)+'Résultats détaillés GES'!BI192+'Résultats détaillés GES'!BI193)/Tableau145[[#This Row],[2049]],NA())</f>
        <v>1.4668072482222428E-3</v>
      </c>
      <c r="AI13" s="331">
        <f>IFERROR((SUM('Résultats détaillés GES'!BJ180:BJ183)+'Résultats détaillés GES'!BJ192+'Résultats détaillés GES'!BJ193)/Tableau145[[#This Row],[2050]],NA())</f>
        <v>1.8111352894340852E-4</v>
      </c>
      <c r="AJ13" s="327" t="s">
        <v>390</v>
      </c>
    </row>
    <row r="14" spans="1:36" s="327" customFormat="1">
      <c r="A14" s="327" t="s">
        <v>257</v>
      </c>
      <c r="B14" s="327" t="s">
        <v>406</v>
      </c>
      <c r="C14" s="327" t="s">
        <v>667</v>
      </c>
      <c r="D14" s="328">
        <f>IFERROR(SUM('Résultats détaillés GES'!AE180:AE183)/Tableau145[[#This Row],[2019]],NA())</f>
        <v>0.10119724415664821</v>
      </c>
      <c r="E14" s="328">
        <f>IFERROR(SUM('Résultats détaillés GES'!AF180:AF183)/Tableau145[[#This Row],[2020]],NA())</f>
        <v>9.6747424192316855E-2</v>
      </c>
      <c r="F14" s="328">
        <f>IFERROR(SUM('Résultats détaillés GES'!AG180:AG183)/Tableau145[[#This Row],[2021]],NA())</f>
        <v>0.10367349430338409</v>
      </c>
      <c r="G14" s="328">
        <f>IFERROR(SUM('Résultats détaillés GES'!AH180:AH183)/Tableau145[[#This Row],[2022]],NA())</f>
        <v>0.10254021124682862</v>
      </c>
      <c r="H14" s="328">
        <f>IFERROR(SUM('Résultats détaillés GES'!AI180:AI183)/Tableau145[[#This Row],[2023]],NA())</f>
        <v>9.897820611034415E-2</v>
      </c>
      <c r="I14" s="328">
        <f>IFERROR(SUM('Résultats détaillés GES'!AJ180:AJ183)/Tableau145[[#This Row],[2024]],NA())</f>
        <v>9.4888519688772474E-2</v>
      </c>
      <c r="J14" s="328">
        <f>IFERROR(SUM('Résultats détaillés GES'!AK180:AK183)/Tableau145[[#This Row],[2025]],NA())</f>
        <v>8.89366495439258E-2</v>
      </c>
      <c r="K14" s="328">
        <f>IFERROR(SUM('Résultats détaillés GES'!AL180:AL183)/Tableau145[[#This Row],[2026]],NA())</f>
        <v>8.7810755240056423E-2</v>
      </c>
      <c r="L14" s="328">
        <f>IFERROR(SUM('Résultats détaillés GES'!AM180:AM183)/Tableau145[[#This Row],[2027]],NA())</f>
        <v>8.4578041039765808E-2</v>
      </c>
      <c r="M14" s="328">
        <f>IFERROR(SUM('Résultats détaillés GES'!AN180:AN183)/Tableau145[[#This Row],[2028]],NA())</f>
        <v>8.1239886252071361E-2</v>
      </c>
      <c r="N14" s="328">
        <f>IFERROR(SUM('Résultats détaillés GES'!AO180:AO183)/Tableau145[[#This Row],[2029]],NA())</f>
        <v>7.6157747288863958E-2</v>
      </c>
      <c r="O14" s="328">
        <f>IFERROR(SUM('Résultats détaillés GES'!AP180:AP183)/Tableau145[[#This Row],[2030]],NA())</f>
        <v>7.0715997810627804E-2</v>
      </c>
      <c r="P14" s="328">
        <f>IFERROR(SUM('Résultats détaillés GES'!AQ180:AQ183)/Tableau145[[#This Row],[2031]],NA())</f>
        <v>9.1686828680117932E-2</v>
      </c>
      <c r="Q14" s="328">
        <f>IFERROR(SUM('Résultats détaillés GES'!AR180:AR183)/Tableau145[[#This Row],[2032]],NA())</f>
        <v>8.7055463399575345E-2</v>
      </c>
      <c r="R14" s="328">
        <f>IFERROR(SUM('Résultats détaillés GES'!AS180:AS183)/Tableau145[[#This Row],[2033]],NA())</f>
        <v>5.6663048892780996E-2</v>
      </c>
      <c r="S14" s="328">
        <f>IFERROR(SUM('Résultats détaillés GES'!AT180:AT183)/Tableau145[[#This Row],[2034]],NA())</f>
        <v>7.7858920594194678E-2</v>
      </c>
      <c r="T14" s="328">
        <f>IFERROR(SUM('Résultats détaillés GES'!AU180:AU183)/Tableau145[[#This Row],[2035]],NA())</f>
        <v>4.7255431976859032E-2</v>
      </c>
      <c r="U14" s="328">
        <f>IFERROR(SUM('Résultats détaillés GES'!AV180:AV183)/Tableau145[[#This Row],[2036]],NA())</f>
        <v>9.2324059127985747E-2</v>
      </c>
      <c r="V14" s="328">
        <f>IFERROR(SUM('Résultats détaillés GES'!AW180:AW183)/Tableau145[[#This Row],[2037]],NA())</f>
        <v>8.7678447021904207E-2</v>
      </c>
      <c r="W14" s="328">
        <f>IFERROR(SUM('Résultats détaillés GES'!AX180:AX183)/Tableau145[[#This Row],[2038]],NA())</f>
        <v>3.393256521456401E-2</v>
      </c>
      <c r="X14" s="328">
        <f>IFERROR(SUM('Résultats détaillés GES'!AY180:AY183)/Tableau145[[#This Row],[2039]],NA())</f>
        <v>7.8448334089446292E-2</v>
      </c>
      <c r="Y14" s="328">
        <f>IFERROR(SUM('Résultats détaillés GES'!AZ180:AZ183)/Tableau145[[#This Row],[2040]],NA())</f>
        <v>2.5026819345642017E-2</v>
      </c>
      <c r="Z14" s="328">
        <f>IFERROR(SUM('Résultats détaillés GES'!BA180:BA183)/Tableau145[[#This Row],[2041]],NA())</f>
        <v>2.1769815987024484E-2</v>
      </c>
      <c r="AA14" s="328">
        <f>IFERROR(SUM('Résultats détaillés GES'!BB180:BB183)/Tableau145[[#This Row],[2042]],NA())</f>
        <v>1.8501360602149249E-2</v>
      </c>
      <c r="AB14" s="328">
        <f>IFERROR(SUM('Résultats détaillés GES'!BC180:BC183)/Tableau145[[#This Row],[2043]],NA())</f>
        <v>1.5221392684533101E-2</v>
      </c>
      <c r="AC14" s="328">
        <f>IFERROR(SUM('Résultats détaillés GES'!BD180:BD183)/Tableau145[[#This Row],[2044]],NA())</f>
        <v>1.1929851300694913E-2</v>
      </c>
      <c r="AD14" s="328">
        <f>IFERROR(SUM('Résultats détaillés GES'!BE180:BE183)/Tableau145[[#This Row],[2045]],NA())</f>
        <v>8.6266750863822923E-3</v>
      </c>
      <c r="AE14" s="328">
        <f>IFERROR(SUM('Résultats détaillés GES'!BF180:BF183)/Tableau145[[#This Row],[2046]],NA())</f>
        <v>6.9614161099436599E-3</v>
      </c>
      <c r="AF14" s="328">
        <f>IFERROR(SUM('Résultats détaillés GES'!BG180:BG183)/Tableau145[[#This Row],[2047]],NA())</f>
        <v>5.2895856350512671E-3</v>
      </c>
      <c r="AG14" s="328">
        <f>IFERROR(SUM('Résultats détaillés GES'!BH180:BH183)/Tableau145[[#This Row],[2048]],NA())</f>
        <v>3.6111446858137909E-3</v>
      </c>
      <c r="AH14" s="328">
        <f>IFERROR(SUM('Résultats détaillés GES'!BI180:BI183)/Tableau145[[#This Row],[2049]],NA())</f>
        <v>1.9260539775053391E-3</v>
      </c>
      <c r="AI14" s="328">
        <f>IFERROR(SUM('Résultats détaillés GES'!BJ180:BJ183)/Tableau145[[#This Row],[2050]],NA())</f>
        <v>2.3427391350049078E-4</v>
      </c>
      <c r="AJ14" s="327" t="s">
        <v>390</v>
      </c>
    </row>
    <row r="15" spans="1:36" s="327" customFormat="1">
      <c r="A15" s="327" t="s">
        <v>257</v>
      </c>
      <c r="B15" s="327" t="s">
        <v>407</v>
      </c>
      <c r="C15" s="327" t="s">
        <v>668</v>
      </c>
      <c r="D15" s="328">
        <f>IFERROR(SUM('Résultats détaillés GES'!AE175:AE178)/Tableau145[[#This Row],[2019]],NA())</f>
        <v>0.20784800516646559</v>
      </c>
      <c r="E15" s="328">
        <f>IFERROR(SUM('Résultats détaillés GES'!AF175:AF178)/Tableau145[[#This Row],[2020]],NA())</f>
        <v>0.21256377355444819</v>
      </c>
      <c r="F15" s="328">
        <f>IFERROR(SUM('Résultats détaillés GES'!AG175:AG178)/Tableau145[[#This Row],[2021]],NA())</f>
        <v>0.21591899553095578</v>
      </c>
      <c r="G15" s="328">
        <f>IFERROR(SUM('Résultats détaillés GES'!AH175:AH178)/Tableau145[[#This Row],[2022]],NA())</f>
        <v>0.21509322550442023</v>
      </c>
      <c r="H15" s="328">
        <f>IFERROR(SUM('Résultats détaillés GES'!AI175:AI178)/Tableau145[[#This Row],[2023]],NA())</f>
        <v>0.20853317291702411</v>
      </c>
      <c r="I15" s="328">
        <f>IFERROR(SUM('Résultats détaillés GES'!AJ175:AJ178)/Tableau145[[#This Row],[2024]],NA())</f>
        <v>0.2041197429374321</v>
      </c>
      <c r="J15" s="328">
        <f>IFERROR(SUM('Résultats détaillés GES'!AK175:AK178)/Tableau145[[#This Row],[2025]],NA())</f>
        <v>0.19594150301008265</v>
      </c>
      <c r="K15" s="328">
        <f>IFERROR(SUM('Résultats détaillés GES'!AL175:AL178)/Tableau145[[#This Row],[2026]],NA())</f>
        <v>0.19224886207894529</v>
      </c>
      <c r="L15" s="328">
        <f>IFERROR(SUM('Résultats détaillés GES'!AM175:AM178)/Tableau145[[#This Row],[2027]],NA())</f>
        <v>0.18470973540284136</v>
      </c>
      <c r="M15" s="328">
        <f>IFERROR(SUM('Résultats détaillés GES'!AN175:AN178)/Tableau145[[#This Row],[2028]],NA())</f>
        <v>0.17716176693539143</v>
      </c>
      <c r="N15" s="328">
        <f>IFERROR(SUM('Résultats détaillés GES'!AO175:AO178)/Tableau145[[#This Row],[2029]],NA())</f>
        <v>0.1705982874046815</v>
      </c>
      <c r="O15" s="328">
        <f>IFERROR(SUM('Résultats détaillés GES'!AP175:AP178)/Tableau145[[#This Row],[2030]],NA())</f>
        <v>0.16402710127091441</v>
      </c>
      <c r="P15" s="328">
        <f>IFERROR(SUM('Résultats détaillés GES'!AQ175:AQ178)/Tableau145[[#This Row],[2031]],NA())</f>
        <v>0.15342773189886988</v>
      </c>
      <c r="Q15" s="328">
        <f>IFERROR(SUM('Résultats détaillés GES'!AR175:AR178)/Tableau145[[#This Row],[2032]],NA())</f>
        <v>0.14280150859057025</v>
      </c>
      <c r="R15" s="328">
        <f>IFERROR(SUM('Résultats détaillés GES'!AS175:AS178)/Tableau145[[#This Row],[2033]],NA())</f>
        <v>0.13214832916325303</v>
      </c>
      <c r="S15" s="328">
        <f>IFERROR(SUM('Résultats détaillés GES'!AT175:AT178)/Tableau145[[#This Row],[2034]],NA())</f>
        <v>0.12151450391777639</v>
      </c>
      <c r="T15" s="328">
        <f>IFERROR(SUM('Résultats détaillés GES'!AU175:AU178)/Tableau145[[#This Row],[2035]],NA())</f>
        <v>0.11085363466502922</v>
      </c>
      <c r="U15" s="328">
        <f>IFERROR(SUM('Résultats détaillés GES'!AV175:AV178)/Tableau145[[#This Row],[2036]],NA())</f>
        <v>9.8106829952904179E-2</v>
      </c>
      <c r="V15" s="328">
        <f>IFERROR(SUM('Résultats détaillés GES'!AW175:AW178)/Tableau145[[#This Row],[2037]],NA())</f>
        <v>8.5328364199999188E-2</v>
      </c>
      <c r="W15" s="328">
        <f>IFERROR(SUM('Résultats détaillés GES'!AX175:AX178)/Tableau145[[#This Row],[2038]],NA())</f>
        <v>7.2518119298129194E-2</v>
      </c>
      <c r="X15" s="328">
        <f>IFERROR(SUM('Résultats détaillés GES'!AY175:AY178)/Tableau145[[#This Row],[2039]],NA())</f>
        <v>5.9681113356890254E-2</v>
      </c>
      <c r="Y15" s="328">
        <f>IFERROR(SUM('Résultats détaillés GES'!AZ175:AZ178)/Tableau145[[#This Row],[2040]],NA())</f>
        <v>4.6812103088821409E-2</v>
      </c>
      <c r="Z15" s="328">
        <f>IFERROR(SUM('Résultats détaillés GES'!BA175:BA178)/Tableau145[[#This Row],[2041]],NA())</f>
        <v>3.9026350951646506E-2</v>
      </c>
      <c r="AA15" s="328">
        <f>IFERROR(SUM('Résultats détaillés GES'!BB175:BB178)/Tableau145[[#This Row],[2042]],NA())</f>
        <v>3.1221635766297582E-2</v>
      </c>
      <c r="AB15" s="328">
        <f>IFERROR(SUM('Résultats détaillés GES'!BC175:BC178)/Tableau145[[#This Row],[2043]],NA())</f>
        <v>2.339788816844551E-2</v>
      </c>
      <c r="AC15" s="328">
        <f>IFERROR(SUM('Résultats détaillés GES'!BD175:BD178)/Tableau145[[#This Row],[2044]],NA())</f>
        <v>1.5555038455047437E-2</v>
      </c>
      <c r="AD15" s="328">
        <f>IFERROR(SUM('Résultats détaillés GES'!BE175:BE178)/Tableau145[[#This Row],[2045]],NA())</f>
        <v>7.6930165822767507E-3</v>
      </c>
      <c r="AE15" s="328">
        <f>IFERROR(SUM('Résultats détaillés GES'!BF175:BF178)/Tableau145[[#This Row],[2046]],NA())</f>
        <v>6.1628801626519457E-3</v>
      </c>
      <c r="AF15" s="328">
        <f>IFERROR(SUM('Résultats détaillés GES'!BG175:BG178)/Tableau145[[#This Row],[2047]],NA())</f>
        <v>4.6290885734184871E-3</v>
      </c>
      <c r="AG15" s="328">
        <f>IFERROR(SUM('Résultats détaillés GES'!BH175:BH178)/Tableau145[[#This Row],[2048]],NA())</f>
        <v>3.0916287017834325E-3</v>
      </c>
      <c r="AH15" s="328">
        <f>IFERROR(SUM('Résultats détaillés GES'!BI175:BI178)/Tableau145[[#This Row],[2049]],NA())</f>
        <v>1.5504873721564991E-3</v>
      </c>
      <c r="AI15" s="328">
        <f>IFERROR(SUM('Résultats détaillés GES'!BJ175:BJ178)/Tableau145[[#This Row],[2050]],NA())</f>
        <v>5.6513457736893742E-6</v>
      </c>
      <c r="AJ15" s="327" t="s">
        <v>390</v>
      </c>
    </row>
    <row r="16" spans="1:36" s="327" customFormat="1">
      <c r="A16" s="327" t="s">
        <v>257</v>
      </c>
      <c r="B16" s="327" t="s">
        <v>409</v>
      </c>
      <c r="C16" s="327" t="s">
        <v>667</v>
      </c>
      <c r="D16" s="328">
        <f>D10</f>
        <v>3.3481726171202221E-3</v>
      </c>
      <c r="E16" s="328">
        <f t="shared" ref="E16:AI16" si="0">E10</f>
        <v>4.1873615850521661E-3</v>
      </c>
      <c r="F16" s="328">
        <f t="shared" si="0"/>
        <v>3.7445477339519049E-3</v>
      </c>
      <c r="G16" s="328">
        <f t="shared" si="0"/>
        <v>3.1942850213228435E-3</v>
      </c>
      <c r="H16" s="328">
        <f t="shared" si="0"/>
        <v>2.9183367504004637E-3</v>
      </c>
      <c r="I16" s="328">
        <f t="shared" si="0"/>
        <v>2.8911457885513383E-3</v>
      </c>
      <c r="J16" s="328">
        <f t="shared" si="0"/>
        <v>2.7598018185595839E-3</v>
      </c>
      <c r="K16" s="328">
        <f t="shared" si="0"/>
        <v>2.58967082814316E-3</v>
      </c>
      <c r="L16" s="328">
        <f t="shared" si="0"/>
        <v>2.3854341089736579E-3</v>
      </c>
      <c r="M16" s="328">
        <f t="shared" si="0"/>
        <v>2.2022172692973303E-3</v>
      </c>
      <c r="N16" s="328">
        <f t="shared" si="0"/>
        <v>2.0962539938471124E-3</v>
      </c>
      <c r="O16" s="328">
        <f t="shared" si="0"/>
        <v>2.0001787096650269E-3</v>
      </c>
      <c r="P16" s="328">
        <f t="shared" si="0"/>
        <v>1.8611343512534577E-3</v>
      </c>
      <c r="Q16" s="328">
        <f t="shared" si="0"/>
        <v>1.7271001431388962E-3</v>
      </c>
      <c r="R16" s="328">
        <f t="shared" si="0"/>
        <v>1.5978100834868529E-3</v>
      </c>
      <c r="S16" s="328">
        <f t="shared" si="0"/>
        <v>1.5493343904349134E-3</v>
      </c>
      <c r="T16" s="328">
        <f t="shared" si="0"/>
        <v>1.5025158425627707E-3</v>
      </c>
      <c r="U16" s="328">
        <f t="shared" si="0"/>
        <v>1.3721212146800969E-3</v>
      </c>
      <c r="V16" s="328">
        <f t="shared" si="0"/>
        <v>1.2460874035996185E-3</v>
      </c>
      <c r="W16" s="328">
        <f t="shared" si="0"/>
        <v>1.124199247511291E-3</v>
      </c>
      <c r="X16" s="328">
        <f t="shared" si="0"/>
        <v>1.0821939812374933E-3</v>
      </c>
      <c r="Y16" s="328">
        <f t="shared" si="0"/>
        <v>1.0415264016748046E-3</v>
      </c>
      <c r="Z16" s="328">
        <f t="shared" si="0"/>
        <v>8.8160986377183075E-4</v>
      </c>
      <c r="AA16" s="328">
        <f t="shared" si="0"/>
        <v>7.2668619424445433E-4</v>
      </c>
      <c r="AB16" s="328">
        <f t="shared" si="0"/>
        <v>5.7652515839256039E-4</v>
      </c>
      <c r="AC16" s="328">
        <f t="shared" si="0"/>
        <v>4.3091046288637935E-4</v>
      </c>
      <c r="AD16" s="328">
        <f t="shared" si="0"/>
        <v>2.8963871626531279E-4</v>
      </c>
      <c r="AE16" s="328">
        <f t="shared" si="0"/>
        <v>2.308224596822665E-4</v>
      </c>
      <c r="AF16" s="328">
        <f t="shared" si="0"/>
        <v>1.7372920165741255E-4</v>
      </c>
      <c r="AG16" s="328">
        <f t="shared" si="0"/>
        <v>1.1828432333179802E-4</v>
      </c>
      <c r="AH16" s="328">
        <f t="shared" si="0"/>
        <v>6.4417453278523579E-5</v>
      </c>
      <c r="AI16" s="328">
        <f t="shared" si="0"/>
        <v>1.2062169529234146E-5</v>
      </c>
      <c r="AJ16" s="327" t="s">
        <v>390</v>
      </c>
    </row>
    <row r="17" spans="1:36" s="327" customFormat="1">
      <c r="A17" s="327" t="s">
        <v>257</v>
      </c>
      <c r="B17" s="327" t="s">
        <v>410</v>
      </c>
      <c r="C17" s="327" t="s">
        <v>667</v>
      </c>
      <c r="D17" s="328">
        <f>IFERROR('Résultats détaillés GES'!AE193/Tableau145[[#This Row],[2019]],NA())</f>
        <v>1.5569413982035396E-2</v>
      </c>
      <c r="E17" s="328">
        <f>IFERROR('Résultats détaillés GES'!AF193/Tableau145[[#This Row],[2020]],NA())</f>
        <v>1.6403509413382669E-2</v>
      </c>
      <c r="F17" s="328">
        <f>IFERROR('Résultats détaillés GES'!AG193/Tableau145[[#This Row],[2021]],NA())</f>
        <v>1.6717118591683944E-2</v>
      </c>
      <c r="G17" s="328">
        <f>IFERROR('Résultats détaillés GES'!AH193/Tableau145[[#This Row],[2022]],NA())</f>
        <v>1.6276022868199142E-2</v>
      </c>
      <c r="H17" s="328">
        <f>IFERROR('Résultats détaillés GES'!AI193/Tableau145[[#This Row],[2023]],NA())</f>
        <v>1.6190135425164259E-2</v>
      </c>
      <c r="I17" s="328">
        <f>IFERROR('Résultats détaillés GES'!AJ193/Tableau145[[#This Row],[2024]],NA())</f>
        <v>1.4631546805317908E-2</v>
      </c>
      <c r="J17" s="328">
        <f>IFERROR('Résultats détaillés GES'!AK193/Tableau145[[#This Row],[2025]],NA())</f>
        <v>1.3604275010441759E-2</v>
      </c>
      <c r="K17" s="328">
        <f>IFERROR('Résultats détaillés GES'!AL193/Tableau145[[#This Row],[2026]],NA())</f>
        <v>1.2932933761484331E-2</v>
      </c>
      <c r="L17" s="328">
        <f>IFERROR('Résultats détaillés GES'!AM193/Tableau145[[#This Row],[2027]],NA())</f>
        <v>1.3534101250988556E-2</v>
      </c>
      <c r="M17" s="328">
        <f>IFERROR('Résultats détaillés GES'!AN193/Tableau145[[#This Row],[2028]],NA())</f>
        <v>1.4037056794451589E-2</v>
      </c>
      <c r="N17" s="328">
        <f>IFERROR('Résultats détaillés GES'!AO193/Tableau145[[#This Row],[2029]],NA())</f>
        <v>1.3818152709791141E-2</v>
      </c>
      <c r="O17" s="328">
        <f>IFERROR('Résultats détaillés GES'!AP193/Tableau145[[#This Row],[2030]],NA())</f>
        <v>1.3629988728511207E-2</v>
      </c>
      <c r="P17" s="328">
        <f>IFERROR('Résultats détaillés GES'!AQ193/Tableau145[[#This Row],[2031]],NA())</f>
        <v>1.3269565093863468E-2</v>
      </c>
      <c r="Q17" s="328">
        <f>IFERROR('Résultats détaillés GES'!AR193/Tableau145[[#This Row],[2032]],NA())</f>
        <v>1.2923539664346268E-2</v>
      </c>
      <c r="R17" s="328">
        <f>IFERROR('Résultats détaillés GES'!AS193/Tableau145[[#This Row],[2033]],NA())</f>
        <v>1.2591066566092206E-2</v>
      </c>
      <c r="S17" s="328">
        <f>IFERROR('Résultats détaillés GES'!AT193/Tableau145[[#This Row],[2034]],NA())</f>
        <v>1.2271364911124048E-2</v>
      </c>
      <c r="T17" s="328">
        <f>IFERROR('Résultats détaillés GES'!AU193/Tableau145[[#This Row],[2035]],NA())</f>
        <v>1.1963712674129068E-2</v>
      </c>
      <c r="U17" s="328">
        <f>IFERROR('Résultats détaillés GES'!AV193/Tableau145[[#This Row],[2036]],NA())</f>
        <v>1.14407697383106E-2</v>
      </c>
      <c r="V17" s="328">
        <f>IFERROR('Résultats détaillés GES'!AW193/Tableau145[[#This Row],[2037]],NA())</f>
        <v>1.0937379951892831E-2</v>
      </c>
      <c r="W17" s="328">
        <f>IFERROR('Résultats détaillés GES'!AX193/Tableau145[[#This Row],[2038]],NA())</f>
        <v>1.0452466784983575E-2</v>
      </c>
      <c r="X17" s="328">
        <f>IFERROR('Résultats détaillés GES'!AY193/Tableau145[[#This Row],[2039]],NA())</f>
        <v>9.9850313102775971E-3</v>
      </c>
      <c r="Y17" s="328">
        <f>IFERROR('Résultats détaillés GES'!AZ193/Tableau145[[#This Row],[2040]],NA())</f>
        <v>9.5341453342801877E-3</v>
      </c>
      <c r="Z17" s="328">
        <f>IFERROR('Résultats détaillés GES'!BA193/Tableau145[[#This Row],[2041]],NA())</f>
        <v>8.6219756664559707E-3</v>
      </c>
      <c r="AA17" s="328">
        <f>IFERROR('Résultats détaillés GES'!BB193/Tableau145[[#This Row],[2042]],NA())</f>
        <v>7.7418905444015104E-3</v>
      </c>
      <c r="AB17" s="328">
        <f>IFERROR('Résultats détaillés GES'!BC193/Tableau145[[#This Row],[2043]],NA())</f>
        <v>6.8922264179639156E-3</v>
      </c>
      <c r="AC17" s="328">
        <f>IFERROR('Résultats détaillés GES'!BD193/Tableau145[[#This Row],[2044]],NA())</f>
        <v>6.0714327875867492E-3</v>
      </c>
      <c r="AD17" s="328">
        <f>IFERROR('Résultats détaillés GES'!BE193/Tableau145[[#This Row],[2045]],NA())</f>
        <v>5.2780627614528106E-3</v>
      </c>
      <c r="AE17" s="328">
        <f>IFERROR('Résultats détaillés GES'!BF193/Tableau145[[#This Row],[2046]],NA())</f>
        <v>4.1813628969029999E-3</v>
      </c>
      <c r="AF17" s="328">
        <f>IFERROR('Résultats détaillés GES'!BG193/Tableau145[[#This Row],[2047]],NA())</f>
        <v>3.1211088119219858E-3</v>
      </c>
      <c r="AG17" s="328">
        <f>IFERROR('Résultats détaillés GES'!BH193/Tableau145[[#This Row],[2048]],NA())</f>
        <v>2.0955134389619751E-3</v>
      </c>
      <c r="AH17" s="328">
        <f>IFERROR('Résultats détaillés GES'!BI193/Tableau145[[#This Row],[2049]],NA())</f>
        <v>1.1029046666950751E-3</v>
      </c>
      <c r="AI17" s="328">
        <f>IFERROR('Résultats détaillés GES'!BJ193/Tableau145[[#This Row],[2050]],NA())</f>
        <v>1.4171624286297185E-4</v>
      </c>
      <c r="AJ17" s="327" t="s">
        <v>390</v>
      </c>
    </row>
    <row r="18" spans="1:36" s="327" customFormat="1">
      <c r="A18" s="327" t="s">
        <v>157</v>
      </c>
      <c r="B18" s="327" t="s">
        <v>411</v>
      </c>
      <c r="C18" s="327" t="s">
        <v>488</v>
      </c>
      <c r="D18" s="328">
        <f>'Résultats détaillés GES'!AE153/Tableau145[[#This Row],[2019]]*1000</f>
        <v>2.3421904771741016</v>
      </c>
      <c r="E18" s="328">
        <f>'Résultats détaillés GES'!AF153/Tableau145[[#This Row],[2020]]*1000</f>
        <v>2.3440097639126223</v>
      </c>
      <c r="F18" s="328">
        <f>'Résultats détaillés GES'!AG153/Tableau145[[#This Row],[2021]]*1000</f>
        <v>2.3448018756404614</v>
      </c>
      <c r="G18" s="328">
        <f>'Résultats détaillés GES'!AH153/Tableau145[[#This Row],[2022]]*1000</f>
        <v>2.3481006945852156</v>
      </c>
      <c r="H18" s="328">
        <f>'Résultats détaillés GES'!AI153/Tableau145[[#This Row],[2023]]*1000</f>
        <v>2.334537997791776</v>
      </c>
      <c r="I18" s="328">
        <f>'Résultats détaillés GES'!AJ153/Tableau145[[#This Row],[2024]]*1000</f>
        <v>2.3354570587942125</v>
      </c>
      <c r="J18" s="328">
        <f>'Résultats détaillés GES'!AK153/Tableau145[[#This Row],[2025]]*1000</f>
        <v>2.2923466232439629</v>
      </c>
      <c r="K18" s="328">
        <f>'Résultats détaillés GES'!AL153/Tableau145[[#This Row],[2026]]*1000</f>
        <v>2.303266579846329</v>
      </c>
      <c r="L18" s="328">
        <f>'Résultats détaillés GES'!AM153/Tableau145[[#This Row],[2027]]*1000</f>
        <v>2.2960625655104483</v>
      </c>
      <c r="M18" s="328">
        <f>'Résultats détaillés GES'!AN153/Tableau145[[#This Row],[2028]]*1000</f>
        <v>2.2887086223119688</v>
      </c>
      <c r="N18" s="328">
        <f>'Résultats détaillés GES'!AO153/Tableau145[[#This Row],[2029]]*1000</f>
        <v>2.279201170993296</v>
      </c>
      <c r="O18" s="328">
        <f>'Résultats détaillés GES'!AP153/Tableau145[[#This Row],[2030]]*1000</f>
        <v>2.2694916465118</v>
      </c>
      <c r="P18" s="328">
        <f>'Résultats détaillés GES'!AQ153/Tableau145[[#This Row],[2031]]*1000</f>
        <v>2.2547282949706218</v>
      </c>
      <c r="Q18" s="328">
        <f>'Résultats détaillés GES'!AR153/Tableau145[[#This Row],[2032]]*1000</f>
        <v>2.2396081278807882</v>
      </c>
      <c r="R18" s="328">
        <f>'Résultats détaillés GES'!AS153/Tableau145[[#This Row],[2033]]*1000</f>
        <v>2.2241180511908767</v>
      </c>
      <c r="S18" s="328">
        <f>'Résultats détaillés GES'!AT153/Tableau145[[#This Row],[2034]]*1000</f>
        <v>2.2092581695380251</v>
      </c>
      <c r="T18" s="328">
        <f>'Résultats détaillés GES'!AU153/Tableau145[[#This Row],[2035]]*1000</f>
        <v>2.1940256291106932</v>
      </c>
      <c r="U18" s="328">
        <f>'Résultats détaillés GES'!AV153/Tableau145[[#This Row],[2036]]*1000</f>
        <v>2.1794368572368561</v>
      </c>
      <c r="V18" s="328">
        <f>'Résultats détaillés GES'!AW153/Tableau145[[#This Row],[2037]]*1000</f>
        <v>2.1644728144161092</v>
      </c>
      <c r="W18" s="328">
        <f>'Résultats détaillés GES'!AX153/Tableau145[[#This Row],[2038]]*1000</f>
        <v>2.1491188321931625</v>
      </c>
      <c r="X18" s="328">
        <f>'Résultats détaillés GES'!AY153/Tableau145[[#This Row],[2039]]*1000</f>
        <v>2.1344227149385273</v>
      </c>
      <c r="Y18" s="328">
        <f>'Résultats détaillés GES'!AZ153/Tableau145[[#This Row],[2040]]*1000</f>
        <v>2.1193333937239403</v>
      </c>
      <c r="Z18" s="328">
        <f>'Résultats détaillés GES'!BA153/Tableau145[[#This Row],[2041]]*1000</f>
        <v>2.1053468796542889</v>
      </c>
      <c r="AA18" s="328">
        <f>'Résultats détaillés GES'!BB153/Tableau145[[#This Row],[2042]]*1000</f>
        <v>2.0909758598126458</v>
      </c>
      <c r="AB18" s="328">
        <f>'Résultats détaillés GES'!BC153/Tableau145[[#This Row],[2043]]*1000</f>
        <v>2.0762042574385307</v>
      </c>
      <c r="AC18" s="328">
        <f>'Résultats détaillés GES'!BD153/Tableau145[[#This Row],[2044]]*1000</f>
        <v>2.0610150868458024</v>
      </c>
      <c r="AD18" s="328">
        <f>'Résultats détaillés GES'!BE153/Tableau145[[#This Row],[2045]]*1000</f>
        <v>2.0453903882672617</v>
      </c>
      <c r="AE18" s="328">
        <f>'Résultats détaillés GES'!BF153/Tableau145[[#This Row],[2046]]*1000</f>
        <v>2.031596984168468</v>
      </c>
      <c r="AF18" s="328">
        <f>'Résultats détaillés GES'!BG153/Tableau145[[#This Row],[2047]]*1000</f>
        <v>2.0173963983543044</v>
      </c>
      <c r="AG18" s="328">
        <f>'Résultats détaillés GES'!BH153/Tableau145[[#This Row],[2048]]*1000</f>
        <v>2.002770330689251</v>
      </c>
      <c r="AH18" s="328">
        <f>'Résultats détaillés GES'!BI153/Tableau145[[#This Row],[2049]]*1000</f>
        <v>1.9876993677318298</v>
      </c>
      <c r="AI18" s="328">
        <f>'Résultats détaillés GES'!BJ153/Tableau145[[#This Row],[2050]]*1000</f>
        <v>1.9721628967658369</v>
      </c>
      <c r="AJ18" s="327" t="s">
        <v>390</v>
      </c>
    </row>
    <row r="19" spans="1:36" s="327" customFormat="1">
      <c r="A19" s="327" t="s">
        <v>157</v>
      </c>
      <c r="B19" s="327" t="s">
        <v>413</v>
      </c>
      <c r="C19" s="327" t="s">
        <v>488</v>
      </c>
      <c r="D19" s="328">
        <f>'Résultats détaillés GES'!AE154/Tableau145[[#This Row],[2019]]*1000</f>
        <v>0.21764204704304907</v>
      </c>
      <c r="E19" s="328">
        <f>'Résultats détaillés GES'!AF154/Tableau145[[#This Row],[2020]]*1000</f>
        <v>0.21419280517963635</v>
      </c>
      <c r="F19" s="328">
        <f>'Résultats détaillés GES'!AG154/Tableau145[[#This Row],[2021]]*1000</f>
        <v>0.21959611249680541</v>
      </c>
      <c r="G19" s="328">
        <f>'Résultats détaillés GES'!AH154/Tableau145[[#This Row],[2022]]*1000</f>
        <v>0.22022367877575844</v>
      </c>
      <c r="H19" s="328">
        <f>'Résultats détaillés GES'!AI154/Tableau145[[#This Row],[2023]]*1000</f>
        <v>0.20639542289053681</v>
      </c>
      <c r="I19" s="328">
        <f>'Résultats détaillés GES'!AJ154/Tableau145[[#This Row],[2024]]*1000</f>
        <v>0.203787703912472</v>
      </c>
      <c r="J19" s="328">
        <f>'Résultats détaillés GES'!AK154/Tableau145[[#This Row],[2025]]*1000</f>
        <v>0.20251593830599041</v>
      </c>
      <c r="K19" s="328">
        <f>'Résultats détaillés GES'!AL154/Tableau145[[#This Row],[2026]]*1000</f>
        <v>0.20142792960690276</v>
      </c>
      <c r="L19" s="328">
        <f>'Résultats détaillés GES'!AM154/Tableau145[[#This Row],[2027]]*1000</f>
        <v>0.19923865079216391</v>
      </c>
      <c r="M19" s="328">
        <f>'Résultats détaillés GES'!AN154/Tableau145[[#This Row],[2028]]*1000</f>
        <v>0.19704198833176745</v>
      </c>
      <c r="N19" s="328">
        <f>'Résultats détaillés GES'!AO154/Tableau145[[#This Row],[2029]]*1000</f>
        <v>0.19545001835550296</v>
      </c>
      <c r="O19" s="328">
        <f>'Résultats détaillés GES'!AP154/Tableau145[[#This Row],[2030]]*1000</f>
        <v>0.19385266107082477</v>
      </c>
      <c r="P19" s="328">
        <f>'Résultats détaillés GES'!AQ154/Tableau145[[#This Row],[2031]]*1000</f>
        <v>0.18832386756630609</v>
      </c>
      <c r="Q19" s="328">
        <f>'Résultats détaillés GES'!AR154/Tableau145[[#This Row],[2032]]*1000</f>
        <v>0.18266941966395742</v>
      </c>
      <c r="R19" s="328">
        <f>'Résultats détaillés GES'!AS154/Tableau145[[#This Row],[2033]]*1000</f>
        <v>0.17688498445350881</v>
      </c>
      <c r="S19" s="328">
        <f>'Résultats détaillés GES'!AT154/Tableau145[[#This Row],[2034]]*1000</f>
        <v>0.17129742422435221</v>
      </c>
      <c r="T19" s="328">
        <f>'Résultats détaillés GES'!AU154/Tableau145[[#This Row],[2035]]*1000</f>
        <v>0.1655783919898037</v>
      </c>
      <c r="U19" s="328">
        <f>'Résultats détaillés GES'!AV154/Tableau145[[#This Row],[2036]]*1000</f>
        <v>0.16006247944981375</v>
      </c>
      <c r="V19" s="328">
        <f>'Résultats détaillés GES'!AW154/Tableau145[[#This Row],[2037]]*1000</f>
        <v>0.15441365335464333</v>
      </c>
      <c r="W19" s="328">
        <f>'Résultats détaillés GES'!AX154/Tableau145[[#This Row],[2038]]*1000</f>
        <v>0.14862705101324925</v>
      </c>
      <c r="X19" s="328">
        <f>'Résultats détaillés GES'!AY154/Tableau145[[#This Row],[2039]]*1000</f>
        <v>0.14304942292036407</v>
      </c>
      <c r="Y19" s="328">
        <f>'Résultats détaillés GES'!AZ154/Tableau145[[#This Row],[2040]]*1000</f>
        <v>0.13733235412515682</v>
      </c>
      <c r="Z19" s="328">
        <f>'Résultats détaillés GES'!BA154/Tableau145[[#This Row],[2041]]*1000</f>
        <v>0.13197561480775219</v>
      </c>
      <c r="AA19" s="328">
        <f>'Résultats détaillés GES'!BB154/Tableau145[[#This Row],[2042]]*1000</f>
        <v>0.12648152320015771</v>
      </c>
      <c r="AB19" s="328">
        <f>'Résultats détaillés GES'!BC154/Tableau145[[#This Row],[2043]]*1000</f>
        <v>0.12084472791444388</v>
      </c>
      <c r="AC19" s="328">
        <f>'Résultats détaillés GES'!BD154/Tableau145[[#This Row],[2044]]*1000</f>
        <v>0.11505959591068497</v>
      </c>
      <c r="AD19" s="328">
        <f>'Résultats détaillés GES'!BE154/Tableau145[[#This Row],[2045]]*1000</f>
        <v>0.10912019372015914</v>
      </c>
      <c r="AE19" s="328">
        <f>'Résultats détaillés GES'!BF154/Tableau145[[#This Row],[2046]]*1000</f>
        <v>0.10379054062751142</v>
      </c>
      <c r="AF19" s="328">
        <f>'Résultats détaillés GES'!BG154/Tableau145[[#This Row],[2047]]*1000</f>
        <v>9.8314869641914424E-2</v>
      </c>
      <c r="AG19" s="328">
        <f>'Résultats détaillés GES'!BH154/Tableau145[[#This Row],[2048]]*1000</f>
        <v>9.2687096684495304E-2</v>
      </c>
      <c r="AH19" s="328">
        <f>'Résultats détaillés GES'!BI154/Tableau145[[#This Row],[2049]]*1000</f>
        <v>8.690079491137423E-2</v>
      </c>
      <c r="AI19" s="328">
        <f>'Résultats détaillés GES'!BJ154/Tableau145[[#This Row],[2050]]*1000</f>
        <v>8.0949170230449688E-2</v>
      </c>
      <c r="AJ19" s="327" t="s">
        <v>390</v>
      </c>
    </row>
    <row r="20" spans="1:36" s="327" customFormat="1">
      <c r="A20" s="327" t="s">
        <v>157</v>
      </c>
      <c r="B20" s="327" t="s">
        <v>414</v>
      </c>
      <c r="C20" s="327" t="s">
        <v>491</v>
      </c>
      <c r="D20" s="328">
        <f>'Résultats détaillés GES'!AE155/Tableau145[[#This Row],[2019]]*1000*1000</f>
        <v>0.81613012045062661</v>
      </c>
      <c r="E20" s="328">
        <f>'Résultats détaillés GES'!AF155/Tableau145[[#This Row],[2020]]*1000*1000</f>
        <v>0.82213100706094</v>
      </c>
      <c r="F20" s="328">
        <f>'Résultats détaillés GES'!AG155/Tableau145[[#This Row],[2021]]*1000*1000</f>
        <v>0.82230899846049532</v>
      </c>
      <c r="G20" s="328">
        <f>'Résultats détaillés GES'!AH155/Tableau145[[#This Row],[2022]]*1000*1000</f>
        <v>0.81739424068116595</v>
      </c>
      <c r="H20" s="328">
        <f>'Résultats détaillés GES'!AI155/Tableau145[[#This Row],[2023]]*1000*1000</f>
        <v>0.79144234147118464</v>
      </c>
      <c r="I20" s="328">
        <f>'Résultats détaillés GES'!AJ155/Tableau145[[#This Row],[2024]]*1000*1000</f>
        <v>0.81546914181849173</v>
      </c>
      <c r="J20" s="328">
        <f>'Résultats détaillés GES'!AK155/Tableau145[[#This Row],[2025]]*1000*1000</f>
        <v>0.82157690245320525</v>
      </c>
      <c r="K20" s="328">
        <f>'Résultats détaillés GES'!AL155/Tableau145[[#This Row],[2026]]*1000*1000</f>
        <v>0.82663351865685442</v>
      </c>
      <c r="L20" s="328">
        <f>'Résultats détaillés GES'!AM155/Tableau145[[#This Row],[2027]]*1000*1000</f>
        <v>0.83877201688501468</v>
      </c>
      <c r="M20" s="328">
        <f>'Résultats détaillés GES'!AN155/Tableau145[[#This Row],[2028]]*1000*1000</f>
        <v>0.85067649758019481</v>
      </c>
      <c r="N20" s="328">
        <f>'Résultats détaillés GES'!AO155/Tableau145[[#This Row],[2029]]*1000*1000</f>
        <v>0.86888735414037166</v>
      </c>
      <c r="O20" s="328">
        <f>'Résultats détaillés GES'!AP155/Tableau145[[#This Row],[2030]]*1000*1000</f>
        <v>0.88675376501076808</v>
      </c>
      <c r="P20" s="328">
        <f>'Résultats détaillés GES'!AQ155/Tableau145[[#This Row],[2031]]*1000*1000</f>
        <v>0.89415994643805996</v>
      </c>
      <c r="Q20" s="328">
        <f>'Résultats détaillés GES'!AR155/Tableau145[[#This Row],[2032]]*1000*1000</f>
        <v>0.90156612786535206</v>
      </c>
      <c r="R20" s="328">
        <f>'Résultats détaillés GES'!AS155/Tableau145[[#This Row],[2033]]*1000*1000</f>
        <v>0.90897230929264394</v>
      </c>
      <c r="S20" s="328">
        <f>'Résultats détaillés GES'!AT155/Tableau145[[#This Row],[2034]]*1000*1000</f>
        <v>0.91637849071993571</v>
      </c>
      <c r="T20" s="328">
        <f>'Résultats détaillés GES'!AU155/Tableau145[[#This Row],[2035]]*1000*1000</f>
        <v>0.92378467214722793</v>
      </c>
      <c r="U20" s="328">
        <f>'Résultats détaillés GES'!AV155/Tableau145[[#This Row],[2036]]*1000*1000</f>
        <v>0.93119085357451981</v>
      </c>
      <c r="V20" s="328">
        <f>'Résultats détaillés GES'!AW155/Tableau145[[#This Row],[2037]]*1000*1000</f>
        <v>0.9385970350018118</v>
      </c>
      <c r="W20" s="328">
        <f>'Résultats détaillés GES'!AX155/Tableau145[[#This Row],[2038]]*1000*1000</f>
        <v>0.94600321642910357</v>
      </c>
      <c r="X20" s="328">
        <f>'Résultats détaillés GES'!AY155/Tableau145[[#This Row],[2039]]*1000*1000</f>
        <v>0.95340939785639567</v>
      </c>
      <c r="Y20" s="328">
        <f>'Résultats détaillés GES'!AZ155/Tableau145[[#This Row],[2040]]*1000*1000</f>
        <v>0.96081557928368788</v>
      </c>
      <c r="Z20" s="328">
        <f>'Résultats détaillés GES'!BA155/Tableau145[[#This Row],[2041]]*1000*1000</f>
        <v>0.96822176071097976</v>
      </c>
      <c r="AA20" s="328">
        <f>'Résultats détaillés GES'!BB155/Tableau145[[#This Row],[2042]]*1000*1000</f>
        <v>0.97562794213827198</v>
      </c>
      <c r="AB20" s="328">
        <f>'Résultats détaillés GES'!BC155/Tableau145[[#This Row],[2043]]*1000*1000</f>
        <v>0.98303412356556386</v>
      </c>
      <c r="AC20" s="328">
        <f>'Résultats détaillés GES'!BD155/Tableau145[[#This Row],[2044]]*1000*1000</f>
        <v>0.99044030499285607</v>
      </c>
      <c r="AD20" s="328">
        <f>'Résultats détaillés GES'!BE155/Tableau145[[#This Row],[2045]]*1000*1000</f>
        <v>0.99784648642014762</v>
      </c>
      <c r="AE20" s="328">
        <f>'Résultats détaillés GES'!BF155/Tableau145[[#This Row],[2046]]*1000*1000</f>
        <v>1.0052526678474398</v>
      </c>
      <c r="AF20" s="328">
        <f>'Résultats détaillés GES'!BG155/Tableau145[[#This Row],[2047]]*1000*1000</f>
        <v>1.0126588492747317</v>
      </c>
      <c r="AG20" s="328">
        <f>'Résultats détaillés GES'!BH155/Tableau145[[#This Row],[2048]]*1000*1000</f>
        <v>1.020065030702024</v>
      </c>
      <c r="AH20" s="328">
        <f>'Résultats détaillés GES'!BI155/Tableau145[[#This Row],[2049]]*1000*1000</f>
        <v>1.0274712121293157</v>
      </c>
      <c r="AI20" s="328">
        <f>'Résultats détaillés GES'!BJ155/Tableau145[[#This Row],[2050]]*1000*1000</f>
        <v>1.0348773935566078</v>
      </c>
      <c r="AJ20" s="327" t="s">
        <v>390</v>
      </c>
    </row>
    <row r="21" spans="1:36" s="327" customFormat="1">
      <c r="A21" s="327" t="s">
        <v>157</v>
      </c>
      <c r="B21" s="327" t="s">
        <v>415</v>
      </c>
      <c r="C21" s="330" t="s">
        <v>344</v>
      </c>
      <c r="D21" s="328">
        <f>'Résultats détaillés GES'!AE163/Tableau145[[#This Row],[2019]]*1000</f>
        <v>0.83855871594334508</v>
      </c>
      <c r="E21" s="328">
        <f>'Résultats détaillés GES'!AF163/Tableau145[[#This Row],[2020]]*1000</f>
        <v>0.82843874054503763</v>
      </c>
      <c r="F21" s="328">
        <f>'Résultats détaillés GES'!AG163/Tableau145[[#This Row],[2021]]*1000</f>
        <v>0.84617787447669601</v>
      </c>
      <c r="G21" s="328">
        <f>'Résultats détaillés GES'!AH163/Tableau145[[#This Row],[2022]]*1000</f>
        <v>0.79249693104755004</v>
      </c>
      <c r="H21" s="328">
        <f>'Résultats détaillés GES'!AI163/Tableau145[[#This Row],[2023]]*1000</f>
        <v>0.80109097162088216</v>
      </c>
      <c r="I21" s="328">
        <f>'Résultats détaillés GES'!AJ163/Tableau145[[#This Row],[2024]]*1000</f>
        <v>0.79771547702229517</v>
      </c>
      <c r="J21" s="328">
        <f>'Résultats détaillés GES'!AK163/Tableau145[[#This Row],[2025]]*1000</f>
        <v>0.8100864372208767</v>
      </c>
      <c r="K21" s="328">
        <f>'Résultats détaillés GES'!AL163/Tableau145[[#This Row],[2026]]*1000</f>
        <v>0.79470516173144345</v>
      </c>
      <c r="L21" s="328">
        <f>'Résultats détaillés GES'!AM163/Tableau145[[#This Row],[2027]]*1000</f>
        <v>0.7508920697401178</v>
      </c>
      <c r="M21" s="328">
        <f>'Résultats détaillés GES'!AN163/Tableau145[[#This Row],[2028]]*1000</f>
        <v>0.70674174166057269</v>
      </c>
      <c r="N21" s="328">
        <f>'Résultats détaillés GES'!AO163/Tableau145[[#This Row],[2029]]*1000</f>
        <v>0.69055997314375328</v>
      </c>
      <c r="O21" s="328">
        <f>'Résultats détaillés GES'!AP163/Tableau145[[#This Row],[2030]]*1000</f>
        <v>0.67425268492866153</v>
      </c>
      <c r="P21" s="328">
        <f>'Résultats détaillés GES'!AQ163/Tableau145[[#This Row],[2031]]*1000</f>
        <v>0.67128310535616198</v>
      </c>
      <c r="Q21" s="328">
        <f>'Résultats détaillés GES'!AR163/Tableau145[[#This Row],[2032]]*1000</f>
        <v>0.66829899287016215</v>
      </c>
      <c r="R21" s="328">
        <f>'Résultats détaillés GES'!AS163/Tableau145[[#This Row],[2033]]*1000</f>
        <v>0.6653002405243843</v>
      </c>
      <c r="S21" s="328">
        <f>'Résultats détaillés GES'!AT163/Tableau145[[#This Row],[2034]]*1000</f>
        <v>0.66224301710751066</v>
      </c>
      <c r="T21" s="328">
        <f>'Résultats détaillés GES'!AU163/Tableau145[[#This Row],[2035]]*1000</f>
        <v>0.65917072120883047</v>
      </c>
      <c r="U21" s="328">
        <f>'Résultats détaillés GES'!AV163/Tableau145[[#This Row],[2036]]*1000</f>
        <v>0.65605640119209185</v>
      </c>
      <c r="V21" s="328">
        <f>'Résultats détaillés GES'!AW163/Tableau145[[#This Row],[2037]]*1000</f>
        <v>0.65292665112839221</v>
      </c>
      <c r="W21" s="328">
        <f>'Résultats détaillés GES'!AX163/Tableau145[[#This Row],[2038]]*1000</f>
        <v>0.64978135605959353</v>
      </c>
      <c r="X21" s="328">
        <f>'Résultats détaillés GES'!AY163/Tableau145[[#This Row],[2039]]*1000</f>
        <v>0.64657580484043142</v>
      </c>
      <c r="Y21" s="328">
        <f>'Résultats détaillés GES'!AZ163/Tableau145[[#This Row],[2040]]*1000</f>
        <v>0.64335425264859447</v>
      </c>
      <c r="Z21" s="328">
        <f>'Résultats détaillés GES'!BA163/Tableau145[[#This Row],[2041]]*1000</f>
        <v>0.64007693955739708</v>
      </c>
      <c r="AA21" s="328">
        <f>'Résultats détaillés GES'!BB163/Tableau145[[#This Row],[2042]]*1000</f>
        <v>0.63678318521487409</v>
      </c>
      <c r="AB21" s="328">
        <f>'Résultats détaillés GES'!BC163/Tableau145[[#This Row],[2043]]*1000</f>
        <v>0.6334728655890125</v>
      </c>
      <c r="AC21" s="328">
        <f>'Résultats détaillés GES'!BD163/Tableau145[[#This Row],[2044]]*1000</f>
        <v>0.63014585539706591</v>
      </c>
      <c r="AD21" s="328">
        <f>'Résultats détaillés GES'!BE163/Tableau145[[#This Row],[2045]]*1000</f>
        <v>0.62680202808974872</v>
      </c>
      <c r="AE21" s="328">
        <f>'Résultats détaillés GES'!BF163/Tableau145[[#This Row],[2046]]*1000</f>
        <v>0.62336793766035392</v>
      </c>
      <c r="AF21" s="328">
        <f>'Résultats détaillés GES'!BG163/Tableau145[[#This Row],[2047]]*1000</f>
        <v>0.61991640066708553</v>
      </c>
      <c r="AG21" s="328">
        <f>'Résultats détaillés GES'!BH163/Tableau145[[#This Row],[2048]]*1000</f>
        <v>0.61644728381798775</v>
      </c>
      <c r="AH21" s="328">
        <f>'Résultats détaillés GES'!BI163/Tableau145[[#This Row],[2049]]*1000</f>
        <v>0.61296045245983544</v>
      </c>
      <c r="AI21" s="328">
        <f>'Résultats détaillés GES'!BJ163/Tableau145[[#This Row],[2050]]*1000</f>
        <v>0.6094557705607111</v>
      </c>
      <c r="AJ21" s="327" t="s">
        <v>390</v>
      </c>
    </row>
    <row r="22" spans="1:36" s="327" customFormat="1">
      <c r="A22" s="327" t="s">
        <v>157</v>
      </c>
      <c r="B22" s="327" t="s">
        <v>417</v>
      </c>
      <c r="C22" s="330" t="s">
        <v>345</v>
      </c>
      <c r="D22" s="328">
        <f>'Résultats détaillés GES'!AE158/Tableau145[[#This Row],[2019]]*1000</f>
        <v>5.3350893140768099</v>
      </c>
      <c r="E22" s="328">
        <f>'Résultats détaillés GES'!AF158/Tableau145[[#This Row],[2020]]*1000</f>
        <v>5.5637416269875688</v>
      </c>
      <c r="F22" s="328">
        <f>'Résultats détaillés GES'!AG158/Tableau145[[#This Row],[2021]]*1000</f>
        <v>5.57976042991924</v>
      </c>
      <c r="G22" s="328">
        <f>'Résultats détaillés GES'!AH158/Tableau145[[#This Row],[2022]]*1000</f>
        <v>5.8481234961482302</v>
      </c>
      <c r="H22" s="328">
        <f>'Résultats détaillés GES'!AI158/Tableau145[[#This Row],[2023]]*1000</f>
        <v>5.7797926007897145</v>
      </c>
      <c r="I22" s="328">
        <f>'Résultats détaillés GES'!AJ158/Tableau145[[#This Row],[2024]]*1000</f>
        <v>5.7782473787117299</v>
      </c>
      <c r="J22" s="328">
        <f>'Résultats détaillés GES'!AK158/Tableau145[[#This Row],[2025]]*1000</f>
        <v>6.1225663039365541</v>
      </c>
      <c r="K22" s="328">
        <f>'Résultats détaillés GES'!AL158/Tableau145[[#This Row],[2026]]*1000</f>
        <v>6.1175387795211629</v>
      </c>
      <c r="L22" s="328">
        <f>'Résultats détaillés GES'!AM158/Tableau145[[#This Row],[2027]]*1000</f>
        <v>5.9118477857595977</v>
      </c>
      <c r="M22" s="328">
        <f>'Résultats détaillés GES'!AN158/Tableau145[[#This Row],[2028]]*1000</f>
        <v>5.6925736533661899</v>
      </c>
      <c r="N22" s="328">
        <f>'Résultats détaillés GES'!AO158/Tableau145[[#This Row],[2029]]*1000</f>
        <v>5.6435640869565145</v>
      </c>
      <c r="O22" s="328">
        <f>'Résultats détaillés GES'!AP158/Tableau145[[#This Row],[2030]]*1000</f>
        <v>5.5910892601889026</v>
      </c>
      <c r="P22" s="328">
        <f>'Résultats détaillés GES'!AQ158/Tableau145[[#This Row],[2031]]*1000</f>
        <v>5.5965886266298561</v>
      </c>
      <c r="Q22" s="328">
        <f>'Résultats détaillés GES'!AR158/Tableau145[[#This Row],[2032]]*1000</f>
        <v>5.6022804434358626</v>
      </c>
      <c r="R22" s="328">
        <f>'Résultats détaillés GES'!AS158/Tableau145[[#This Row],[2033]]*1000</f>
        <v>5.6081749927209508</v>
      </c>
      <c r="S22" s="328">
        <f>'Résultats détaillés GES'!AT158/Tableau145[[#This Row],[2034]]*1000</f>
        <v>5.6142833023417076</v>
      </c>
      <c r="T22" s="328">
        <f>'Résultats détaillés GES'!AU158/Tableau145[[#This Row],[2035]]*1000</f>
        <v>5.6206172147549607</v>
      </c>
      <c r="U22" s="328">
        <f>'Résultats détaillés GES'!AV158/Tableau145[[#This Row],[2036]]*1000</f>
        <v>5.6271894636485182</v>
      </c>
      <c r="V22" s="328">
        <f>'Résultats détaillés GES'!AW158/Tableau145[[#This Row],[2037]]*1000</f>
        <v>5.6340137593883064</v>
      </c>
      <c r="W22" s="328">
        <f>'Résultats détaillés GES'!AX158/Tableau145[[#This Row],[2038]]*1000</f>
        <v>5.641104884488449</v>
      </c>
      <c r="X22" s="328">
        <f>'Résultats détaillés GES'!AY158/Tableau145[[#This Row],[2039]]*1000</f>
        <v>5.6484788005032378</v>
      </c>
      <c r="Y22" s="328">
        <f>'Résultats détaillés GES'!AZ158/Tableau145[[#This Row],[2040]]*1000</f>
        <v>5.6561527679677317</v>
      </c>
      <c r="Z22" s="328">
        <f>'Résultats détaillés GES'!BA158/Tableau145[[#This Row],[2041]]*1000</f>
        <v>5.6641454812838736</v>
      </c>
      <c r="AA22" s="328">
        <f>'Résultats détaillés GES'!BB158/Tableau145[[#This Row],[2042]]*1000</f>
        <v>5.6724772207710004</v>
      </c>
      <c r="AB22" s="328">
        <f>'Résultats détaillés GES'!BC158/Tableau145[[#This Row],[2043]]*1000</f>
        <v>5.6811700244841044</v>
      </c>
      <c r="AC22" s="328">
        <f>'Résultats détaillés GES'!BD158/Tableau145[[#This Row],[2044]]*1000</f>
        <v>5.6902478828645968</v>
      </c>
      <c r="AD22" s="328">
        <f>'Résultats détaillés GES'!BE158/Tableau145[[#This Row],[2045]]*1000</f>
        <v>5.6997369598435546</v>
      </c>
      <c r="AE22" s="328">
        <f>'Résultats détaillés GES'!BF158/Tableau145[[#This Row],[2046]]*1000</f>
        <v>5.7096658446886197</v>
      </c>
      <c r="AF22" s="328">
        <f>'Résultats détaillés GES'!BG158/Tableau145[[#This Row],[2047]]*1000</f>
        <v>5.720065839700136</v>
      </c>
      <c r="AG22" s="328">
        <f>'Résultats détaillés GES'!BH158/Tableau145[[#This Row],[2048]]*1000</f>
        <v>5.7309712898546596</v>
      </c>
      <c r="AH22" s="328">
        <f>'Résultats détaillés GES'!BI158/Tableau145[[#This Row],[2049]]*1000</f>
        <v>5.7424199617090137</v>
      </c>
      <c r="AI22" s="328">
        <f>'Résultats détaillés GES'!BJ158/Tableau145[[#This Row],[2050]]*1000</f>
        <v>5.7544534803724456</v>
      </c>
      <c r="AJ22" s="327" t="s">
        <v>390</v>
      </c>
    </row>
    <row r="23" spans="1:36" s="327" customFormat="1">
      <c r="A23" s="327" t="s">
        <v>157</v>
      </c>
      <c r="B23" s="327" t="s">
        <v>420</v>
      </c>
      <c r="C23" s="327" t="s">
        <v>489</v>
      </c>
      <c r="D23" s="328">
        <f>'Résultats détaillés GES'!AE153/Tableau145[[#This Row],[2019]]*1000</f>
        <v>8.0331201123282838</v>
      </c>
      <c r="E23" s="328">
        <f>'Résultats détaillés GES'!AF153/Tableau145[[#This Row],[2020]]*1000</f>
        <v>7.9342043236275899</v>
      </c>
      <c r="F23" s="328">
        <f>'Résultats détaillés GES'!AG153/Tableau145[[#This Row],[2021]]*1000</f>
        <v>7.7734009366912113</v>
      </c>
      <c r="G23" s="328">
        <f>'Résultats détaillés GES'!AH153/Tableau145[[#This Row],[2022]]*1000</f>
        <v>7.676783802226959</v>
      </c>
      <c r="H23" s="328">
        <f>'Résultats détaillés GES'!AI153/Tableau145[[#This Row],[2023]]*1000</f>
        <v>7.6072762226203903</v>
      </c>
      <c r="I23" s="328">
        <f>'Résultats détaillés GES'!AJ153/Tableau145[[#This Row],[2024]]*1000</f>
        <v>7.5847623275540936</v>
      </c>
      <c r="J23" s="328">
        <f>'Résultats détaillés GES'!AK153/Tableau145[[#This Row],[2025]]*1000</f>
        <v>7.4193836453971729</v>
      </c>
      <c r="K23" s="328">
        <f>'Résultats détaillés GES'!AL153/Tableau145[[#This Row],[2026]]*1000</f>
        <v>7.4288941639097699</v>
      </c>
      <c r="L23" s="328">
        <f>'Résultats détaillés GES'!AM153/Tableau145[[#This Row],[2027]]*1000</f>
        <v>7.3795593883614075</v>
      </c>
      <c r="M23" s="328">
        <f>'Résultats détaillés GES'!AN153/Tableau145[[#This Row],[2028]]*1000</f>
        <v>7.3295552427722557</v>
      </c>
      <c r="N23" s="328">
        <f>'Résultats détaillés GES'!AO153/Tableau145[[#This Row],[2029]]*1000</f>
        <v>7.2724900687393594</v>
      </c>
      <c r="O23" s="328">
        <f>'Résultats détaillés GES'!AP153/Tableau145[[#This Row],[2030]]*1000</f>
        <v>7.2146399897524889</v>
      </c>
      <c r="P23" s="328">
        <f>'Résultats détaillés GES'!AQ153/Tableau145[[#This Row],[2031]]*1000</f>
        <v>7.1374531344229188</v>
      </c>
      <c r="Q23" s="328">
        <f>'Résultats détaillés GES'!AR153/Tableau145[[#This Row],[2032]]*1000</f>
        <v>7.0590732614902469</v>
      </c>
      <c r="R23" s="328">
        <f>'Résultats détaillés GES'!AS153/Tableau145[[#This Row],[2033]]*1000</f>
        <v>6.9794724962078654</v>
      </c>
      <c r="S23" s="328">
        <f>'Résultats détaillés GES'!AT153/Tableau145[[#This Row],[2034]]*1000</f>
        <v>6.9017893782881909</v>
      </c>
      <c r="T23" s="328">
        <f>'Résultats détaillés GES'!AU153/Tableau145[[#This Row],[2035]]*1000</f>
        <v>6.8228770745543299</v>
      </c>
      <c r="U23" s="328">
        <f>'Résultats détaillés GES'!AV153/Tableau145[[#This Row],[2036]]*1000</f>
        <v>6.7458962135404805</v>
      </c>
      <c r="V23" s="328">
        <f>'Résultats détaillés GES'!AW153/Tableau145[[#This Row],[2037]]*1000</f>
        <v>6.6676776950286305</v>
      </c>
      <c r="W23" s="328">
        <f>'Résultats détaillés GES'!AX153/Tableau145[[#This Row],[2038]]*1000</f>
        <v>6.5881914295350983</v>
      </c>
      <c r="X23" s="328">
        <f>'Résultats détaillés GES'!AY153/Tableau145[[#This Row],[2039]]*1000</f>
        <v>6.5106495777074578</v>
      </c>
      <c r="Y23" s="328">
        <f>'Résultats détaillés GES'!AZ153/Tableau145[[#This Row],[2040]]*1000</f>
        <v>6.4318302409806565</v>
      </c>
      <c r="Z23" s="328">
        <f>'Résultats détaillés GES'!BA153/Tableau145[[#This Row],[2041]]*1000</f>
        <v>6.3562664940238207</v>
      </c>
      <c r="AA23" s="328">
        <f>'Résultats détaillés GES'!BB153/Tableau145[[#This Row],[2042]]*1000</f>
        <v>6.2794369980737255</v>
      </c>
      <c r="AB23" s="328">
        <f>'Résultats détaillés GES'!BC153/Tableau145[[#This Row],[2043]]*1000</f>
        <v>6.2013096811593389</v>
      </c>
      <c r="AC23" s="328">
        <f>'Résultats détaillés GES'!BD153/Tableau145[[#This Row],[2044]]*1000</f>
        <v>6.1218513785462676</v>
      </c>
      <c r="AD23" s="328">
        <f>'Résultats détaillés GES'!BE153/Tableau145[[#This Row],[2045]]*1000</f>
        <v>6.0410277857958112</v>
      </c>
      <c r="AE23" s="328">
        <f>'Résultats détaillés GES'!BF153/Tableau145[[#This Row],[2046]]*1000</f>
        <v>5.9655154380439708</v>
      </c>
      <c r="AF23" s="328">
        <f>'Résultats détaillés GES'!BG153/Tableau145[[#This Row],[2047]]*1000</f>
        <v>5.8886829175856619</v>
      </c>
      <c r="AG23" s="328">
        <f>'Résultats détaillés GES'!BH153/Tableau145[[#This Row],[2048]]*1000</f>
        <v>5.8104952985026364</v>
      </c>
      <c r="AH23" s="328">
        <f>'Résultats détaillés GES'!BI153/Tableau145[[#This Row],[2049]]*1000</f>
        <v>5.7309164119357536</v>
      </c>
      <c r="AI23" s="328">
        <f>'Résultats détaillés GES'!BJ153/Tableau145[[#This Row],[2050]]*1000</f>
        <v>5.6499087902965321</v>
      </c>
      <c r="AJ23" s="327" t="s">
        <v>390</v>
      </c>
    </row>
    <row r="24" spans="1:36" s="327" customFormat="1">
      <c r="A24" s="327" t="s">
        <v>157</v>
      </c>
      <c r="B24" s="327" t="s">
        <v>482</v>
      </c>
      <c r="C24" s="327" t="s">
        <v>490</v>
      </c>
      <c r="D24" s="328">
        <f>'Résultats détaillés GES'!AE165/Tableau145[[#This Row],[2019]]</f>
        <v>0.37219305875854197</v>
      </c>
      <c r="E24" s="328">
        <f>'Résultats détaillés GES'!AF165/Tableau145[[#This Row],[2020]]</f>
        <v>0.39090628506136504</v>
      </c>
      <c r="F24" s="328">
        <f>'Résultats détaillés GES'!AG165/Tableau145[[#This Row],[2021]]</f>
        <v>0.40279028919605492</v>
      </c>
      <c r="G24" s="328">
        <f>'Résultats détaillés GES'!AH165/Tableau145[[#This Row],[2022]]</f>
        <v>0.38848943967437016</v>
      </c>
      <c r="H24" s="328">
        <f>'Résultats détaillés GES'!AI165/Tableau145[[#This Row],[2023]]</f>
        <v>0.38509589674847772</v>
      </c>
      <c r="I24" s="328">
        <f>'Résultats détaillés GES'!AJ165/Tableau145[[#This Row],[2024]]</f>
        <v>0.38770057509272343</v>
      </c>
      <c r="J24" s="328">
        <f>'Résultats détaillés GES'!AK165/Tableau145[[#This Row],[2025]]</f>
        <v>0.38680507823619631</v>
      </c>
      <c r="K24" s="328">
        <f>'Résultats détaillés GES'!AL165/Tableau145[[#This Row],[2026]]</f>
        <v>0.38058155901751173</v>
      </c>
      <c r="L24" s="328">
        <f>'Résultats détaillés GES'!AM165/Tableau145[[#This Row],[2027]]</f>
        <v>0.35014520073284811</v>
      </c>
      <c r="M24" s="328">
        <f>'Résultats détaillés GES'!AN165/Tableau145[[#This Row],[2028]]</f>
        <v>0.3323285484284515</v>
      </c>
      <c r="N24" s="328">
        <f>'Résultats détaillés GES'!AO165/Tableau145[[#This Row],[2029]]</f>
        <v>0.33606543578659864</v>
      </c>
      <c r="O24" s="328">
        <f>'Résultats détaillés GES'!AP165/Tableau145[[#This Row],[2030]]</f>
        <v>0.34075215780862117</v>
      </c>
      <c r="P24" s="328">
        <f>'Résultats détaillés GES'!AQ165/Tableau145[[#This Row],[2031]]</f>
        <v>0.33045558492736338</v>
      </c>
      <c r="Q24" s="328">
        <f>'Résultats détaillés GES'!AR165/Tableau145[[#This Row],[2032]]</f>
        <v>0.32018717784246092</v>
      </c>
      <c r="R24" s="328">
        <f>'Résultats détaillés GES'!AS165/Tableau145[[#This Row],[2033]]</f>
        <v>0.30728944012366377</v>
      </c>
      <c r="S24" s="328">
        <f>'Résultats détaillés GES'!AT165/Tableau145[[#This Row],[2034]]</f>
        <v>0.29466437500505355</v>
      </c>
      <c r="T24" s="328">
        <f>'Résultats détaillés GES'!AU165/Tableau145[[#This Row],[2035]]</f>
        <v>0.28148316464463097</v>
      </c>
      <c r="U24" s="328">
        <f>'Résultats détaillés GES'!AV165/Tableau145[[#This Row],[2036]]</f>
        <v>0.2669633090154932</v>
      </c>
      <c r="V24" s="328">
        <f>'Résultats détaillés GES'!AW165/Tableau145[[#This Row],[2037]]</f>
        <v>0.2521307021998857</v>
      </c>
      <c r="W24" s="328">
        <f>'Résultats détaillés GES'!AX165/Tableau145[[#This Row],[2038]]</f>
        <v>0.23693906861297437</v>
      </c>
      <c r="X24" s="328">
        <f>'Résultats détaillés GES'!AY165/Tableau145[[#This Row],[2039]]</f>
        <v>0.22116553468524641</v>
      </c>
      <c r="Y24" s="328">
        <f>'Résultats détaillés GES'!AZ165/Tableau145[[#This Row],[2040]]</f>
        <v>0.20505170414348955</v>
      </c>
      <c r="Z24" s="328">
        <f>'Résultats détaillés GES'!BA165/Tableau145[[#This Row],[2041]]</f>
        <v>0.18717081273634276</v>
      </c>
      <c r="AA24" s="328">
        <f>'Résultats détaillés GES'!BB165/Tableau145[[#This Row],[2042]]</f>
        <v>0.16875023084894497</v>
      </c>
      <c r="AB24" s="328">
        <f>'Résultats détaillés GES'!BC165/Tableau145[[#This Row],[2043]]</f>
        <v>0.14973590804653353</v>
      </c>
      <c r="AC24" s="328">
        <f>'Résultats détaillés GES'!BD165/Tableau145[[#This Row],[2044]]</f>
        <v>0.1300677985810399</v>
      </c>
      <c r="AD24" s="328">
        <f>'Résultats détaillés GES'!BE165/Tableau145[[#This Row],[2045]]</f>
        <v>0.10967901172942954</v>
      </c>
      <c r="AE24" s="328">
        <f>'Résultats détaillés GES'!BF165/Tableau145[[#This Row],[2046]]</f>
        <v>9.3054434871564978E-2</v>
      </c>
      <c r="AF24" s="328">
        <f>'Résultats détaillés GES'!BG165/Tableau145[[#This Row],[2047]]</f>
        <v>7.5699960286403675E-2</v>
      </c>
      <c r="AG24" s="328">
        <f>'Résultats détaillés GES'!BH165/Tableau145[[#This Row],[2048]]</f>
        <v>5.7567819134602766E-2</v>
      </c>
      <c r="AH24" s="328">
        <f>'Résultats détaillés GES'!BI165/Tableau145[[#This Row],[2049]]</f>
        <v>3.8607804677762397E-2</v>
      </c>
      <c r="AI24" s="328">
        <f>'Résultats détaillés GES'!BJ165/Tableau145[[#This Row],[2050]]</f>
        <v>1.8736086062127618E-2</v>
      </c>
    </row>
    <row r="25" spans="1:36" s="327" customFormat="1">
      <c r="A25" s="327" t="s">
        <v>12</v>
      </c>
      <c r="B25" s="327" t="s">
        <v>422</v>
      </c>
      <c r="C25" s="327" t="s">
        <v>669</v>
      </c>
      <c r="D25" s="328">
        <f>IFERROR('Résultats détaillés GES'!AE78/Tableau145[[#This Row],[2019]],NA())</f>
        <v>0.72887376373509383</v>
      </c>
      <c r="E25" s="328">
        <f>IFERROR('Résultats détaillés GES'!AF78/Tableau145[[#This Row],[2020]],NA())</f>
        <v>0.74920717840162387</v>
      </c>
      <c r="F25" s="328">
        <f>IFERROR('Résultats détaillés GES'!AG78/Tableau145[[#This Row],[2021]],NA())</f>
        <v>0.8040788034849643</v>
      </c>
      <c r="G25" s="328">
        <f>IFERROR('Résultats détaillés GES'!AH78/Tableau145[[#This Row],[2022]],NA())</f>
        <v>0.76606937225859795</v>
      </c>
      <c r="H25" s="328">
        <f>IFERROR('Résultats détaillés GES'!AI78/Tableau145[[#This Row],[2023]],NA())</f>
        <v>0.78748791448213906</v>
      </c>
      <c r="I25" s="328">
        <f>IFERROR('Résultats détaillés GES'!AJ78/Tableau145[[#This Row],[2024]],NA())</f>
        <v>0.77380261899485259</v>
      </c>
      <c r="J25" s="328">
        <f>IFERROR('Résultats détaillés GES'!AK78/Tableau145[[#This Row],[2025]],NA())</f>
        <v>0.7602431575743902</v>
      </c>
      <c r="K25" s="328">
        <f>IFERROR('Résultats détaillés GES'!AL78/Tableau145[[#This Row],[2026]],NA())</f>
        <v>0.74853562632063197</v>
      </c>
      <c r="L25" s="328">
        <f>IFERROR('Résultats détaillés GES'!AM78/Tableau145[[#This Row],[2027]],NA())</f>
        <v>0.7367577239683849</v>
      </c>
      <c r="M25" s="328">
        <f>IFERROR('Résultats détaillés GES'!AN78/Tableau145[[#This Row],[2028]],NA())</f>
        <v>0.72490944542348856</v>
      </c>
      <c r="N25" s="328">
        <f>IFERROR('Résultats détaillés GES'!AO78/Tableau145[[#This Row],[2029]],NA())</f>
        <v>0.71299084025894222</v>
      </c>
      <c r="O25" s="328">
        <f>IFERROR('Résultats détaillés GES'!AP78/Tableau145[[#This Row],[2030]],NA())</f>
        <v>0.70100187929265112</v>
      </c>
      <c r="P25" s="328">
        <f>IFERROR('Résultats détaillés GES'!AQ78/Tableau145[[#This Row],[2031]],NA())</f>
        <v>0.69827628061696567</v>
      </c>
      <c r="Q25" s="328">
        <f>IFERROR('Résultats détaillés GES'!AR78/Tableau145[[#This Row],[2032]],NA())</f>
        <v>0.69556688312815851</v>
      </c>
      <c r="R25" s="328">
        <f>IFERROR('Résultats détaillés GES'!AS78/Tableau145[[#This Row],[2033]],NA())</f>
        <v>0.6928737109906884</v>
      </c>
      <c r="S25" s="328">
        <f>IFERROR('Résultats détaillés GES'!AT78/Tableau145[[#This Row],[2034]],NA())</f>
        <v>0.69019671275817263</v>
      </c>
      <c r="T25" s="328">
        <f>IFERROR('Résultats détaillés GES'!AU78/Tableau145[[#This Row],[2035]],NA())</f>
        <v>0.6875359617111152</v>
      </c>
      <c r="U25" s="328">
        <f>IFERROR('Résultats détaillés GES'!AV78/Tableau145[[#This Row],[2036]],NA())</f>
        <v>0.68482575128209078</v>
      </c>
      <c r="V25" s="328">
        <f>IFERROR('Résultats détaillés GES'!AW78/Tableau145[[#This Row],[2037]],NA())</f>
        <v>0.68213230634833388</v>
      </c>
      <c r="W25" s="328">
        <f>IFERROR('Résultats détaillés GES'!AX78/Tableau145[[#This Row],[2038]],NA())</f>
        <v>0.67945559813785872</v>
      </c>
      <c r="X25" s="328">
        <f>IFERROR('Résultats détaillés GES'!AY78/Tableau145[[#This Row],[2039]],NA())</f>
        <v>0.67679560277157169</v>
      </c>
      <c r="Y25" s="328">
        <f>IFERROR('Résultats détaillés GES'!AZ78/Tableau145[[#This Row],[2040]],NA())</f>
        <v>0.67415232936955638</v>
      </c>
      <c r="Z25" s="328">
        <f>IFERROR('Résultats détaillés GES'!BA78/Tableau145[[#This Row],[2041]],NA())</f>
        <v>0.67152577499675725</v>
      </c>
      <c r="AA25" s="328">
        <f>IFERROR('Résultats détaillés GES'!BB78/Tableau145[[#This Row],[2042]],NA())</f>
        <v>0.66891596877957271</v>
      </c>
      <c r="AB25" s="328">
        <f>IFERROR('Résultats détaillés GES'!BC78/Tableau145[[#This Row],[2043]],NA())</f>
        <v>0.66632291260907528</v>
      </c>
      <c r="AC25" s="328">
        <f>IFERROR('Résultats détaillés GES'!BD78/Tableau145[[#This Row],[2044]],NA())</f>
        <v>0.66374654795509636</v>
      </c>
      <c r="AD25" s="328">
        <f>IFERROR('Résultats détaillés GES'!BE78/Tableau145[[#This Row],[2045]],NA())</f>
        <v>0.66118694756386542</v>
      </c>
      <c r="AE25" s="328">
        <f>IFERROR('Résultats détaillés GES'!BF78/Tableau145[[#This Row],[2046]],NA())</f>
        <v>0.66040503278537999</v>
      </c>
      <c r="AF25" s="328">
        <f>IFERROR('Résultats détaillés GES'!BG78/Tableau145[[#This Row],[2047]],NA())</f>
        <v>0.65963495474670564</v>
      </c>
      <c r="AG25" s="328">
        <f>IFERROR('Résultats détaillés GES'!BH78/Tableau145[[#This Row],[2048]],NA())</f>
        <v>0.6588765699290402</v>
      </c>
      <c r="AH25" s="328">
        <f>IFERROR('Résultats détaillés GES'!BI78/Tableau145[[#This Row],[2049]],NA())</f>
        <v>0.65812977987290655</v>
      </c>
      <c r="AI25" s="328">
        <f>IFERROR('Résultats détaillés GES'!BJ78/Tableau145[[#This Row],[2050]],NA())</f>
        <v>0.65739444016669846</v>
      </c>
      <c r="AJ25" s="327" t="s">
        <v>390</v>
      </c>
    </row>
    <row r="26" spans="1:36" s="327" customFormat="1">
      <c r="A26" s="327" t="s">
        <v>12</v>
      </c>
      <c r="B26" s="327" t="s">
        <v>424</v>
      </c>
      <c r="C26" s="327" t="s">
        <v>669</v>
      </c>
      <c r="D26" s="328">
        <f>IFERROR('Résultats détaillés GES'!AE76/Tableau145[[#This Row],[2019]],NA())</f>
        <v>1.377438126837119</v>
      </c>
      <c r="E26" s="328">
        <f>IFERROR('Résultats détaillés GES'!AF76/Tableau145[[#This Row],[2020]],NA())</f>
        <v>1.4170590825435563</v>
      </c>
      <c r="F26" s="328">
        <f>IFERROR('Résultats détaillés GES'!AG76/Tableau145[[#This Row],[2021]],NA())</f>
        <v>1.2173983060652329</v>
      </c>
      <c r="G26" s="328">
        <f>IFERROR('Résultats détaillés GES'!AH76/Tableau145[[#This Row],[2022]],NA())</f>
        <v>1.2125890277016262</v>
      </c>
      <c r="H26" s="328">
        <f>IFERROR('Résultats détaillés GES'!AI76/Tableau145[[#This Row],[2023]],NA())</f>
        <v>1.2096571192981176</v>
      </c>
      <c r="I26" s="328">
        <f>IFERROR('Résultats détaillés GES'!AJ76/Tableau145[[#This Row],[2024]],NA())</f>
        <v>1.119926955710624</v>
      </c>
      <c r="J26" s="328">
        <f>IFERROR('Résultats détaillés GES'!AK76/Tableau145[[#This Row],[2025]],NA())</f>
        <v>1.0304990365936533</v>
      </c>
      <c r="K26" s="328">
        <f>IFERROR('Résultats détaillés GES'!AL76/Tableau145[[#This Row],[2026]],NA())</f>
        <v>0.97993662321347119</v>
      </c>
      <c r="L26" s="328">
        <f>IFERROR('Résultats détaillés GES'!AM76/Tableau145[[#This Row],[2027]],NA())</f>
        <v>0.93179224036937214</v>
      </c>
      <c r="M26" s="328">
        <f>IFERROR('Résultats détaillés GES'!AN76/Tableau145[[#This Row],[2028]],NA())</f>
        <v>0.88604401637964947</v>
      </c>
      <c r="N26" s="328">
        <f>IFERROR('Résultats détaillés GES'!AO76/Tableau145[[#This Row],[2029]],NA())</f>
        <v>0.84266814503240084</v>
      </c>
      <c r="O26" s="328">
        <f>IFERROR('Résultats détaillés GES'!AP76/Tableau145[[#This Row],[2030]],NA())</f>
        <v>0.7695633733302425</v>
      </c>
      <c r="P26" s="328">
        <f>IFERROR('Résultats détaillés GES'!AQ76/Tableau145[[#This Row],[2031]],NA())</f>
        <v>0.74576654829873101</v>
      </c>
      <c r="Q26" s="328">
        <f>IFERROR('Résultats détaillés GES'!AR76/Tableau145[[#This Row],[2032]],NA())</f>
        <v>0.72237880311071012</v>
      </c>
      <c r="R26" s="328">
        <f>IFERROR('Résultats détaillés GES'!AS76/Tableau145[[#This Row],[2033]],NA())</f>
        <v>0.69939958708383398</v>
      </c>
      <c r="S26" s="328">
        <f>IFERROR('Résultats détaillés GES'!AT76/Tableau145[[#This Row],[2034]],NA())</f>
        <v>0.67682837501808757</v>
      </c>
      <c r="T26" s="328">
        <f>IFERROR('Résultats détaillés GES'!AU76/Tableau145[[#This Row],[2035]],NA())</f>
        <v>0.65466469498583624</v>
      </c>
      <c r="U26" s="328">
        <f>IFERROR('Résultats détaillés GES'!AV76/Tableau145[[#This Row],[2036]],NA())</f>
        <v>0.62970985381401745</v>
      </c>
      <c r="V26" s="328">
        <f>IFERROR('Résultats détaillés GES'!AW76/Tableau145[[#This Row],[2037]],NA())</f>
        <v>0.6054151551441711</v>
      </c>
      <c r="W26" s="328">
        <f>IFERROR('Résultats détaillés GES'!AX76/Tableau145[[#This Row],[2038]],NA())</f>
        <v>0.58178031213525783</v>
      </c>
      <c r="X26" s="328">
        <f>IFERROR('Résultats détaillés GES'!AY76/Tableau145[[#This Row],[2039]],NA())</f>
        <v>0.55880524388657105</v>
      </c>
      <c r="Y26" s="328">
        <f>IFERROR('Résultats détaillés GES'!AZ76/Tableau145[[#This Row],[2040]],NA())</f>
        <v>0.43825868562643305</v>
      </c>
      <c r="Z26" s="328">
        <f>IFERROR('Résultats détaillés GES'!BA76/Tableau145[[#This Row],[2041]],NA())</f>
        <v>0.42215615747276419</v>
      </c>
      <c r="AA26" s="328">
        <f>IFERROR('Résultats détaillés GES'!BB76/Tableau145[[#This Row],[2042]],NA())</f>
        <v>0.40659320055752945</v>
      </c>
      <c r="AB26" s="328">
        <f>IFERROR('Résultats détaillés GES'!BC76/Tableau145[[#This Row],[2043]],NA())</f>
        <v>0.39157006983964809</v>
      </c>
      <c r="AC26" s="328">
        <f>IFERROR('Résultats détaillés GES'!BD76/Tableau145[[#This Row],[2044]],NA())</f>
        <v>0.37708705598970316</v>
      </c>
      <c r="AD26" s="328">
        <f>IFERROR('Résultats détaillés GES'!BE76/Tableau145[[#This Row],[2045]],NA())</f>
        <v>0.36314454798852958</v>
      </c>
      <c r="AE26" s="328">
        <f>IFERROR('Résultats détaillés GES'!BF76/Tableau145[[#This Row],[2046]],NA())</f>
        <v>0.34623702601443057</v>
      </c>
      <c r="AF26" s="328">
        <f>IFERROR('Résultats détaillés GES'!BG76/Tableau145[[#This Row],[2047]],NA())</f>
        <v>0.33033515032173028</v>
      </c>
      <c r="AG26" s="328">
        <f>IFERROR('Résultats détaillés GES'!BH76/Tableau145[[#This Row],[2048]],NA())</f>
        <v>0.31544041229220993</v>
      </c>
      <c r="AH26" s="328">
        <f>IFERROR('Résultats détaillés GES'!BI76/Tableau145[[#This Row],[2049]],NA())</f>
        <v>0.30155455881514026</v>
      </c>
      <c r="AI26" s="328">
        <f>IFERROR('Résultats détaillés GES'!BJ76/Tableau145[[#This Row],[2050]],NA())</f>
        <v>0.28867945399513212</v>
      </c>
      <c r="AJ26" s="327" t="s">
        <v>390</v>
      </c>
    </row>
    <row r="27" spans="1:36" s="327" customFormat="1">
      <c r="A27" s="327" t="s">
        <v>12</v>
      </c>
      <c r="B27" s="327" t="s">
        <v>425</v>
      </c>
      <c r="C27" s="327" t="s">
        <v>669</v>
      </c>
      <c r="D27" s="328">
        <f>IFERROR('Résultats détaillés GES'!AE80/Tableau145[[#This Row],[2019]],NA())</f>
        <v>0.33637281165568894</v>
      </c>
      <c r="E27" s="328">
        <f>IFERROR('Résultats détaillés GES'!AF80/Tableau145[[#This Row],[2020]],NA())</f>
        <v>0.33711378199228004</v>
      </c>
      <c r="F27" s="328">
        <f>IFERROR('Résultats détaillés GES'!AG80/Tableau145[[#This Row],[2021]],NA())</f>
        <v>0.33393620285623943</v>
      </c>
      <c r="G27" s="328">
        <f>IFERROR('Résultats détaillés GES'!AH80/Tableau145[[#This Row],[2022]],NA())</f>
        <v>0.31687234568922062</v>
      </c>
      <c r="H27" s="328">
        <f>IFERROR('Résultats détaillés GES'!AI80/Tableau145[[#This Row],[2023]],NA())</f>
        <v>0.31145786110547358</v>
      </c>
      <c r="I27" s="328">
        <f>IFERROR('Résultats détaillés GES'!AJ80/Tableau145[[#This Row],[2024]],NA())</f>
        <v>0.31053204663810796</v>
      </c>
      <c r="J27" s="328">
        <f>IFERROR('Résultats détaillés GES'!AK80/Tableau145[[#This Row],[2025]],NA())</f>
        <v>0.29009970779407562</v>
      </c>
      <c r="K27" s="328">
        <f>IFERROR('Résultats détaillés GES'!AL80/Tableau145[[#This Row],[2026]],NA())</f>
        <v>0.26667591324142448</v>
      </c>
      <c r="L27" s="328">
        <f>IFERROR('Résultats détaillés GES'!AM80/Tableau145[[#This Row],[2027]],NA())</f>
        <v>0.21765724528239019</v>
      </c>
      <c r="M27" s="328">
        <f>IFERROR('Résultats détaillés GES'!AN80/Tableau145[[#This Row],[2028]],NA())</f>
        <v>0.1710722370418741</v>
      </c>
      <c r="N27" s="328">
        <f>IFERROR('Résultats détaillés GES'!AO80/Tableau145[[#This Row],[2029]],NA())</f>
        <v>0.15171291122663727</v>
      </c>
      <c r="O27" s="328">
        <f>IFERROR('Résultats détaillés GES'!AP80/Tableau145[[#This Row],[2030]],NA())</f>
        <v>0.13326927274548409</v>
      </c>
      <c r="P27" s="328">
        <f>IFERROR('Résultats détaillés GES'!AQ80/Tableau145[[#This Row],[2031]],NA())</f>
        <v>0.12450538528371018</v>
      </c>
      <c r="Q27" s="328">
        <f>IFERROR('Résultats détaillés GES'!AR80/Tableau145[[#This Row],[2032]],NA())</f>
        <v>0.11574149782193627</v>
      </c>
      <c r="R27" s="328">
        <f>IFERROR('Résultats détaillés GES'!AS80/Tableau145[[#This Row],[2033]],NA())</f>
        <v>0.10697761036016237</v>
      </c>
      <c r="S27" s="328">
        <f>IFERROR('Résultats détaillés GES'!AT80/Tableau145[[#This Row],[2034]],NA())</f>
        <v>9.9276353588563307E-2</v>
      </c>
      <c r="T27" s="328">
        <f>IFERROR('Résultats détaillés GES'!AU80/Tableau145[[#This Row],[2035]],NA())</f>
        <v>9.1575096816964241E-2</v>
      </c>
      <c r="U27" s="328">
        <f>IFERROR('Résultats détaillés GES'!AV80/Tableau145[[#This Row],[2036]],NA())</f>
        <v>8.3480223160737707E-2</v>
      </c>
      <c r="V27" s="328">
        <f>IFERROR('Résultats détaillés GES'!AW80/Tableau145[[#This Row],[2037]],NA())</f>
        <v>7.5385349504511187E-2</v>
      </c>
      <c r="W27" s="328">
        <f>IFERROR('Résultats détaillés GES'!AX80/Tableau145[[#This Row],[2038]],NA())</f>
        <v>6.7290475848284653E-2</v>
      </c>
      <c r="X27" s="328">
        <f>IFERROR('Résultats détaillés GES'!AY80/Tableau145[[#This Row],[2039]],NA())</f>
        <v>6.1806820967598097E-2</v>
      </c>
      <c r="Y27" s="328">
        <f>IFERROR('Résultats détaillés GES'!AZ80/Tableau145[[#This Row],[2040]],NA())</f>
        <v>5.6323166086911527E-2</v>
      </c>
      <c r="Z27" s="328">
        <f>IFERROR('Résultats détaillés GES'!BA80/Tableau145[[#This Row],[2041]],NA())</f>
        <v>5.0482400796364693E-2</v>
      </c>
      <c r="AA27" s="328">
        <f>IFERROR('Résultats détaillés GES'!BB80/Tableau145[[#This Row],[2042]],NA())</f>
        <v>4.4641635505817845E-2</v>
      </c>
      <c r="AB27" s="328">
        <f>IFERROR('Résultats détaillés GES'!BC80/Tableau145[[#This Row],[2043]],NA())</f>
        <v>3.8800870215271004E-2</v>
      </c>
      <c r="AC27" s="328">
        <f>IFERROR('Résultats détaillés GES'!BD80/Tableau145[[#This Row],[2044]],NA())</f>
        <v>3.2960104924724169E-2</v>
      </c>
      <c r="AD27" s="328">
        <f>IFERROR('Résultats détaillés GES'!BE80/Tableau145[[#This Row],[2045]],NA())</f>
        <v>2.7119339634177328E-2</v>
      </c>
      <c r="AE27" s="328">
        <f>IFERROR('Résultats détaillés GES'!BF80/Tableau145[[#This Row],[2046]],NA())</f>
        <v>2.4042470807976599E-2</v>
      </c>
      <c r="AF27" s="328">
        <f>IFERROR('Résultats détaillés GES'!BG80/Tableau145[[#This Row],[2047]],NA())</f>
        <v>2.0965601981775873E-2</v>
      </c>
      <c r="AG27" s="328">
        <f>IFERROR('Résultats détaillés GES'!BH80/Tableau145[[#This Row],[2048]],NA())</f>
        <v>1.7888733155575143E-2</v>
      </c>
      <c r="AH27" s="328">
        <f>IFERROR('Résultats détaillés GES'!BI80/Tableau145[[#This Row],[2049]],NA())</f>
        <v>1.4811864329374418E-2</v>
      </c>
      <c r="AI27" s="328">
        <f>IFERROR('Résultats détaillés GES'!BJ80/Tableau145[[#This Row],[2050]],NA())</f>
        <v>1.173499550317369E-2</v>
      </c>
      <c r="AJ27" s="327" t="s">
        <v>390</v>
      </c>
    </row>
    <row r="28" spans="1:36" s="327" customFormat="1">
      <c r="A28" s="327" t="s">
        <v>12</v>
      </c>
      <c r="B28" s="327" t="s">
        <v>426</v>
      </c>
      <c r="C28" s="327" t="s">
        <v>669</v>
      </c>
      <c r="D28" s="328">
        <f>IFERROR('Résultats détaillés GES'!AE74/Tableau145[[#This Row],[2019]],NA())</f>
        <v>1.1553244434004186</v>
      </c>
      <c r="E28" s="328">
        <f>IFERROR('Résultats détaillés GES'!AF74/Tableau145[[#This Row],[2020]],NA())</f>
        <v>1.1056204655303792</v>
      </c>
      <c r="F28" s="328">
        <f>IFERROR('Résultats détaillés GES'!AG74/Tableau145[[#This Row],[2021]],NA())</f>
        <v>1.1896185766097505</v>
      </c>
      <c r="G28" s="328">
        <f>IFERROR('Résultats détaillés GES'!AH74/Tableau145[[#This Row],[2022]],NA())</f>
        <v>1.1560460332091334</v>
      </c>
      <c r="H28" s="328">
        <f>IFERROR('Résultats détaillés GES'!AI74/Tableau145[[#This Row],[2023]],NA())</f>
        <v>1.1676362156598166</v>
      </c>
      <c r="I28" s="328">
        <f>IFERROR('Résultats détaillés GES'!AJ74/Tableau145[[#This Row],[2024]],NA())</f>
        <v>1.016900593194527</v>
      </c>
      <c r="J28" s="328">
        <f>IFERROR('Résultats détaillés GES'!AK74/Tableau145[[#This Row],[2025]],NA())</f>
        <v>0.87958629076236317</v>
      </c>
      <c r="K28" s="328">
        <f>IFERROR('Résultats détaillés GES'!AL74/Tableau145[[#This Row],[2026]],NA())</f>
        <v>0.83545330117759065</v>
      </c>
      <c r="L28" s="328">
        <f>IFERROR('Résultats détaillés GES'!AM74/Tableau145[[#This Row],[2027]],NA())</f>
        <v>0.84546038582946803</v>
      </c>
      <c r="M28" s="328">
        <f>IFERROR('Résultats détaillés GES'!AN74/Tableau145[[#This Row],[2028]],NA())</f>
        <v>0.85441867765668422</v>
      </c>
      <c r="N28" s="328">
        <f>IFERROR('Résultats détaillés GES'!AO74/Tableau145[[#This Row],[2029]],NA())</f>
        <v>0.80292392379180888</v>
      </c>
      <c r="O28" s="328">
        <f>IFERROR('Résultats détaillés GES'!AP74/Tableau145[[#This Row],[2030]],NA())</f>
        <v>0.75631397611374818</v>
      </c>
      <c r="P28" s="328">
        <f>IFERROR('Résultats détaillés GES'!AQ74/Tableau145[[#This Row],[2031]],NA())</f>
        <v>0.72731620775616479</v>
      </c>
      <c r="Q28" s="328">
        <f>IFERROR('Résultats détaillés GES'!AR74/Tableau145[[#This Row],[2032]],NA())</f>
        <v>0.69837265382119895</v>
      </c>
      <c r="R28" s="328">
        <f>IFERROR('Résultats détaillés GES'!AS74/Tableau145[[#This Row],[2033]],NA())</f>
        <v>0.66948317431970261</v>
      </c>
      <c r="S28" s="328">
        <f>IFERROR('Résultats détaillés GES'!AT74/Tableau145[[#This Row],[2034]],NA())</f>
        <v>0.63996560794780821</v>
      </c>
      <c r="T28" s="328">
        <f>IFERROR('Résultats détaillés GES'!AU74/Tableau145[[#This Row],[2035]],NA())</f>
        <v>0.61050306541186927</v>
      </c>
      <c r="U28" s="328">
        <f>IFERROR('Résultats détaillés GES'!AV74/Tableau145[[#This Row],[2036]],NA())</f>
        <v>0.5812389999988673</v>
      </c>
      <c r="V28" s="328">
        <f>IFERROR('Résultats détaillés GES'!AW74/Tableau145[[#This Row],[2037]],NA())</f>
        <v>0.55202757941615244</v>
      </c>
      <c r="W28" s="328">
        <f>IFERROR('Résultats détaillés GES'!AX74/Tableau145[[#This Row],[2038]],NA())</f>
        <v>0.52286861658696226</v>
      </c>
      <c r="X28" s="328">
        <f>IFERROR('Résultats détaillés GES'!AY74/Tableau145[[#This Row],[2039]],NA())</f>
        <v>0.49739752711299989</v>
      </c>
      <c r="Y28" s="328">
        <f>IFERROR('Résultats détaillés GES'!AZ74/Tableau145[[#This Row],[2040]],NA())</f>
        <v>0.47197211319922805</v>
      </c>
      <c r="Z28" s="328">
        <f>IFERROR('Résultats détaillés GES'!BA74/Tableau145[[#This Row],[2041]],NA())</f>
        <v>0.4115466371667747</v>
      </c>
      <c r="AA28" s="328">
        <f>IFERROR('Résultats détaillés GES'!BB74/Tableau145[[#This Row],[2042]],NA())</f>
        <v>0.35122552220924635</v>
      </c>
      <c r="AB28" s="328">
        <f>IFERROR('Résultats détaillés GES'!BC74/Tableau145[[#This Row],[2043]],NA())</f>
        <v>0.29100846752424248</v>
      </c>
      <c r="AC28" s="328">
        <f>IFERROR('Résultats détaillés GES'!BD74/Tableau145[[#This Row],[2044]],NA())</f>
        <v>0.23089523285215036</v>
      </c>
      <c r="AD28" s="328">
        <f>IFERROR('Résultats détaillés GES'!BE74/Tableau145[[#This Row],[2045]],NA())</f>
        <v>0.17088554302313727</v>
      </c>
      <c r="AE28" s="328">
        <f>IFERROR('Résultats détaillés GES'!BF74/Tableau145[[#This Row],[2046]],NA())</f>
        <v>0.14982900604674726</v>
      </c>
      <c r="AF28" s="328">
        <f>IFERROR('Résultats détaillés GES'!BG74/Tableau145[[#This Row],[2047]],NA())</f>
        <v>0.12880735524439943</v>
      </c>
      <c r="AG28" s="328">
        <f>IFERROR('Résultats détaillés GES'!BH74/Tableau145[[#This Row],[2048]],NA())</f>
        <v>0.1078205107101451</v>
      </c>
      <c r="AH28" s="328">
        <f>IFERROR('Résultats détaillés GES'!BI74/Tableau145[[#This Row],[2049]],NA())</f>
        <v>8.6868374057219019E-2</v>
      </c>
      <c r="AI28" s="328">
        <f>IFERROR('Résultats détaillés GES'!BJ74/Tableau145[[#This Row],[2050]],NA())</f>
        <v>6.5950863255164138E-2</v>
      </c>
      <c r="AJ28" s="327" t="s">
        <v>390</v>
      </c>
    </row>
    <row r="29" spans="1:36" s="327" customFormat="1">
      <c r="A29" s="327" t="s">
        <v>12</v>
      </c>
      <c r="B29" s="327" t="s">
        <v>427</v>
      </c>
      <c r="C29" s="327" t="s">
        <v>669</v>
      </c>
      <c r="D29" s="328"/>
      <c r="E29" s="328"/>
      <c r="F29" s="328"/>
      <c r="G29" s="328"/>
      <c r="H29" s="328"/>
      <c r="I29" s="328"/>
      <c r="J29" s="328"/>
      <c r="K29" s="328"/>
      <c r="L29" s="328"/>
      <c r="M29" s="328"/>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7" t="s">
        <v>390</v>
      </c>
    </row>
    <row r="30" spans="1:36" s="327" customFormat="1">
      <c r="A30" s="327" t="s">
        <v>12</v>
      </c>
      <c r="B30" s="327" t="s">
        <v>428</v>
      </c>
      <c r="C30" s="327" t="s">
        <v>669</v>
      </c>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7" t="s">
        <v>390</v>
      </c>
    </row>
    <row r="31" spans="1:36" s="327" customFormat="1">
      <c r="A31" s="327" t="s">
        <v>12</v>
      </c>
      <c r="B31" s="327" t="s">
        <v>429</v>
      </c>
      <c r="C31" s="327" t="s">
        <v>669</v>
      </c>
      <c r="D31" s="328">
        <f>IFERROR('Résultats détaillés GES'!AE73/Tableau145[[#This Row],[2019]],NA())</f>
        <v>0.36728758340775303</v>
      </c>
      <c r="E31" s="328">
        <f>IFERROR('Résultats détaillés GES'!AF73/Tableau145[[#This Row],[2020]],NA())</f>
        <v>0.50036957717253272</v>
      </c>
      <c r="F31" s="328">
        <f>IFERROR('Résultats détaillés GES'!AG73/Tableau145[[#This Row],[2021]],NA())</f>
        <v>0.40120067214124605</v>
      </c>
      <c r="G31" s="328">
        <f>IFERROR('Résultats détaillés GES'!AH73/Tableau145[[#This Row],[2022]],NA())</f>
        <v>0.40165239452829971</v>
      </c>
      <c r="H31" s="328">
        <f>IFERROR('Résultats détaillés GES'!AI73/Tableau145[[#This Row],[2023]],NA())</f>
        <v>0.39464743517469225</v>
      </c>
      <c r="I31" s="328">
        <f>IFERROR('Résultats détaillés GES'!AJ73/Tableau145[[#This Row],[2024]],NA())</f>
        <v>0.37811307570827146</v>
      </c>
      <c r="J31" s="328">
        <f>IFERROR('Résultats détaillés GES'!AK73/Tableau145[[#This Row],[2025]],NA())</f>
        <v>0.36213090685451937</v>
      </c>
      <c r="K31" s="328">
        <f>IFERROR('Résultats détaillés GES'!AL73/Tableau145[[#This Row],[2026]],NA())</f>
        <v>0.34759185838831608</v>
      </c>
      <c r="L31" s="328">
        <f>IFERROR('Résultats détaillés GES'!AM73/Tableau145[[#This Row],[2027]],NA())</f>
        <v>0.33355035669717664</v>
      </c>
      <c r="M31" s="328">
        <f>IFERROR('Résultats détaillés GES'!AN73/Tableau145[[#This Row],[2028]],NA())</f>
        <v>0.31999703207457791</v>
      </c>
      <c r="N31" s="328">
        <f>IFERROR('Résultats détaillés GES'!AO73/Tableau145[[#This Row],[2029]],NA())</f>
        <v>0.30692273994715397</v>
      </c>
      <c r="O31" s="328">
        <f>IFERROR('Résultats détaillés GES'!AP73/Tableau145[[#This Row],[2030]],NA())</f>
        <v>0.29431811660277768</v>
      </c>
      <c r="P31" s="328">
        <f>IFERROR('Résultats détaillés GES'!AQ73/Tableau145[[#This Row],[2031]],NA())</f>
        <v>0.27598152197177034</v>
      </c>
      <c r="Q31" s="328">
        <f>IFERROR('Résultats détaillés GES'!AR73/Tableau145[[#This Row],[2032]],NA())</f>
        <v>0.25834923312111641</v>
      </c>
      <c r="R31" s="328">
        <f>IFERROR('Résultats détaillés GES'!AS73/Tableau145[[#This Row],[2033]],NA())</f>
        <v>0.24140859550887231</v>
      </c>
      <c r="S31" s="328">
        <f>IFERROR('Résultats détaillés GES'!AT73/Tableau145[[#This Row],[2034]],NA())</f>
        <v>0.22514688635102015</v>
      </c>
      <c r="T31" s="328">
        <f>IFERROR('Résultats détaillés GES'!AU73/Tableau145[[#This Row],[2035]],NA())</f>
        <v>0.20955149513415822</v>
      </c>
      <c r="U31" s="328">
        <f>IFERROR('Résultats détaillés GES'!AV73/Tableau145[[#This Row],[2036]],NA())</f>
        <v>0.19049411053353785</v>
      </c>
      <c r="V31" s="328">
        <f>IFERROR('Résultats détaillés GES'!AW73/Tableau145[[#This Row],[2037]],NA())</f>
        <v>0.17258378789034479</v>
      </c>
      <c r="W31" s="328">
        <f>IFERROR('Résultats détaillés GES'!AX73/Tableau145[[#This Row],[2038]],NA())</f>
        <v>0.15579245135534475</v>
      </c>
      <c r="X31" s="328">
        <f>IFERROR('Résultats détaillés GES'!AY73/Tableau145[[#This Row],[2039]],NA())</f>
        <v>0.14009195104724637</v>
      </c>
      <c r="Y31" s="328">
        <f>IFERROR('Résultats détaillés GES'!AZ73/Tableau145[[#This Row],[2040]],NA())</f>
        <v>0.12545416285777505</v>
      </c>
      <c r="Z31" s="328">
        <f>IFERROR('Résultats détaillés GES'!BA73/Tableau145[[#This Row],[2041]],NA())</f>
        <v>0.11185091055062236</v>
      </c>
      <c r="AA31" s="328">
        <f>IFERROR('Résultats détaillés GES'!BB73/Tableau145[[#This Row],[2042]],NA())</f>
        <v>9.9254114169918833E-2</v>
      </c>
      <c r="AB31" s="328">
        <f>IFERROR('Résultats détaillés GES'!BC73/Tableau145[[#This Row],[2043]],NA())</f>
        <v>8.7635630315485116E-2</v>
      </c>
      <c r="AC31" s="328">
        <f>IFERROR('Résultats détaillés GES'!BD73/Tableau145[[#This Row],[2044]],NA())</f>
        <v>7.6967302169293705E-2</v>
      </c>
      <c r="AD31" s="328">
        <f>IFERROR('Résultats détaillés GES'!BE73/Tableau145[[#This Row],[2045]],NA())</f>
        <v>6.7221045204919838E-2</v>
      </c>
      <c r="AE31" s="328">
        <f>IFERROR('Résultats détaillés GES'!BF73/Tableau145[[#This Row],[2046]],NA())</f>
        <v>5.4791094984843684E-2</v>
      </c>
      <c r="AF31" s="328">
        <f>IFERROR('Résultats détaillés GES'!BG73/Tableau145[[#This Row],[2047]],NA())</f>
        <v>4.3909254021808328E-2</v>
      </c>
      <c r="AG31" s="328">
        <f>IFERROR('Résultats détaillés GES'!BH73/Tableau145[[#This Row],[2048]],NA())</f>
        <v>3.4521889795396686E-2</v>
      </c>
      <c r="AH31" s="328">
        <f>IFERROR('Résultats détaillés GES'!BI73/Tableau145[[#This Row],[2049]],NA())</f>
        <v>2.6575261688738E-2</v>
      </c>
      <c r="AI31" s="328">
        <f>IFERROR('Résultats détaillés GES'!BJ73/Tableau145[[#This Row],[2050]],NA())</f>
        <v>2.001569625231191E-2</v>
      </c>
      <c r="AJ31" s="327" t="s">
        <v>390</v>
      </c>
    </row>
    <row r="32" spans="1:36" s="327" customFormat="1">
      <c r="A32" s="327" t="s">
        <v>12</v>
      </c>
      <c r="B32" s="327" t="s">
        <v>430</v>
      </c>
      <c r="C32" s="327" t="s">
        <v>669</v>
      </c>
      <c r="D32" s="328">
        <f>IFERROR('Résultats détaillés GES'!AE79/Tableau145[[#This Row],[2019]],NA())</f>
        <v>0.52858562863212566</v>
      </c>
      <c r="E32" s="328">
        <f>IFERROR('Résultats détaillés GES'!AF79/Tableau145[[#This Row],[2020]],NA())</f>
        <v>0.5213248759569673</v>
      </c>
      <c r="F32" s="328">
        <f>IFERROR('Résultats détaillés GES'!AG79/Tableau145[[#This Row],[2021]],NA())</f>
        <v>0.45493929585118625</v>
      </c>
      <c r="G32" s="328">
        <f>IFERROR('Résultats détaillés GES'!AH79/Tableau145[[#This Row],[2022]],NA())</f>
        <v>0.44711796159998224</v>
      </c>
      <c r="H32" s="328">
        <f>IFERROR('Résultats détaillés GES'!AI79/Tableau145[[#This Row],[2023]],NA())</f>
        <v>0.44088569339208133</v>
      </c>
      <c r="I32" s="328">
        <f>IFERROR('Résultats détaillés GES'!AJ79/Tableau145[[#This Row],[2024]],NA())</f>
        <v>0.41375695210229224</v>
      </c>
      <c r="J32" s="328">
        <f>IFERROR('Résultats détaillés GES'!AK79/Tableau145[[#This Row],[2025]],NA())</f>
        <v>0.3874706907003645</v>
      </c>
      <c r="K32" s="328">
        <f>IFERROR('Résultats détaillés GES'!AL79/Tableau145[[#This Row],[2026]],NA())</f>
        <v>0.36270670473891986</v>
      </c>
      <c r="L32" s="328">
        <f>IFERROR('Résultats détaillés GES'!AM79/Tableau145[[#This Row],[2027]],NA())</f>
        <v>0.33868241907374508</v>
      </c>
      <c r="M32" s="328">
        <f>IFERROR('Résultats détaillés GES'!AN79/Tableau145[[#This Row],[2028]],NA())</f>
        <v>0.31538658594055041</v>
      </c>
      <c r="N32" s="328">
        <f>IFERROR('Résultats détaillés GES'!AO79/Tableau145[[#This Row],[2029]],NA())</f>
        <v>0.29280782380626463</v>
      </c>
      <c r="O32" s="328">
        <f>IFERROR('Résultats détaillés GES'!AP79/Tableau145[[#This Row],[2030]],NA())</f>
        <v>0.27093489264483289</v>
      </c>
      <c r="P32" s="328">
        <f>IFERROR('Résultats détaillés GES'!AQ79/Tableau145[[#This Row],[2031]],NA())</f>
        <v>0.25696140580131221</v>
      </c>
      <c r="Q32" s="328">
        <f>IFERROR('Résultats détaillés GES'!AR79/Tableau145[[#This Row],[2032]],NA())</f>
        <v>0.24343732978420876</v>
      </c>
      <c r="R32" s="328">
        <f>IFERROR('Résultats détaillés GES'!AS79/Tableau145[[#This Row],[2033]],NA())</f>
        <v>0.23035684565261394</v>
      </c>
      <c r="S32" s="328">
        <f>IFERROR('Résultats détaillés GES'!AT79/Tableau145[[#This Row],[2034]],NA())</f>
        <v>0.21771412205849561</v>
      </c>
      <c r="T32" s="328">
        <f>IFERROR('Résultats détaillés GES'!AU79/Tableau145[[#This Row],[2035]],NA())</f>
        <v>0.20550334006094542</v>
      </c>
      <c r="U32" s="328">
        <f>IFERROR('Résultats détaillés GES'!AV79/Tableau145[[#This Row],[2036]],NA())</f>
        <v>0.18969013735606119</v>
      </c>
      <c r="V32" s="328">
        <f>IFERROR('Résultats détaillés GES'!AW79/Tableau145[[#This Row],[2037]],NA())</f>
        <v>0.1747053706925524</v>
      </c>
      <c r="W32" s="328">
        <f>IFERROR('Résultats détaillés GES'!AX79/Tableau145[[#This Row],[2038]],NA())</f>
        <v>0.16053612425488431</v>
      </c>
      <c r="X32" s="328">
        <f>IFERROR('Résultats détaillés GES'!AY79/Tableau145[[#This Row],[2039]],NA())</f>
        <v>0.14716942019190474</v>
      </c>
      <c r="Y32" s="328">
        <f>IFERROR('Résultats détaillés GES'!AZ79/Tableau145[[#This Row],[2040]],NA())</f>
        <v>0.13459232407739372</v>
      </c>
      <c r="Z32" s="328">
        <f>IFERROR('Résultats détaillés GES'!BA79/Tableau145[[#This Row],[2041]],NA())</f>
        <v>0.12279188287444608</v>
      </c>
      <c r="AA32" s="328">
        <f>IFERROR('Résultats détaillés GES'!BB79/Tableau145[[#This Row],[2042]],NA())</f>
        <v>0.1117551497497184</v>
      </c>
      <c r="AB32" s="328">
        <f>IFERROR('Résultats détaillés GES'!BC79/Tableau145[[#This Row],[2043]],NA())</f>
        <v>0.10146917166630544</v>
      </c>
      <c r="AC32" s="328">
        <f>IFERROR('Résultats détaillés GES'!BD79/Tableau145[[#This Row],[2044]],NA())</f>
        <v>9.1921004892644667E-2</v>
      </c>
      <c r="AD32" s="328">
        <f>IFERROR('Résultats détaillés GES'!BE79/Tableau145[[#This Row],[2045]],NA())</f>
        <v>8.309769949361176E-2</v>
      </c>
      <c r="AE32" s="328">
        <f>IFERROR('Résultats détaillés GES'!BF79/Tableau145[[#This Row],[2046]],NA())</f>
        <v>7.1178084767930874E-2</v>
      </c>
      <c r="AF32" s="328">
        <f>IFERROR('Résultats détaillés GES'!BG79/Tableau145[[#This Row],[2047]],NA())</f>
        <v>6.061323021933842E-2</v>
      </c>
      <c r="AG32" s="328">
        <f>IFERROR('Résultats détaillés GES'!BH79/Tableau145[[#This Row],[2048]],NA())</f>
        <v>5.1377239079366629E-2</v>
      </c>
      <c r="AH32" s="328">
        <f>IFERROR('Résultats détaillés GES'!BI79/Tableau145[[#This Row],[2049]],NA())</f>
        <v>4.3444212640934697E-2</v>
      </c>
      <c r="AI32" s="328">
        <f>IFERROR('Résultats détaillés GES'!BJ79/Tableau145[[#This Row],[2050]],NA())</f>
        <v>3.6788253747852259E-2</v>
      </c>
      <c r="AJ32" s="327" t="s">
        <v>390</v>
      </c>
    </row>
    <row r="33" spans="1:36" s="327" customFormat="1">
      <c r="A33" s="327" t="s">
        <v>12</v>
      </c>
      <c r="B33" s="327" t="s">
        <v>431</v>
      </c>
      <c r="C33" s="327" t="s">
        <v>669</v>
      </c>
      <c r="D33" s="328">
        <f>IFERROR('Résultats détaillés GES'!AE68/Tableau145[[#This Row],[2019]],NA())</f>
        <v>1.9998653346563446</v>
      </c>
      <c r="E33" s="328">
        <f>IFERROR('Résultats détaillés GES'!AF68/Tableau145[[#This Row],[2020]],NA())</f>
        <v>1.9699096048222993</v>
      </c>
      <c r="F33" s="328">
        <f>IFERROR('Résultats détaillés GES'!AG68/Tableau145[[#This Row],[2021]],NA())</f>
        <v>2.0419258694162754</v>
      </c>
      <c r="G33" s="328">
        <f>IFERROR('Résultats détaillés GES'!AH68/Tableau145[[#This Row],[2022]],NA())</f>
        <v>2.6421872062146865</v>
      </c>
      <c r="H33" s="328">
        <f>IFERROR('Résultats détaillés GES'!AI68/Tableau145[[#This Row],[2023]],NA())</f>
        <v>2.302173222220381</v>
      </c>
      <c r="I33" s="328">
        <f>IFERROR('Résultats détaillés GES'!AJ68/Tableau145[[#This Row],[2024]],NA())</f>
        <v>2.2303914841308483</v>
      </c>
      <c r="J33" s="328">
        <f>IFERROR('Résultats détaillés GES'!AK68/Tableau145[[#This Row],[2025]],NA())</f>
        <v>2.1574248702926764</v>
      </c>
      <c r="K33" s="328">
        <f>IFERROR('Résultats détaillés GES'!AL68/Tableau145[[#This Row],[2026]],NA())</f>
        <v>2.0799223129146402</v>
      </c>
      <c r="L33" s="328">
        <f>IFERROR('Résultats détaillés GES'!AM68/Tableau145[[#This Row],[2027]],NA())</f>
        <v>1.999924251568616</v>
      </c>
      <c r="M33" s="328">
        <f>IFERROR('Résultats détaillés GES'!AN68/Tableau145[[#This Row],[2028]],NA())</f>
        <v>1.9161580355853947</v>
      </c>
      <c r="N33" s="328">
        <f>IFERROR('Résultats détaillés GES'!AO68/Tableau145[[#This Row],[2029]],NA())</f>
        <v>1.8267601279047916</v>
      </c>
      <c r="O33" s="328">
        <f>IFERROR('Résultats détaillés GES'!AP68/Tableau145[[#This Row],[2030]],NA())</f>
        <v>1.7288795194218678</v>
      </c>
      <c r="P33" s="328">
        <f>IFERROR('Résultats détaillés GES'!AQ68/Tableau145[[#This Row],[2031]],NA())</f>
        <v>1.6378383960608711</v>
      </c>
      <c r="Q33" s="328">
        <f>IFERROR('Résultats détaillés GES'!AR68/Tableau145[[#This Row],[2032]],NA())</f>
        <v>1.5485937338009395</v>
      </c>
      <c r="R33" s="328">
        <f>IFERROR('Résultats détaillés GES'!AS68/Tableau145[[#This Row],[2033]],NA())</f>
        <v>1.4611315831047429</v>
      </c>
      <c r="S33" s="328">
        <f>IFERROR('Résultats détaillés GES'!AT68/Tableau145[[#This Row],[2034]],NA())</f>
        <v>1.3754378860460021</v>
      </c>
      <c r="T33" s="328">
        <f>IFERROR('Résultats détaillés GES'!AU68/Tableau145[[#This Row],[2035]],NA())</f>
        <v>1.2914989414391449</v>
      </c>
      <c r="U33" s="328">
        <f>IFERROR('Résultats détaillés GES'!AV68/Tableau145[[#This Row],[2036]],NA())</f>
        <v>1.2054073138805295</v>
      </c>
      <c r="V33" s="328">
        <f>IFERROR('Résultats détaillés GES'!AW68/Tableau145[[#This Row],[2037]],NA())</f>
        <v>1.1213974270657729</v>
      </c>
      <c r="W33" s="328">
        <f>IFERROR('Résultats détaillés GES'!AX68/Tableau145[[#This Row],[2038]],NA())</f>
        <v>1.0394510617995019</v>
      </c>
      <c r="X33" s="328">
        <f>IFERROR('Résultats détaillés GES'!AY68/Tableau145[[#This Row],[2039]],NA())</f>
        <v>0.95955036164060259</v>
      </c>
      <c r="Y33" s="328">
        <f>IFERROR('Résultats détaillés GES'!AZ68/Tableau145[[#This Row],[2040]],NA())</f>
        <v>0.88167718024976305</v>
      </c>
      <c r="Z33" s="328">
        <f>IFERROR('Résultats détaillés GES'!BA68/Tableau145[[#This Row],[2041]],NA())</f>
        <v>0.80581349038413863</v>
      </c>
      <c r="AA33" s="328">
        <f>IFERROR('Résultats détaillés GES'!BB68/Tableau145[[#This Row],[2042]],NA())</f>
        <v>0.73194128590726082</v>
      </c>
      <c r="AB33" s="328">
        <f>IFERROR('Résultats détaillés GES'!BC68/Tableau145[[#This Row],[2043]],NA())</f>
        <v>0.66004249101328771</v>
      </c>
      <c r="AC33" s="328">
        <f>IFERROR('Résultats détaillés GES'!BD68/Tableau145[[#This Row],[2044]],NA())</f>
        <v>0.5900991177685142</v>
      </c>
      <c r="AD33" s="328">
        <f>IFERROR('Résultats détaillés GES'!BE68/Tableau145[[#This Row],[2045]],NA())</f>
        <v>0.52209310841262468</v>
      </c>
      <c r="AE33" s="328">
        <f>IFERROR('Résultats détaillés GES'!BF68/Tableau145[[#This Row],[2046]],NA())</f>
        <v>0.45203726867903238</v>
      </c>
      <c r="AF33" s="328">
        <f>IFERROR('Résultats détaillés GES'!BG68/Tableau145[[#This Row],[2047]],NA())</f>
        <v>0.38447689695550347</v>
      </c>
      <c r="AG33" s="328">
        <f>IFERROR('Résultats détaillés GES'!BH68/Tableau145[[#This Row],[2048]],NA())</f>
        <v>0.31938632057763749</v>
      </c>
      <c r="AH33" s="328">
        <f>IFERROR('Résultats détaillés GES'!BI68/Tableau145[[#This Row],[2049]],NA())</f>
        <v>0.25673994646525961</v>
      </c>
      <c r="AI33" s="328">
        <f>IFERROR('Résultats détaillés GES'!BJ68/Tableau145[[#This Row],[2050]],NA())</f>
        <v>0.19651211257564874</v>
      </c>
      <c r="AJ33" s="327" t="s">
        <v>390</v>
      </c>
    </row>
    <row r="34" spans="1:36" s="327" customFormat="1">
      <c r="A34" s="327" t="s">
        <v>12</v>
      </c>
      <c r="B34" s="327" t="s">
        <v>432</v>
      </c>
      <c r="C34" s="327" t="s">
        <v>670</v>
      </c>
      <c r="D34" s="328">
        <f>IFERROR('Résultats détaillés GES'!AE67/Tableau145[[#This Row],[2019]],NA())</f>
        <v>0.40178490407743273</v>
      </c>
      <c r="E34" s="328">
        <f>IFERROR('Résultats détaillés GES'!AF67/Tableau145[[#This Row],[2020]],NA())</f>
        <v>0.38896668808554008</v>
      </c>
      <c r="F34" s="328">
        <f>IFERROR('Résultats détaillés GES'!AG67/Tableau145[[#This Row],[2021]],NA())</f>
        <v>0.3951376025351131</v>
      </c>
      <c r="G34" s="328">
        <f>IFERROR('Résultats détaillés GES'!AH67/Tableau145[[#This Row],[2022]],NA())</f>
        <v>0.34932146772791922</v>
      </c>
      <c r="H34" s="328">
        <f>IFERROR('Résultats détaillés GES'!AI67/Tableau145[[#This Row],[2023]],NA())</f>
        <v>0.33090399858992148</v>
      </c>
      <c r="I34" s="328">
        <f>IFERROR('Résultats détaillés GES'!AJ67/Tableau145[[#This Row],[2024]],NA())</f>
        <v>0.31317333260785268</v>
      </c>
      <c r="J34" s="328">
        <f>IFERROR('Résultats détaillés GES'!AK67/Tableau145[[#This Row],[2025]],NA())</f>
        <v>0.28130723057600576</v>
      </c>
      <c r="K34" s="328">
        <f>IFERROR('Résultats détaillés GES'!AL67/Tableau145[[#This Row],[2026]],NA())</f>
        <v>0.27066791745700342</v>
      </c>
      <c r="L34" s="328">
        <f>IFERROR('Résultats détaillés GES'!AM67/Tableau145[[#This Row],[2027]],NA())</f>
        <v>0.26716695323100342</v>
      </c>
      <c r="M34" s="328">
        <f>IFERROR('Résultats détaillés GES'!AN67/Tableau145[[#This Row],[2028]],NA())</f>
        <v>0.26376708878610566</v>
      </c>
      <c r="N34" s="328">
        <f>IFERROR('Résultats détaillés GES'!AO67/Tableau145[[#This Row],[2029]],NA())</f>
        <v>0.25690632385699541</v>
      </c>
      <c r="O34" s="328">
        <f>IFERROR('Résultats détaillés GES'!AP67/Tableau145[[#This Row],[2030]],NA())</f>
        <v>0.25021017537410639</v>
      </c>
      <c r="P34" s="328">
        <f>IFERROR('Résultats détaillés GES'!AQ67/Tableau145[[#This Row],[2031]],NA())</f>
        <v>0.24284792103475916</v>
      </c>
      <c r="Q34" s="328">
        <f>IFERROR('Résultats détaillés GES'!AR67/Tableau145[[#This Row],[2032]],NA())</f>
        <v>0.23553950012518624</v>
      </c>
      <c r="R34" s="328">
        <f>IFERROR('Résultats détaillés GES'!AS67/Tableau145[[#This Row],[2033]],NA())</f>
        <v>0.2282807263389201</v>
      </c>
      <c r="S34" s="328">
        <f>IFERROR('Résultats détaillés GES'!AT67/Tableau145[[#This Row],[2034]],NA())</f>
        <v>0.22169132819331783</v>
      </c>
      <c r="T34" s="328">
        <f>IFERROR('Résultats détaillés GES'!AU67/Tableau145[[#This Row],[2035]],NA())</f>
        <v>0.21514315193687952</v>
      </c>
      <c r="U34" s="328">
        <f>IFERROR('Résultats détaillés GES'!AV67/Tableau145[[#This Row],[2036]],NA())</f>
        <v>0.20541968079050044</v>
      </c>
      <c r="V34" s="328">
        <f>IFERROR('Résultats détaillés GES'!AW67/Tableau145[[#This Row],[2037]],NA())</f>
        <v>0.19593709651677688</v>
      </c>
      <c r="W34" s="328">
        <f>IFERROR('Résultats détaillés GES'!AX67/Tableau145[[#This Row],[2038]],NA())</f>
        <v>0.18668320098397545</v>
      </c>
      <c r="X34" s="328">
        <f>IFERROR('Résultats détaillés GES'!AY67/Tableau145[[#This Row],[2039]],NA())</f>
        <v>0.1790989283863752</v>
      </c>
      <c r="Y34" s="328">
        <f>IFERROR('Résultats détaillés GES'!AZ67/Tableau145[[#This Row],[2040]],NA())</f>
        <v>0.17169271338562242</v>
      </c>
      <c r="Z34" s="328">
        <f>IFERROR('Résultats détaillés GES'!BA67/Tableau145[[#This Row],[2041]],NA())</f>
        <v>0.16075694447540653</v>
      </c>
      <c r="AA34" s="328">
        <f>IFERROR('Résultats détaillés GES'!BB67/Tableau145[[#This Row],[2042]],NA())</f>
        <v>0.15011991775597355</v>
      </c>
      <c r="AB34" s="328">
        <f>IFERROR('Résultats détaillés GES'!BC67/Tableau145[[#This Row],[2043]],NA())</f>
        <v>0.13976542928395966</v>
      </c>
      <c r="AC34" s="328">
        <f>IFERROR('Résultats détaillés GES'!BD67/Tableau145[[#This Row],[2044]],NA())</f>
        <v>0.12967831552378692</v>
      </c>
      <c r="AD34" s="328">
        <f>IFERROR('Résultats détaillés GES'!BE67/Tableau145[[#This Row],[2045]],NA())</f>
        <v>0.11984435398614258</v>
      </c>
      <c r="AE34" s="328">
        <f>IFERROR('Résultats détaillés GES'!BF67/Tableau145[[#This Row],[2046]],NA())</f>
        <v>0.11199325441279649</v>
      </c>
      <c r="AF34" s="328">
        <f>IFERROR('Résultats détaillés GES'!BG67/Tableau145[[#This Row],[2047]],NA())</f>
        <v>0.1043421119430426</v>
      </c>
      <c r="AG34" s="328">
        <f>IFERROR('Résultats détaillés GES'!BH67/Tableau145[[#This Row],[2048]],NA())</f>
        <v>9.6879931446010689E-2</v>
      </c>
      <c r="AH34" s="328">
        <f>IFERROR('Résultats détaillés GES'!BI67/Tableau145[[#This Row],[2049]],NA())</f>
        <v>8.9596388034406907E-2</v>
      </c>
      <c r="AI34" s="328">
        <f>IFERROR('Résultats détaillés GES'!BJ67/Tableau145[[#This Row],[2050]],NA())</f>
        <v>8.2481832481174813E-2</v>
      </c>
    </row>
    <row r="35" spans="1:36" s="327" customFormat="1">
      <c r="A35" s="327" t="s">
        <v>12</v>
      </c>
      <c r="B35" s="327" t="s">
        <v>433</v>
      </c>
      <c r="C35" s="327" t="s">
        <v>670</v>
      </c>
      <c r="D35" s="328">
        <f>IFERROR('Résultats détaillés GES'!AE71/Tableau145[[#This Row],[2019]],NA())</f>
        <v>4.9781770861748745E-2</v>
      </c>
      <c r="E35" s="328">
        <f>IFERROR('Résultats détaillés GES'!AF71/Tableau145[[#This Row],[2020]],NA())</f>
        <v>7.1761989169702903E-2</v>
      </c>
      <c r="F35" s="328">
        <f>IFERROR('Résultats détaillés GES'!AG71/Tableau145[[#This Row],[2021]],NA())</f>
        <v>7.3168024369716908E-2</v>
      </c>
      <c r="G35" s="328">
        <f>IFERROR('Résultats détaillés GES'!AH71/Tableau145[[#This Row],[2022]],NA())</f>
        <v>5.8065659438675601E-2</v>
      </c>
      <c r="H35" s="328">
        <f>IFERROR('Résultats détaillés GES'!AI71/Tableau145[[#This Row],[2023]],NA())</f>
        <v>5.2535976313946325E-2</v>
      </c>
      <c r="I35" s="328">
        <f>IFERROR('Résultats détaillés GES'!AJ71/Tableau145[[#This Row],[2024]],NA())</f>
        <v>5.3138367062896673E-2</v>
      </c>
      <c r="J35" s="328">
        <f>IFERROR('Résultats détaillés GES'!AK71/Tableau145[[#This Row],[2025]],NA())</f>
        <v>5.140367616800734E-2</v>
      </c>
      <c r="K35" s="328">
        <f>IFERROR('Résultats détaillés GES'!AL71/Tableau145[[#This Row],[2026]],NA())</f>
        <v>4.833611606152774E-2</v>
      </c>
      <c r="L35" s="328">
        <f>IFERROR('Résultats détaillés GES'!AM71/Tableau145[[#This Row],[2027]],NA())</f>
        <v>4.0339480093819192E-2</v>
      </c>
      <c r="M35" s="328">
        <f>IFERROR('Résultats détaillés GES'!AN71/Tableau145[[#This Row],[2028]],NA())</f>
        <v>3.2509825709242046E-2</v>
      </c>
      <c r="N35" s="328">
        <f>IFERROR('Résultats détaillés GES'!AO71/Tableau145[[#This Row],[2029]],NA())</f>
        <v>2.9724813469932575E-2</v>
      </c>
      <c r="O35" s="328">
        <f>IFERROR('Résultats détaillés GES'!AP71/Tableau145[[#This Row],[2030]],NA())</f>
        <v>2.6997616781867476E-2</v>
      </c>
      <c r="P35" s="328">
        <f>IFERROR('Résultats détaillés GES'!AQ71/Tableau145[[#This Row],[2031]],NA())</f>
        <v>2.5517093258114912E-2</v>
      </c>
      <c r="Q35" s="328">
        <f>IFERROR('Résultats détaillés GES'!AR71/Tableau145[[#This Row],[2032]],NA())</f>
        <v>2.4046070631756136E-2</v>
      </c>
      <c r="R35" s="328">
        <f>IFERROR('Résultats détaillés GES'!AS71/Tableau145[[#This Row],[2033]],NA())</f>
        <v>2.258311249030108E-2</v>
      </c>
      <c r="S35" s="328">
        <f>IFERROR('Résultats détaillés GES'!AT71/Tableau145[[#This Row],[2034]],NA())</f>
        <v>2.0988621202384202E-2</v>
      </c>
      <c r="T35" s="328">
        <f>IFERROR('Résultats détaillés GES'!AU71/Tableau145[[#This Row],[2035]],NA())</f>
        <v>1.9399040968272819E-2</v>
      </c>
      <c r="U35" s="328">
        <f>IFERROR('Résultats détaillés GES'!AV71/Tableau145[[#This Row],[2036]],NA())</f>
        <v>1.8140315024383798E-2</v>
      </c>
      <c r="V35" s="328">
        <f>IFERROR('Résultats détaillés GES'!AW71/Tableau145[[#This Row],[2037]],NA())</f>
        <v>1.6892264444844853E-2</v>
      </c>
      <c r="W35" s="328">
        <f>IFERROR('Résultats détaillés GES'!AX71/Tableau145[[#This Row],[2038]],NA())</f>
        <v>1.5652965576070568E-2</v>
      </c>
      <c r="X35" s="328">
        <f>IFERROR('Résultats détaillés GES'!AY71/Tableau145[[#This Row],[2039]],NA())</f>
        <v>1.4886012549142296E-2</v>
      </c>
      <c r="Y35" s="328">
        <f>IFERROR('Résultats détaillés GES'!AZ71/Tableau145[[#This Row],[2040]],NA())</f>
        <v>1.4125229657227855E-2</v>
      </c>
      <c r="Z35" s="328">
        <f>IFERROR('Résultats détaillés GES'!BA71/Tableau145[[#This Row],[2041]],NA())</f>
        <v>1.2970649083910192E-2</v>
      </c>
      <c r="AA35" s="328">
        <f>IFERROR('Résultats détaillés GES'!BB71/Tableau145[[#This Row],[2042]],NA())</f>
        <v>1.182518935607263E-2</v>
      </c>
      <c r="AB35" s="328">
        <f>IFERROR('Résultats détaillés GES'!BC71/Tableau145[[#This Row],[2043]],NA())</f>
        <v>1.0686811571860725E-2</v>
      </c>
      <c r="AC35" s="328">
        <f>IFERROR('Résultats détaillés GES'!BD71/Tableau145[[#This Row],[2044]],NA())</f>
        <v>9.5535033362393364E-3</v>
      </c>
      <c r="AD35" s="328">
        <f>IFERROR('Résultats détaillés GES'!BE71/Tableau145[[#This Row],[2045]],NA())</f>
        <v>8.4232576423480705E-3</v>
      </c>
      <c r="AE35" s="328">
        <f>IFERROR('Résultats détaillés GES'!BF71/Tableau145[[#This Row],[2046]],NA())</f>
        <v>7.3014780759088236E-3</v>
      </c>
      <c r="AF35" s="328">
        <f>IFERROR('Résultats détaillés GES'!BG71/Tableau145[[#This Row],[2047]],NA())</f>
        <v>6.1854501262245164E-3</v>
      </c>
      <c r="AG35" s="328">
        <f>IFERROR('Résultats détaillés GES'!BH71/Tableau145[[#This Row],[2048]],NA())</f>
        <v>5.0731839198789467E-3</v>
      </c>
      <c r="AH35" s="328">
        <f>IFERROR('Résultats détaillés GES'!BI71/Tableau145[[#This Row],[2049]],NA())</f>
        <v>3.9626939645448986E-3</v>
      </c>
      <c r="AI35" s="328">
        <f>IFERROR('Résultats détaillés GES'!BJ71/Tableau145[[#This Row],[2050]],NA())</f>
        <v>2.8519923850025886E-3</v>
      </c>
    </row>
    <row r="36" spans="1:36" s="327" customFormat="1">
      <c r="A36" s="327" t="s">
        <v>12</v>
      </c>
      <c r="B36" s="327" t="s">
        <v>434</v>
      </c>
      <c r="C36" s="327" t="s">
        <v>670</v>
      </c>
      <c r="D36" s="328">
        <f>IFERROR('Résultats détaillés GES'!AE77/Tableau145[[#This Row],[2019]],NA())</f>
        <v>2.3390844052268691</v>
      </c>
      <c r="E36" s="328">
        <f>IFERROR('Résultats détaillés GES'!AF77/Tableau145[[#This Row],[2020]],NA())</f>
        <v>2.3683232660034026</v>
      </c>
      <c r="F36" s="328">
        <f>IFERROR('Résultats détaillés GES'!AG77/Tableau145[[#This Row],[2021]],NA())</f>
        <v>2.3641986454619772</v>
      </c>
      <c r="G36" s="328">
        <f>IFERROR('Résultats détaillés GES'!AH77/Tableau145[[#This Row],[2022]],NA())</f>
        <v>2.1741993275197942</v>
      </c>
      <c r="H36" s="328">
        <f>IFERROR('Résultats détaillés GES'!AI77/Tableau145[[#This Row],[2023]],NA())</f>
        <v>1.8972167403701907</v>
      </c>
      <c r="I36" s="328">
        <f>IFERROR('Résultats détaillés GES'!AJ77/Tableau145[[#This Row],[2024]],NA())</f>
        <v>1.7716701706646836</v>
      </c>
      <c r="J36" s="328">
        <f>IFERROR('Résultats détaillés GES'!AK77/Tableau145[[#This Row],[2025]],NA())</f>
        <v>1.7092827644759792</v>
      </c>
      <c r="K36" s="328">
        <f>IFERROR('Résultats détaillés GES'!AL77/Tableau145[[#This Row],[2026]],NA())</f>
        <v>1.6528209407925378</v>
      </c>
      <c r="L36" s="328">
        <f>IFERROR('Résultats détaillés GES'!AM77/Tableau145[[#This Row],[2027]],NA())</f>
        <v>1.5429179420034083</v>
      </c>
      <c r="M36" s="328">
        <f>IFERROR('Résultats détaillés GES'!AN77/Tableau145[[#This Row],[2028]],NA())</f>
        <v>1.4341229046651833</v>
      </c>
      <c r="N36" s="328">
        <f>IFERROR('Résultats détaillés GES'!AO77/Tableau145[[#This Row],[2029]],NA())</f>
        <v>1.3545951270204126</v>
      </c>
      <c r="O36" s="328">
        <f>IFERROR('Résultats détaillés GES'!AP77/Tableau145[[#This Row],[2030]],NA())</f>
        <v>1.2758379715925743</v>
      </c>
      <c r="P36" s="328">
        <f>IFERROR('Résultats détaillés GES'!AQ77/Tableau145[[#This Row],[2031]],NA())</f>
        <v>1.243828863350809</v>
      </c>
      <c r="Q36" s="328">
        <f>IFERROR('Résultats détaillés GES'!AR77/Tableau145[[#This Row],[2032]],NA())</f>
        <v>1.2121607248174548</v>
      </c>
      <c r="R36" s="328">
        <f>IFERROR('Résultats détaillés GES'!AS77/Tableau145[[#This Row],[2033]],NA())</f>
        <v>1.1808147751211848</v>
      </c>
      <c r="S36" s="328">
        <f>IFERROR('Résultats détaillés GES'!AT77/Tableau145[[#This Row],[2034]],NA())</f>
        <v>1.1518964636640088</v>
      </c>
      <c r="T36" s="328">
        <f>IFERROR('Résultats détaillés GES'!AU77/Tableau145[[#This Row],[2035]],NA())</f>
        <v>1.1232582760550502</v>
      </c>
      <c r="U36" s="328">
        <f>IFERROR('Résultats détaillés GES'!AV77/Tableau145[[#This Row],[2036]],NA())</f>
        <v>1.0893953330199873</v>
      </c>
      <c r="V36" s="328">
        <f>IFERROR('Résultats détaillés GES'!AW77/Tableau145[[#This Row],[2037]],NA())</f>
        <v>1.0561226536454607</v>
      </c>
      <c r="W36" s="328">
        <f>IFERROR('Résultats détaillés GES'!AX77/Tableau145[[#This Row],[2038]],NA())</f>
        <v>1.0233989833188624</v>
      </c>
      <c r="X36" s="328">
        <f>IFERROR('Résultats détaillés GES'!AY77/Tableau145[[#This Row],[2039]],NA())</f>
        <v>0.99767847244189167</v>
      </c>
      <c r="Y36" s="328">
        <f>IFERROR('Résultats détaillés GES'!AZ77/Tableau145[[#This Row],[2040]],NA())</f>
        <v>0.97239745743864081</v>
      </c>
      <c r="Z36" s="328">
        <f>IFERROR('Résultats détaillés GES'!BA77/Tableau145[[#This Row],[2041]],NA())</f>
        <v>0.93951078385525133</v>
      </c>
      <c r="AA36" s="328">
        <f>IFERROR('Résultats détaillés GES'!BB77/Tableau145[[#This Row],[2042]],NA())</f>
        <v>0.90731252468739287</v>
      </c>
      <c r="AB36" s="328">
        <f>IFERROR('Résultats détaillés GES'!BC77/Tableau145[[#This Row],[2043]],NA())</f>
        <v>0.87575632109296275</v>
      </c>
      <c r="AC36" s="328">
        <f>IFERROR('Résultats détaillés GES'!BD77/Tableau145[[#This Row],[2044]],NA())</f>
        <v>0.84479849757438741</v>
      </c>
      <c r="AD36" s="328">
        <f>IFERROR('Résultats détaillés GES'!BE77/Tableau145[[#This Row],[2045]],NA())</f>
        <v>0.81439797917793377</v>
      </c>
      <c r="AE36" s="328">
        <f>IFERROR('Résultats détaillés GES'!BF77/Tableau145[[#This Row],[2046]],NA())</f>
        <v>0.78725773190805393</v>
      </c>
      <c r="AF36" s="328">
        <f>IFERROR('Résultats détaillés GES'!BG77/Tableau145[[#This Row],[2047]],NA())</f>
        <v>0.76073834029312892</v>
      </c>
      <c r="AG36" s="328">
        <f>IFERROR('Résultats détaillés GES'!BH77/Tableau145[[#This Row],[2048]],NA())</f>
        <v>0.7348018055674177</v>
      </c>
      <c r="AH36" s="328">
        <f>IFERROR('Résultats détaillés GES'!BI77/Tableau145[[#This Row],[2049]],NA())</f>
        <v>0.70941273670611604</v>
      </c>
      <c r="AI36" s="328">
        <f>IFERROR('Résultats détaillés GES'!BJ77/Tableau145[[#This Row],[2050]],NA())</f>
        <v>0.68453754650518162</v>
      </c>
    </row>
    <row r="37" spans="1:36" s="327" customFormat="1">
      <c r="A37" s="327" t="s">
        <v>12</v>
      </c>
      <c r="B37" s="327" t="s">
        <v>435</v>
      </c>
      <c r="C37" s="327" t="s">
        <v>670</v>
      </c>
      <c r="D37" s="328">
        <f>IFERROR('Résultats détaillés GES'!AE74/Tableau145[[#This Row],[2019]],NA())</f>
        <v>0.65311940811665015</v>
      </c>
      <c r="E37" s="328">
        <f>IFERROR('Résultats détaillés GES'!AF74/Tableau145[[#This Row],[2020]],NA())</f>
        <v>0.56132005358497605</v>
      </c>
      <c r="F37" s="328">
        <f>IFERROR('Résultats détaillés GES'!AG74/Tableau145[[#This Row],[2021]],NA())</f>
        <v>0.65875433182974097</v>
      </c>
      <c r="G37" s="328">
        <f>IFERROR('Résultats détaillés GES'!AH74/Tableau145[[#This Row],[2022]],NA())</f>
        <v>0.57450976851489999</v>
      </c>
      <c r="H37" s="328">
        <f>IFERROR('Résultats détaillés GES'!AI74/Tableau145[[#This Row],[2023]],NA())</f>
        <v>0.47018039967483882</v>
      </c>
      <c r="I37" s="328">
        <f>IFERROR('Résultats détaillés GES'!AJ74/Tableau145[[#This Row],[2024]],NA())</f>
        <v>0.43609691713959325</v>
      </c>
      <c r="J37" s="328">
        <f>IFERROR('Résultats détaillés GES'!AK74/Tableau145[[#This Row],[2025]],NA())</f>
        <v>0.40003456308253599</v>
      </c>
      <c r="K37" s="328">
        <f>IFERROR('Résultats détaillés GES'!AL74/Tableau145[[#This Row],[2026]],NA())</f>
        <v>0.40105590787275786</v>
      </c>
      <c r="L37" s="328">
        <f>IFERROR('Résultats détaillés GES'!AM74/Tableau145[[#This Row],[2027]],NA())</f>
        <v>0.42703011976067778</v>
      </c>
      <c r="M37" s="328">
        <f>IFERROR('Résultats détaillés GES'!AN74/Tableau145[[#This Row],[2028]],NA())</f>
        <v>0.45278836083186463</v>
      </c>
      <c r="N37" s="328">
        <f>IFERROR('Résultats détaillés GES'!AO74/Tableau145[[#This Row],[2029]],NA())</f>
        <v>0.44531617252733308</v>
      </c>
      <c r="O37" s="328">
        <f>IFERROR('Résultats détaillés GES'!AP74/Tableau145[[#This Row],[2030]],NA())</f>
        <v>0.4380158498337221</v>
      </c>
      <c r="P37" s="328">
        <f>IFERROR('Résultats détaillés GES'!AQ74/Tableau145[[#This Row],[2031]],NA())</f>
        <v>0.42124218131924468</v>
      </c>
      <c r="Q37" s="328">
        <f>IFERROR('Résultats détaillés GES'!AR74/Tableau145[[#This Row],[2032]],NA())</f>
        <v>0.40457343597366513</v>
      </c>
      <c r="R37" s="328">
        <f>IFERROR('Résultats détaillés GES'!AS74/Tableau145[[#This Row],[2033]],NA())</f>
        <v>0.38799968948323038</v>
      </c>
      <c r="S37" s="328">
        <f>IFERROR('Résultats détaillés GES'!AT74/Tableau145[[#This Row],[2034]],NA())</f>
        <v>0.37111567791146322</v>
      </c>
      <c r="T37" s="328">
        <f>IFERROR('Résultats détaillés GES'!AU74/Tableau145[[#This Row],[2035]],NA())</f>
        <v>0.35430751015488737</v>
      </c>
      <c r="U37" s="328">
        <f>IFERROR('Résultats détaillés GES'!AV74/Tableau145[[#This Row],[2036]],NA())</f>
        <v>0.3348852742904328</v>
      </c>
      <c r="V37" s="328">
        <f>IFERROR('Résultats détaillés GES'!AW74/Tableau145[[#This Row],[2037]],NA())</f>
        <v>0.31584610959405335</v>
      </c>
      <c r="W37" s="328">
        <f>IFERROR('Résultats détaillés GES'!AX74/Tableau145[[#This Row],[2038]],NA())</f>
        <v>0.29716807875001794</v>
      </c>
      <c r="X37" s="328">
        <f>IFERROR('Résultats détaillés GES'!AY74/Tableau145[[#This Row],[2039]],NA())</f>
        <v>0.28088349076842734</v>
      </c>
      <c r="Y37" s="328">
        <f>IFERROR('Résultats détaillés GES'!AZ74/Tableau145[[#This Row],[2040]],NA())</f>
        <v>0.26489098219235013</v>
      </c>
      <c r="Z37" s="328">
        <f>IFERROR('Résultats détaillés GES'!BA74/Tableau145[[#This Row],[2041]],NA())</f>
        <v>0.22847552572316951</v>
      </c>
      <c r="AA37" s="328">
        <f>IFERROR('Résultats détaillés GES'!BB74/Tableau145[[#This Row],[2042]],NA())</f>
        <v>0.19293795100683553</v>
      </c>
      <c r="AB37" s="328">
        <f>IFERROR('Résultats détaillés GES'!BC74/Tableau145[[#This Row],[2043]],NA())</f>
        <v>0.15822862866460261</v>
      </c>
      <c r="AC37" s="328">
        <f>IFERROR('Résultats détaillés GES'!BD74/Tableau145[[#This Row],[2044]],NA())</f>
        <v>0.12430113273105159</v>
      </c>
      <c r="AD37" s="328">
        <f>IFERROR('Résultats détaillés GES'!BE74/Tableau145[[#This Row],[2045]],NA())</f>
        <v>9.1111902211147899E-2</v>
      </c>
      <c r="AE37" s="328">
        <f>IFERROR('Résultats détaillés GES'!BF74/Tableau145[[#This Row],[2046]],NA())</f>
        <v>7.9017465128605163E-2</v>
      </c>
      <c r="AF37" s="328">
        <f>IFERROR('Résultats détaillés GES'!BG74/Tableau145[[#This Row],[2047]],NA())</f>
        <v>6.7214674388049386E-2</v>
      </c>
      <c r="AG37" s="328">
        <f>IFERROR('Résultats détaillés GES'!BH74/Tableau145[[#This Row],[2048]],NA())</f>
        <v>5.568724694345327E-2</v>
      </c>
      <c r="AH37" s="328">
        <f>IFERROR('Résultats détaillés GES'!BI74/Tableau145[[#This Row],[2049]],NA())</f>
        <v>4.4419926155271197E-2</v>
      </c>
      <c r="AI37" s="328">
        <f>IFERROR('Résultats détaillés GES'!BJ74/Tableau145[[#This Row],[2050]],NA())</f>
        <v>3.3398385504225837E-2</v>
      </c>
    </row>
    <row r="38" spans="1:36" s="327" customFormat="1">
      <c r="A38" s="327" t="s">
        <v>12</v>
      </c>
      <c r="B38" s="327" t="s">
        <v>436</v>
      </c>
      <c r="C38" s="327" t="s">
        <v>670</v>
      </c>
      <c r="D38" s="328">
        <f>IFERROR('Résultats détaillés GES'!AE81/Tableau145[[#This Row],[2019]],NA())</f>
        <v>0.11965979362678486</v>
      </c>
      <c r="E38" s="328">
        <f>IFERROR('Résultats détaillés GES'!AF81/Tableau145[[#This Row],[2020]],NA())</f>
        <v>9.9835206725137043E-2</v>
      </c>
      <c r="F38" s="328">
        <f>IFERROR('Résultats détaillés GES'!AG81/Tableau145[[#This Row],[2021]],NA())</f>
        <v>0.10335450890615819</v>
      </c>
      <c r="G38" s="328">
        <f>IFERROR('Résultats détaillés GES'!AH81/Tableau145[[#This Row],[2022]],NA())</f>
        <v>8.5040663680621242E-2</v>
      </c>
      <c r="H38" s="328">
        <f>IFERROR('Résultats détaillés GES'!AI81/Tableau145[[#This Row],[2023]],NA())</f>
        <v>8.6066797707086876E-2</v>
      </c>
      <c r="I38" s="328">
        <f>IFERROR('Résultats détaillés GES'!AJ81/Tableau145[[#This Row],[2024]],NA())</f>
        <v>8.5625880841362148E-2</v>
      </c>
      <c r="J38" s="328">
        <f>IFERROR('Résultats détaillés GES'!AK81/Tableau145[[#This Row],[2025]],NA())</f>
        <v>8.2055463468698825E-2</v>
      </c>
      <c r="K38" s="328">
        <f>IFERROR('Résultats détaillés GES'!AL81/Tableau145[[#This Row],[2026]],NA())</f>
        <v>8.0943946568297911E-2</v>
      </c>
      <c r="L38" s="328">
        <f>IFERROR('Résultats détaillés GES'!AM81/Tableau145[[#This Row],[2027]],NA())</f>
        <v>8.2345240790600904E-2</v>
      </c>
      <c r="M38" s="328">
        <f>IFERROR('Résultats détaillés GES'!AN81/Tableau145[[#This Row],[2028]],NA())</f>
        <v>8.3691448858128958E-2</v>
      </c>
      <c r="N38" s="328">
        <f>IFERROR('Résultats détaillés GES'!AO81/Tableau145[[#This Row],[2029]],NA())</f>
        <v>6.6586603669338815E-2</v>
      </c>
      <c r="O38" s="328">
        <f>IFERROR('Résultats détaillés GES'!AP81/Tableau145[[#This Row],[2030]],NA())</f>
        <v>5.004805447858441E-2</v>
      </c>
      <c r="P38" s="328">
        <f>IFERROR('Résultats détaillés GES'!AQ81/Tableau145[[#This Row],[2031]],NA())</f>
        <v>4.773062325336213E-2</v>
      </c>
      <c r="Q38" s="328">
        <f>IFERROR('Résultats détaillés GES'!AR81/Tableau145[[#This Row],[2032]],NA())</f>
        <v>4.5471436291675653E-2</v>
      </c>
      <c r="R38" s="328">
        <f>IFERROR('Résultats détaillés GES'!AS81/Tableau145[[#This Row],[2033]],NA())</f>
        <v>4.3268516225693256E-2</v>
      </c>
      <c r="S38" s="328">
        <f>IFERROR('Résultats détaillés GES'!AT81/Tableau145[[#This Row],[2034]],NA())</f>
        <v>4.1268004326834626E-2</v>
      </c>
      <c r="T38" s="328">
        <f>IFERROR('Résultats détaillés GES'!AU81/Tableau145[[#This Row],[2035]],NA())</f>
        <v>3.931633116673118E-2</v>
      </c>
      <c r="U38" s="328">
        <f>IFERROR('Résultats détaillés GES'!AV81/Tableau145[[#This Row],[2036]],NA())</f>
        <v>3.6986658895661217E-2</v>
      </c>
      <c r="V38" s="328">
        <f>IFERROR('Résultats détaillés GES'!AW81/Tableau145[[#This Row],[2037]],NA())</f>
        <v>3.4724859051378031E-2</v>
      </c>
      <c r="W38" s="328">
        <f>IFERROR('Résultats détaillés GES'!AX81/Tableau145[[#This Row],[2038]],NA())</f>
        <v>3.2527733609234756E-2</v>
      </c>
      <c r="X38" s="328">
        <f>IFERROR('Résultats détaillés GES'!AY81/Tableau145[[#This Row],[2039]],NA())</f>
        <v>3.0879603151245341E-2</v>
      </c>
      <c r="Y38" s="328">
        <f>IFERROR('Résultats détaillés GES'!AZ81/Tableau145[[#This Row],[2040]],NA())</f>
        <v>2.927729161092666E-2</v>
      </c>
      <c r="Z38" s="328">
        <f>IFERROR('Résultats détaillés GES'!BA81/Tableau145[[#This Row],[2041]],NA())</f>
        <v>2.7338235843027119E-2</v>
      </c>
      <c r="AA38" s="328">
        <f>IFERROR('Résultats détaillés GES'!BB81/Tableau145[[#This Row],[2042]],NA())</f>
        <v>2.5418791281821933E-2</v>
      </c>
      <c r="AB38" s="328">
        <f>IFERROR('Résultats détaillés GES'!BC81/Tableau145[[#This Row],[2043]],NA())</f>
        <v>2.3515603124858456E-2</v>
      </c>
      <c r="AC38" s="328">
        <f>IFERROR('Résultats détaillés GES'!BD81/Tableau145[[#This Row],[2044]],NA())</f>
        <v>2.1625360486634413E-2</v>
      </c>
      <c r="AD38" s="328">
        <f>IFERROR('Résultats détaillés GES'!BE81/Tableau145[[#This Row],[2045]],NA())</f>
        <v>1.9744800773648971E-2</v>
      </c>
      <c r="AE38" s="328">
        <f>IFERROR('Résultats détaillés GES'!BF81/Tableau145[[#This Row],[2046]],NA())</f>
        <v>1.7785036134235193E-2</v>
      </c>
      <c r="AF38" s="328">
        <f>IFERROR('Résultats détaillés GES'!BG81/Tableau145[[#This Row],[2047]],NA())</f>
        <v>1.585942134891697E-2</v>
      </c>
      <c r="AG38" s="328">
        <f>IFERROR('Résultats détaillés GES'!BH81/Tableau145[[#This Row],[2048]],NA())</f>
        <v>1.3965212557487713E-2</v>
      </c>
      <c r="AH38" s="328">
        <f>IFERROR('Résultats détaillés GES'!BI81/Tableau145[[#This Row],[2049]],NA())</f>
        <v>1.2099794272662372E-2</v>
      </c>
      <c r="AI38" s="328">
        <f>IFERROR('Résultats détaillés GES'!BJ81/Tableau145[[#This Row],[2050]],NA())</f>
        <v>1.0260668402832986E-2</v>
      </c>
    </row>
    <row r="39" spans="1:36" s="327" customFormat="1">
      <c r="A39" s="327" t="s">
        <v>12</v>
      </c>
      <c r="B39" s="327" t="s">
        <v>483</v>
      </c>
      <c r="C39" s="327" t="s">
        <v>670</v>
      </c>
      <c r="D39" s="328">
        <f>'Résultats détaillés GES'!AE72/Tableau145[[#This Row],[2019]]</f>
        <v>0.22350386973756567</v>
      </c>
      <c r="E39" s="328">
        <f>'Résultats détaillés GES'!AF72/Tableau145[[#This Row],[2020]]</f>
        <v>0.21143762688860371</v>
      </c>
      <c r="F39" s="328">
        <f>'Résultats détaillés GES'!AG72/Tableau145[[#This Row],[2021]]</f>
        <v>0.20834854702172279</v>
      </c>
      <c r="G39" s="328">
        <f>'Résultats détaillés GES'!AH72/Tableau145[[#This Row],[2022]]</f>
        <v>0.1952870543551756</v>
      </c>
      <c r="H39" s="328">
        <f>'Résultats détaillés GES'!AI72/Tableau145[[#This Row],[2023]]</f>
        <v>0.16716247280363897</v>
      </c>
      <c r="I39" s="328">
        <f>'Résultats détaillés GES'!AJ72/Tableau145[[#This Row],[2024]]</f>
        <v>0.16918522405781142</v>
      </c>
      <c r="J39" s="328">
        <f>'Résultats détaillés GES'!AK72/Tableau145[[#This Row],[2025]]</f>
        <v>0.16287651926918997</v>
      </c>
      <c r="K39" s="328">
        <f>'Résultats détaillés GES'!AL72/Tableau145[[#This Row],[2026]]</f>
        <v>0.15198744586710361</v>
      </c>
      <c r="L39" s="328">
        <f>'Résultats détaillés GES'!AM72/Tableau145[[#This Row],[2027]]</f>
        <v>0.1220988066814182</v>
      </c>
      <c r="M39" s="328">
        <f>'Résultats détaillés GES'!AN72/Tableau145[[#This Row],[2028]]</f>
        <v>9.2432021340274118E-2</v>
      </c>
      <c r="N39" s="328">
        <f>'Résultats détaillés GES'!AO72/Tableau145[[#This Row],[2029]]</f>
        <v>8.4985101265975693E-2</v>
      </c>
      <c r="O39" s="328">
        <f>'Résultats détaillés GES'!AP72/Tableau145[[#This Row],[2030]]</f>
        <v>7.7602692973159942E-2</v>
      </c>
      <c r="P39" s="328">
        <f>'Résultats détaillés GES'!AQ72/Tableau145[[#This Row],[2031]]</f>
        <v>7.2787167658233565E-2</v>
      </c>
      <c r="Q39" s="328">
        <f>'Résultats détaillés GES'!AR72/Tableau145[[#This Row],[2032]]</f>
        <v>6.7999429082096691E-2</v>
      </c>
      <c r="R39" s="328">
        <f>'Résultats détaillés GES'!AS72/Tableau145[[#This Row],[2033]]</f>
        <v>6.3235064663219084E-2</v>
      </c>
      <c r="S39" s="328">
        <f>'Résultats détaillés GES'!AT72/Tableau145[[#This Row],[2034]]</f>
        <v>5.9216129388675418E-2</v>
      </c>
      <c r="T39" s="328">
        <f>'Résultats détaillés GES'!AU72/Tableau145[[#This Row],[2035]]</f>
        <v>5.5212623606312045E-2</v>
      </c>
      <c r="U39" s="328">
        <f>'Résultats détaillés GES'!AV72/Tableau145[[#This Row],[2036]]</f>
        <v>5.0881145526815219E-2</v>
      </c>
      <c r="V39" s="328">
        <f>'Résultats détaillés GES'!AW72/Tableau145[[#This Row],[2037]]</f>
        <v>4.6592224058897659E-2</v>
      </c>
      <c r="W39" s="328">
        <f>'Résultats détaillés GES'!AX72/Tableau145[[#This Row],[2038]]</f>
        <v>4.2339645601447616E-2</v>
      </c>
      <c r="X39" s="328">
        <f>'Résultats détaillés GES'!AY72/Tableau145[[#This Row],[2039]]</f>
        <v>3.9364506862880316E-2</v>
      </c>
      <c r="Y39" s="328">
        <f>'Résultats détaillés GES'!AZ72/Tableau145[[#This Row],[2040]]</f>
        <v>3.6412354514932632E-2</v>
      </c>
      <c r="Z39" s="328">
        <f>'Résultats détaillés GES'!BA72/Tableau145[[#This Row],[2041]]</f>
        <v>3.3178103489790681E-2</v>
      </c>
      <c r="AA39" s="328">
        <f>'Résultats détaillés GES'!BB72/Tableau145[[#This Row],[2042]]</f>
        <v>2.9968892319545078E-2</v>
      </c>
      <c r="AB39" s="328">
        <f>'Résultats détaillés GES'!BC72/Tableau145[[#This Row],[2043]]</f>
        <v>2.677931422291439E-2</v>
      </c>
      <c r="AC39" s="328">
        <f>'Résultats détaillés GES'!BD72/Tableau145[[#This Row],[2044]]</f>
        <v>2.3604027523495906E-2</v>
      </c>
      <c r="AD39" s="328">
        <f>'Résultats détaillés GES'!BE72/Tableau145[[#This Row],[2045]]</f>
        <v>2.0437750016371343E-2</v>
      </c>
      <c r="AE39" s="328">
        <f>'Résultats détaillés GES'!BF72/Tableau145[[#This Row],[2046]]</f>
        <v>1.8816032203411798E-2</v>
      </c>
      <c r="AF39" s="328">
        <f>'Résultats détaillés GES'!BG72/Tableau145[[#This Row],[2047]]</f>
        <v>1.7201989340495719E-2</v>
      </c>
      <c r="AG39" s="328">
        <f>'Résultats détaillés GES'!BH72/Tableau145[[#This Row],[2048]]</f>
        <v>1.5592738970408119E-2</v>
      </c>
      <c r="AH39" s="328">
        <f>'Résultats détaillés GES'!BI72/Tableau145[[#This Row],[2049]]</f>
        <v>1.398539291581816E-2</v>
      </c>
      <c r="AI39" s="328">
        <f>'Résultats détaillés GES'!BJ72/Tableau145[[#This Row],[2050]]</f>
        <v>1.2377060069718424E-2</v>
      </c>
    </row>
    <row r="40" spans="1:36" s="327" customFormat="1">
      <c r="A40" s="327" t="s">
        <v>12</v>
      </c>
      <c r="B40" s="327" t="s">
        <v>484</v>
      </c>
      <c r="C40" s="327" t="s">
        <v>670</v>
      </c>
      <c r="D40" s="328">
        <f>'Résultats détaillés GES'!AE70/Tableau145[[#This Row],[2019]]</f>
        <v>4.379037044883561E-2</v>
      </c>
      <c r="E40" s="328">
        <f>'Résultats détaillés GES'!AF70/Tableau145[[#This Row],[2020]]</f>
        <v>4.7448928583938767E-2</v>
      </c>
      <c r="F40" s="328">
        <f>'Résultats détaillés GES'!AG70/Tableau145[[#This Row],[2021]]</f>
        <v>4.594340942200046E-2</v>
      </c>
      <c r="G40" s="328">
        <f>'Résultats détaillés GES'!AH70/Tableau145[[#This Row],[2022]]</f>
        <v>4.8385351853037106E-2</v>
      </c>
      <c r="H40" s="328">
        <f>'Résultats détaillés GES'!AI70/Tableau145[[#This Row],[2023]]</f>
        <v>4.3388016128926531E-2</v>
      </c>
      <c r="I40" s="328">
        <f>'Résultats détaillés GES'!AJ70/Tableau145[[#This Row],[2024]]</f>
        <v>4.3620422597078948E-2</v>
      </c>
      <c r="J40" s="328">
        <f>'Résultats détaillés GES'!AK70/Tableau145[[#This Row],[2025]]</f>
        <v>4.3319113878773324E-2</v>
      </c>
      <c r="K40" s="328">
        <f>'Résultats détaillés GES'!AL70/Tableau145[[#This Row],[2026]]</f>
        <v>4.0312748131298877E-2</v>
      </c>
      <c r="L40" s="328">
        <f>'Résultats détaillés GES'!AM70/Tableau145[[#This Row],[2027]]</f>
        <v>3.0823397362807741E-2</v>
      </c>
      <c r="M40" s="328">
        <f>'Résultats détaillés GES'!AN70/Tableau145[[#This Row],[2028]]</f>
        <v>2.1324009692056136E-2</v>
      </c>
      <c r="N40" s="328">
        <f>'Résultats détaillés GES'!AO70/Tableau145[[#This Row],[2029]]</f>
        <v>1.8366309652683929E-2</v>
      </c>
      <c r="O40" s="328">
        <f>'Résultats détaillés GES'!AP70/Tableau145[[#This Row],[2030]]</f>
        <v>1.5405477936628172E-2</v>
      </c>
      <c r="P40" s="328">
        <f>'Résultats détaillés GES'!AQ70/Tableau145[[#This Row],[2031]]</f>
        <v>1.4453021151509118E-2</v>
      </c>
      <c r="Q40" s="328">
        <f>'Résultats détaillés GES'!AR70/Tableau145[[#This Row],[2032]]</f>
        <v>1.3496033471876558E-2</v>
      </c>
      <c r="R40" s="328">
        <f>'Résultats détaillés GES'!AS70/Tableau145[[#This Row],[2033]]</f>
        <v>1.2534482490039111E-2</v>
      </c>
      <c r="S40" s="328">
        <f>'Résultats détaillés GES'!AT70/Tableau145[[#This Row],[2034]]</f>
        <v>1.1591658816300478E-2</v>
      </c>
      <c r="T40" s="328">
        <f>'Résultats détaillés GES'!AU70/Tableau145[[#This Row],[2035]]</f>
        <v>1.064431783971748E-2</v>
      </c>
      <c r="U40" s="328">
        <f>'Résultats détaillés GES'!AV70/Tableau145[[#This Row],[2036]]</f>
        <v>9.7403728250525495E-3</v>
      </c>
      <c r="V40" s="328">
        <f>'Résultats détaillés GES'!AW70/Tableau145[[#This Row],[2037]]</f>
        <v>8.8376835218091764E-3</v>
      </c>
      <c r="W40" s="328">
        <f>'Résultats détaillés GES'!AX70/Tableau145[[#This Row],[2038]]</f>
        <v>7.9362473152541132E-3</v>
      </c>
      <c r="X40" s="328">
        <f>'Résultats détaillés GES'!AY70/Tableau145[[#This Row],[2039]]</f>
        <v>7.0555010189437498E-3</v>
      </c>
      <c r="Y40" s="328">
        <f>'Résultats détaillés GES'!AZ70/Tableau145[[#This Row],[2040]]</f>
        <v>6.1759756635553194E-3</v>
      </c>
      <c r="Z40" s="328">
        <f>'Résultats détaillés GES'!BA70/Tableau145[[#This Row],[2041]]</f>
        <v>5.4294194801373687E-3</v>
      </c>
      <c r="AA40" s="328">
        <f>'Résultats détaillés GES'!BB70/Tableau145[[#This Row],[2042]]</f>
        <v>4.6878026693463297E-3</v>
      </c>
      <c r="AB40" s="328">
        <f>'Résultats détaillés GES'!BC70/Tableau145[[#This Row],[2043]]</f>
        <v>3.9510763729192254E-3</v>
      </c>
      <c r="AC40" s="328">
        <f>'Résultats détaillés GES'!BD70/Tableau145[[#This Row],[2044]]</f>
        <v>3.2191923748567984E-3</v>
      </c>
      <c r="AD40" s="328">
        <f>'Résultats détaillés GES'!BE70/Tableau145[[#This Row],[2045]]</f>
        <v>2.4921030909045303E-3</v>
      </c>
      <c r="AE40" s="328">
        <f>'Résultats détaillés GES'!BF70/Tableau145[[#This Row],[2046]]</f>
        <v>2.2754640397747551E-3</v>
      </c>
      <c r="AF40" s="328">
        <f>'Résultats détaillés GES'!BG70/Tableau145[[#This Row],[2047]]</f>
        <v>2.0620021020498701E-3</v>
      </c>
      <c r="AG40" s="328">
        <f>'Résultats détaillés GES'!BH70/Tableau145[[#This Row],[2048]]</f>
        <v>1.8516478957001134E-3</v>
      </c>
      <c r="AH40" s="328">
        <f>'Résultats détaillés GES'!BI70/Tableau145[[#This Row],[2049]]</f>
        <v>1.6443340443223556E-3</v>
      </c>
      <c r="AI40" s="328">
        <f>'Résultats détaillés GES'!BJ70/Tableau145[[#This Row],[2050]]</f>
        <v>1.4399951051892476E-3</v>
      </c>
    </row>
    <row r="41" spans="1:36" s="327" customFormat="1">
      <c r="A41" s="327" t="s">
        <v>243</v>
      </c>
      <c r="B41" s="327" t="s">
        <v>437</v>
      </c>
      <c r="C41" s="327" t="s">
        <v>492</v>
      </c>
      <c r="D41" s="328">
        <f>'Résultats détaillés GES'!AE127/Tableau145[[#This Row],[2019]]</f>
        <v>0.68832153251231987</v>
      </c>
      <c r="E41" s="328">
        <f>'Résultats détaillés GES'!AF127/Tableau145[[#This Row],[2020]]</f>
        <v>0.72030211991665261</v>
      </c>
      <c r="F41" s="328">
        <f>'Résultats détaillés GES'!AG127/Tableau145[[#This Row],[2021]]</f>
        <v>0.72720171186487603</v>
      </c>
      <c r="G41" s="328">
        <f>'Résultats détaillés GES'!AH127/Tableau145[[#This Row],[2022]]</f>
        <v>0.78999608211452155</v>
      </c>
      <c r="H41" s="328">
        <f>'Résultats détaillés GES'!AI127/Tableau145[[#This Row],[2023]]</f>
        <v>0.85194350674022912</v>
      </c>
      <c r="I41" s="328">
        <f>'Résultats détaillés GES'!AJ127/Tableau145[[#This Row],[2024]]</f>
        <v>0.88692500411230979</v>
      </c>
      <c r="J41" s="328">
        <f>'Résultats détaillés GES'!AK127/Tableau145[[#This Row],[2025]]</f>
        <v>0.94672145448372358</v>
      </c>
      <c r="K41" s="328">
        <f>'Résultats détaillés GES'!AL127/Tableau145[[#This Row],[2026]]</f>
        <v>0.97184140137418662</v>
      </c>
      <c r="L41" s="328">
        <f>'Résultats détaillés GES'!AM127/Tableau145[[#This Row],[2027]]</f>
        <v>0.9372372932783074</v>
      </c>
      <c r="M41" s="328">
        <f>'Résultats détaillés GES'!AN127/Tableau145[[#This Row],[2028]]</f>
        <v>0.89678414330408818</v>
      </c>
      <c r="N41" s="328">
        <f>'Résultats détaillés GES'!AO127/Tableau145[[#This Row],[2029]]</f>
        <v>0.9204741898212313</v>
      </c>
      <c r="O41" s="328">
        <f>'Résultats détaillés GES'!AP127/Tableau145[[#This Row],[2030]]</f>
        <v>0.94898300716402018</v>
      </c>
      <c r="P41" s="328">
        <f>'Résultats détaillés GES'!AQ127/Tableau145[[#This Row],[2031]]</f>
        <v>0.93942033393524027</v>
      </c>
      <c r="Q41" s="328">
        <f>'Résultats détaillés GES'!AR127/Tableau145[[#This Row],[2032]]</f>
        <v>0.92908230882304566</v>
      </c>
      <c r="R41" s="328">
        <f>'Résultats détaillés GES'!AS127/Tableau145[[#This Row],[2033]]</f>
        <v>0.91787064778587713</v>
      </c>
      <c r="S41" s="328">
        <f>'Résultats détaillés GES'!AT127/Tableau145[[#This Row],[2034]]</f>
        <v>0.91279946644342558</v>
      </c>
      <c r="T41" s="328">
        <f>'Résultats détaillés GES'!AU127/Tableau145[[#This Row],[2035]]</f>
        <v>0.90726017605397835</v>
      </c>
      <c r="U41" s="328">
        <f>'Résultats détaillés GES'!AV127/Tableau145[[#This Row],[2036]]</f>
        <v>0.90731007126075625</v>
      </c>
      <c r="V41" s="328">
        <f>'Résultats détaillés GES'!AW127/Tableau145[[#This Row],[2037]]</f>
        <v>0.90736504055635891</v>
      </c>
      <c r="W41" s="328">
        <f>'Résultats détaillés GES'!AX127/Tableau145[[#This Row],[2038]]</f>
        <v>0.9074258994193477</v>
      </c>
      <c r="X41" s="328">
        <f>'Résultats détaillés GES'!AY127/Tableau145[[#This Row],[2039]]</f>
        <v>0.91349196117650366</v>
      </c>
      <c r="Y41" s="328">
        <f>'Résultats détaillés GES'!AZ127/Tableau145[[#This Row],[2040]]</f>
        <v>0.9202859503445181</v>
      </c>
      <c r="Z41" s="328">
        <f>'Résultats détaillés GES'!BA127/Tableau145[[#This Row],[2041]]</f>
        <v>0.89922973866704092</v>
      </c>
      <c r="AA41" s="328">
        <f>'Résultats détaillés GES'!BB127/Tableau145[[#This Row],[2042]]</f>
        <v>0.87729618483633587</v>
      </c>
      <c r="AB41" s="328">
        <f>'Résultats détaillés GES'!BC127/Tableau145[[#This Row],[2043]]</f>
        <v>0.85442928828943032</v>
      </c>
      <c r="AC41" s="328">
        <f>'Résultats détaillés GES'!BD127/Tableau145[[#This Row],[2044]]</f>
        <v>0.83056817884918122</v>
      </c>
      <c r="AD41" s="328">
        <f>'Résultats détaillés GES'!BE127/Tableau145[[#This Row],[2045]]</f>
        <v>0.80564657565603204</v>
      </c>
      <c r="AE41" s="328">
        <f>'Résultats détaillés GES'!BF127/Tableau145[[#This Row],[2046]]</f>
        <v>0.79173631681752754</v>
      </c>
      <c r="AF41" s="328">
        <f>'Résultats détaillés GES'!BG127/Tableau145[[#This Row],[2047]]</f>
        <v>0.7771790691958369</v>
      </c>
      <c r="AG41" s="328">
        <f>'Résultats détaillés GES'!BH127/Tableau145[[#This Row],[2048]]</f>
        <v>0.76192861930644662</v>
      </c>
      <c r="AH41" s="328">
        <f>'Résultats détaillés GES'!BI127/Tableau145[[#This Row],[2049]]</f>
        <v>0.74593424503220807</v>
      </c>
      <c r="AI41" s="328">
        <f>'Résultats détaillés GES'!BJ127/Tableau145[[#This Row],[2050]]</f>
        <v>0.72914015204425753</v>
      </c>
      <c r="AJ41" s="327" t="s">
        <v>390</v>
      </c>
    </row>
    <row r="42" spans="1:36" s="327" customFormat="1">
      <c r="A42" s="327" t="s">
        <v>243</v>
      </c>
      <c r="B42" s="327" t="s">
        <v>438</v>
      </c>
      <c r="C42" s="327" t="s">
        <v>493</v>
      </c>
      <c r="D42" s="328">
        <f>'Résultats détaillés GES'!AE131/Tableau145[[#This Row],[2019]]</f>
        <v>0.20574286477377521</v>
      </c>
      <c r="E42" s="328">
        <f>'Résultats détaillés GES'!AF131/Tableau145[[#This Row],[2020]]</f>
        <v>0.21403022281065648</v>
      </c>
      <c r="F42" s="328">
        <f>'Résultats détaillés GES'!AG131/Tableau145[[#This Row],[2021]]</f>
        <v>0.19793081736608001</v>
      </c>
      <c r="G42" s="328">
        <f>'Résultats détaillés GES'!AH131/Tableau145[[#This Row],[2022]]</f>
        <v>0.1974901305844845</v>
      </c>
      <c r="H42" s="328">
        <f>'Résultats détaillés GES'!AI131/Tableau145[[#This Row],[2023]]</f>
        <v>0.1964420745950366</v>
      </c>
      <c r="I42" s="328">
        <f>'Résultats détaillés GES'!AJ131/Tableau145[[#This Row],[2024]]</f>
        <v>0.19182834645470592</v>
      </c>
      <c r="J42" s="328">
        <f>'Résultats détaillés GES'!AK131/Tableau145[[#This Row],[2025]]</f>
        <v>0.19152154338487598</v>
      </c>
      <c r="K42" s="328">
        <f>'Résultats détaillés GES'!AL131/Tableau145[[#This Row],[2026]]</f>
        <v>0.18574223577290352</v>
      </c>
      <c r="L42" s="328">
        <f>'Résultats détaillés GES'!AM131/Tableau145[[#This Row],[2027]]</f>
        <v>0.17419845369763601</v>
      </c>
      <c r="M42" s="328">
        <f>'Résultats détaillés GES'!AN131/Tableau145[[#This Row],[2028]]</f>
        <v>0.16269142068220999</v>
      </c>
      <c r="N42" s="328">
        <f>'Résultats détaillés GES'!AO131/Tableau145[[#This Row],[2029]]</f>
        <v>0.15613745375199545</v>
      </c>
      <c r="O42" s="328">
        <f>'Résultats détaillés GES'!AP131/Tableau145[[#This Row],[2030]]</f>
        <v>0.14960428484219188</v>
      </c>
      <c r="P42" s="328">
        <f>'Résultats détaillés GES'!AQ131/Tableau145[[#This Row],[2031]]</f>
        <v>0.14558228365262366</v>
      </c>
      <c r="Q42" s="328">
        <f>'Résultats détaillés GES'!AR131/Tableau145[[#This Row],[2032]]</f>
        <v>0.14154271913908353</v>
      </c>
      <c r="R42" s="328">
        <f>'Résultats détaillés GES'!AS131/Tableau145[[#This Row],[2033]]</f>
        <v>0.13748547600622815</v>
      </c>
      <c r="S42" s="328">
        <f>'Résultats détaillés GES'!AT131/Tableau145[[#This Row],[2034]]</f>
        <v>0.13405259128943572</v>
      </c>
      <c r="T42" s="328">
        <f>'Résultats détaillés GES'!AU131/Tableau145[[#This Row],[2035]]</f>
        <v>0.13060461696949249</v>
      </c>
      <c r="U42" s="328">
        <f>'Résultats détaillés GES'!AV131/Tableau145[[#This Row],[2036]]</f>
        <v>0.12765714916751633</v>
      </c>
      <c r="V42" s="328">
        <f>'Résultats détaillés GES'!AW131/Tableau145[[#This Row],[2037]]</f>
        <v>0.12469666826266165</v>
      </c>
      <c r="W42" s="328">
        <f>'Résultats détaillés GES'!AX131/Tableau145[[#This Row],[2038]]</f>
        <v>0.12172308788477669</v>
      </c>
      <c r="X42" s="328">
        <f>'Résultats détaillés GES'!AY131/Tableau145[[#This Row],[2039]]</f>
        <v>0.11911972673854541</v>
      </c>
      <c r="Y42" s="328">
        <f>'Résultats détaillés GES'!AZ131/Tableau145[[#This Row],[2040]]</f>
        <v>0.11650479509833089</v>
      </c>
      <c r="Z42" s="328">
        <f>'Résultats détaillés GES'!BA131/Tableau145[[#This Row],[2041]]</f>
        <v>0.11395674712179638</v>
      </c>
      <c r="AA42" s="328">
        <f>'Résultats détaillés GES'!BB131/Tableau145[[#This Row],[2042]]</f>
        <v>0.11141676258822555</v>
      </c>
      <c r="AB42" s="328">
        <f>'Résultats détaillés GES'!BC131/Tableau145[[#This Row],[2043]]</f>
        <v>0.10888480328224896</v>
      </c>
      <c r="AC42" s="328">
        <f>'Résultats détaillés GES'!BD131/Tableau145[[#This Row],[2044]]</f>
        <v>0.10636083122960352</v>
      </c>
      <c r="AD42" s="328">
        <f>'Résultats détaillés GES'!BE131/Tableau145[[#This Row],[2045]]</f>
        <v>0.10384480869523413</v>
      </c>
      <c r="AE42" s="328">
        <f>'Résultats détaillés GES'!BF131/Tableau145[[#This Row],[2046]]</f>
        <v>0.10186290456434045</v>
      </c>
      <c r="AF42" s="328">
        <f>'Résultats détaillés GES'!BG131/Tableau145[[#This Row],[2047]]</f>
        <v>9.9887223052382054E-2</v>
      </c>
      <c r="AG42" s="328">
        <f>'Résultats détaillés GES'!BH131/Tableau145[[#This Row],[2048]]</f>
        <v>9.7917734899395314E-2</v>
      </c>
      <c r="AH42" s="328">
        <f>'Résultats détaillés GES'!BI131/Tableau145[[#This Row],[2049]]</f>
        <v>9.595441102857756E-2</v>
      </c>
      <c r="AI42" s="328">
        <f>'Résultats détaillés GES'!BJ131/Tableau145[[#This Row],[2050]]</f>
        <v>9.399722254485611E-2</v>
      </c>
      <c r="AJ42" s="327" t="s">
        <v>390</v>
      </c>
    </row>
    <row r="43" spans="1:36" s="327" customFormat="1">
      <c r="A43" s="327" t="s">
        <v>243</v>
      </c>
      <c r="B43" s="327" t="s">
        <v>485</v>
      </c>
      <c r="C43" s="327" t="s">
        <v>671</v>
      </c>
      <c r="D43" s="328">
        <f>'Résultats détaillés GES'!AE130/'Données d''activité'!D2</f>
        <v>3.043097974787928E-2</v>
      </c>
      <c r="E43" s="328">
        <f>'Résultats détaillés GES'!AF130/'Données d''activité'!E2</f>
        <v>3.0381678697795348E-2</v>
      </c>
      <c r="F43" s="328">
        <f>'Résultats détaillés GES'!AG130/'Données d''activité'!F2</f>
        <v>3.0816951101235616E-2</v>
      </c>
      <c r="G43" s="328">
        <f>'Résultats détaillés GES'!AH130/'Données d''activité'!G2</f>
        <v>3.0192908854404343E-2</v>
      </c>
      <c r="H43" s="328">
        <f>'Résultats détaillés GES'!AI130/'Données d''activité'!H2</f>
        <v>3.0020579992435285E-2</v>
      </c>
      <c r="I43" s="328">
        <f>'Résultats détaillés GES'!AJ130/'Données d''activité'!I2</f>
        <v>2.9833537748011386E-2</v>
      </c>
      <c r="J43" s="328">
        <f>'Résultats détaillés GES'!AK130/'Données d''activité'!J2</f>
        <v>2.9745792048752526E-2</v>
      </c>
      <c r="K43" s="328">
        <f>'Résultats détaillés GES'!AL130/'Données d''activité'!K2</f>
        <v>2.9640707398562102E-2</v>
      </c>
      <c r="L43" s="328">
        <f>'Résultats détaillés GES'!AM130/'Données d''activité'!L2</f>
        <v>2.952626342378746E-2</v>
      </c>
      <c r="M43" s="328">
        <f>'Résultats détaillés GES'!AN130/'Données d''activité'!M2</f>
        <v>2.9412154570461653E-2</v>
      </c>
      <c r="N43" s="328">
        <f>'Résultats détaillés GES'!AO130/'Données d''activité'!N2</f>
        <v>2.9287185730183313E-2</v>
      </c>
      <c r="O43" s="328">
        <f>'Résultats détaillés GES'!AP130/'Données d''activité'!O2</f>
        <v>2.9120070710299518E-2</v>
      </c>
      <c r="P43" s="328">
        <f>'Résultats détaillés GES'!AQ130/'Données d''activité'!P2</f>
        <v>2.9010543865332916E-2</v>
      </c>
      <c r="Q43" s="328">
        <f>'Résultats détaillés GES'!AR130/'Données d''activité'!Q2</f>
        <v>2.8943404313976656E-2</v>
      </c>
      <c r="R43" s="328">
        <f>'Résultats détaillés GES'!AS130/'Données d''activité'!R2</f>
        <v>2.8834293447558449E-2</v>
      </c>
      <c r="S43" s="328">
        <f>'Résultats détaillés GES'!AT130/'Données d''activité'!S2</f>
        <v>2.8765562559760254E-2</v>
      </c>
      <c r="T43" s="328">
        <f>'Résultats détaillés GES'!AU130/'Données d''activité'!T2</f>
        <v>2.8697030891926698E-2</v>
      </c>
      <c r="U43" s="328">
        <f>'Résultats détaillés GES'!AV130/'Données d''activité'!U2</f>
        <v>2.8714456860493027E-2</v>
      </c>
      <c r="V43" s="328">
        <f>'Résultats détaillés GES'!AW130/'Données d''activité'!V2</f>
        <v>2.8690302680247411E-2</v>
      </c>
      <c r="W43" s="328">
        <f>'Résultats détaillés GES'!AX130/'Données d''activité'!W2</f>
        <v>2.8666218309771282E-2</v>
      </c>
      <c r="X43" s="328">
        <f>'Résultats détaillés GES'!AY130/'Données d''activité'!X2</f>
        <v>2.8661834723036891E-2</v>
      </c>
      <c r="Y43" s="328">
        <f>'Résultats détaillés GES'!AZ130/'Données d''activité'!Y2</f>
        <v>2.8657451136302504E-2</v>
      </c>
      <c r="Z43" s="328">
        <f>'Résultats détaillés GES'!BA130/'Données d''activité'!Z2</f>
        <v>2.8520417331998858E-2</v>
      </c>
      <c r="AA43" s="328">
        <f>'Résultats détaillés GES'!BB130/'Données d''activité'!AA2</f>
        <v>2.8424736271037636E-2</v>
      </c>
      <c r="AB43" s="328">
        <f>'Résultats détaillés GES'!BC130/'Données d''activité'!AB2</f>
        <v>2.8329055210076417E-2</v>
      </c>
      <c r="AC43" s="328">
        <f>'Résultats détaillés GES'!BD130/'Données d''activité'!AC2</f>
        <v>2.8233374149115194E-2</v>
      </c>
      <c r="AD43" s="328">
        <f>'Résultats détaillés GES'!BE130/'Données d''activité'!AD2</f>
        <v>2.8137693088153976E-2</v>
      </c>
      <c r="AE43" s="328">
        <f>'Résultats détaillés GES'!BF130/'Données d''activité'!AE2</f>
        <v>2.791038198168749E-2</v>
      </c>
      <c r="AF43" s="328">
        <f>'Résultats détaillés GES'!BG130/'Données d''activité'!AF2</f>
        <v>2.7683070875221004E-2</v>
      </c>
      <c r="AG43" s="328">
        <f>'Résultats détaillés GES'!BH130/'Données d''activité'!AG2</f>
        <v>2.7455759768754522E-2</v>
      </c>
      <c r="AH43" s="328">
        <f>'Résultats détaillés GES'!BI130/'Données d''activité'!AH2</f>
        <v>2.7267796131453189E-2</v>
      </c>
      <c r="AI43" s="328">
        <f>'Résultats détaillés GES'!BJ130/'Données d''activité'!AI2</f>
        <v>2.7040156540728805E-2</v>
      </c>
    </row>
    <row r="44" spans="1:36" s="327" customFormat="1">
      <c r="A44" s="327" t="s">
        <v>439</v>
      </c>
      <c r="B44" s="327" t="s">
        <v>440</v>
      </c>
      <c r="C44" s="327" t="s">
        <v>672</v>
      </c>
      <c r="D44" s="328">
        <f>'Résultats détaillés GES'!AE25/'Données d''activité'!D43*1000</f>
        <v>34.910884938360454</v>
      </c>
      <c r="E44" s="328">
        <f>'Résultats détaillés GES'!AF25/'Données d''activité'!E43*1000</f>
        <v>33.457202181652832</v>
      </c>
      <c r="F44" s="328">
        <f>'Résultats détaillés GES'!AG25/'Données d''activité'!F43*1000</f>
        <v>35.948965353930753</v>
      </c>
      <c r="G44" s="328">
        <f>'Résultats détaillés GES'!AH25/'Données d''activité'!G43*1000</f>
        <v>46.5871031362012</v>
      </c>
      <c r="H44" s="328">
        <f>'Résultats détaillés GES'!AI25/'Données d''activité'!H43*1000</f>
        <v>26.881081815599355</v>
      </c>
      <c r="I44" s="328">
        <f>'Résultats détaillés GES'!AJ25/'Données d''activité'!I43*1000</f>
        <v>17.181917413199301</v>
      </c>
      <c r="J44" s="328">
        <f>'Résultats détaillés GES'!AK25/'Données d''activité'!J43*1000</f>
        <v>17.598880885347004</v>
      </c>
      <c r="K44" s="328">
        <f>'Résultats détaillés GES'!AL25/'Données d''activité'!K43*1000</f>
        <v>16.312646214618933</v>
      </c>
      <c r="L44" s="328">
        <f>'Résultats détaillés GES'!AM25/'Données d''activité'!L43*1000</f>
        <v>14.304602643187149</v>
      </c>
      <c r="M44" s="328">
        <f>'Résultats détaillés GES'!AN25/'Données d''activité'!M43*1000</f>
        <v>12.383250874381526</v>
      </c>
      <c r="N44" s="328">
        <f>'Résultats détaillés GES'!AO25/'Données d''activité'!N43*1000</f>
        <v>10.655072236490039</v>
      </c>
      <c r="O44" s="328">
        <f>'Résultats détaillés GES'!AP25/'Données d''activité'!O43*1000</f>
        <v>8.9931512504334723</v>
      </c>
      <c r="P44" s="328">
        <f>'Résultats détaillés GES'!AQ25/'Données d''activité'!P43*1000</f>
        <v>8.598395964441039</v>
      </c>
      <c r="Q44" s="328">
        <f>'Résultats détaillés GES'!AR25/'Données d''activité'!Q43*1000</f>
        <v>8.2202415831802096</v>
      </c>
      <c r="R44" s="328">
        <f>'Résultats détaillés GES'!AS25/'Données d''activité'!R43*1000</f>
        <v>7.8576624791322072</v>
      </c>
      <c r="S44" s="328">
        <f>'Résultats détaillés GES'!AT25/'Données d''activité'!S43*1000</f>
        <v>7.5139749449966358</v>
      </c>
      <c r="T44" s="328">
        <f>'Résultats détaillés GES'!AU25/'Données d''activité'!T43*1000</f>
        <v>7.183883106546034</v>
      </c>
      <c r="U44" s="328">
        <f>'Résultats détaillés GES'!AV25/'Données d''activité'!U43*1000</f>
        <v>6.011086968123303</v>
      </c>
      <c r="V44" s="328">
        <f>'Résultats détaillés GES'!AW25/'Données d''activité'!V43*1000</f>
        <v>4.915176975544413</v>
      </c>
      <c r="W44" s="328">
        <f>'Résultats détaillés GES'!AX25/'Données d''activité'!W43*1000</f>
        <v>3.8888323460514838</v>
      </c>
      <c r="X44" s="328">
        <f>'Résultats détaillés GES'!AY25/'Données d''activité'!X43*1000</f>
        <v>3.1158998400487405</v>
      </c>
      <c r="Y44" s="328">
        <f>'Résultats détaillés GES'!AZ25/'Données d''activité'!Y43*1000</f>
        <v>2.3891024412017803</v>
      </c>
      <c r="Z44" s="328">
        <f>'Résultats détaillés GES'!BA25/'Données d''activité'!Z43*1000</f>
        <v>2.1396191329555161</v>
      </c>
      <c r="AA44" s="328">
        <f>'Résultats détaillés GES'!BB25/'Données d''activité'!AA43*1000</f>
        <v>1.891073021559369</v>
      </c>
      <c r="AB44" s="328">
        <f>'Résultats détaillés GES'!BC25/'Données d''activité'!AB43*1000</f>
        <v>1.6434588359717157</v>
      </c>
      <c r="AC44" s="328">
        <f>'Résultats détaillés GES'!BD25/'Données d''activité'!AC43*1000</f>
        <v>-746.43909777640317</v>
      </c>
      <c r="AD44" s="328">
        <f>'Résultats détaillés GES'!BE25/'Données d''activité'!AD43*1000</f>
        <v>-1.1510053549552839</v>
      </c>
      <c r="AE44" s="328">
        <f>'Résultats détaillés GES'!BF25/'Données d''activité'!AE43*1000</f>
        <v>-1.5728977352025646</v>
      </c>
      <c r="AF44" s="328">
        <f>'Résultats détaillés GES'!BG25/'Données d''activité'!AF43*1000</f>
        <v>-3.7484445122181094</v>
      </c>
      <c r="AG44" s="328">
        <f>'Résultats détaillés GES'!BH25/'Données d''activité'!AG43*1000</f>
        <v>2.4621709010181259</v>
      </c>
      <c r="AH44" s="328">
        <f>'Résultats détaillés GES'!BI25/'Données d''activité'!AH43*1000</f>
        <v>0.49469376397260073</v>
      </c>
      <c r="AI44" s="328">
        <f>'Résultats détaillés GES'!BJ25/'Données d''activité'!AI43*1000</f>
        <v>8.9424260938885197E-2</v>
      </c>
      <c r="AJ44" s="327" t="s">
        <v>390</v>
      </c>
    </row>
    <row r="45" spans="1:36" s="327" customFormat="1">
      <c r="A45" s="327" t="s">
        <v>439</v>
      </c>
      <c r="B45" s="327" t="s">
        <v>442</v>
      </c>
      <c r="C45" s="327" t="s">
        <v>672</v>
      </c>
      <c r="D45" s="328">
        <f>'Résultats détaillés GES'!AE26/'Données d''activité'!D44*1000</f>
        <v>119.85921416825713</v>
      </c>
      <c r="E45" s="328">
        <f>'Résultats détaillés GES'!AF26/'Données d''activité'!E44*1000</f>
        <v>110.52339354186763</v>
      </c>
      <c r="F45" s="328">
        <f>'Résultats détaillés GES'!AG26/'Données d''activité'!F44*1000</f>
        <v>112.78991825566938</v>
      </c>
      <c r="G45" s="328">
        <f>'Résultats détaillés GES'!AH26/'Données d''activité'!G44*1000</f>
        <v>103.37040908250125</v>
      </c>
      <c r="H45" s="328">
        <f>'Résultats détaillés GES'!AI26/'Données d''activité'!H44*1000</f>
        <v>106.94384189491849</v>
      </c>
      <c r="I45" s="328">
        <f>'Résultats détaillés GES'!AJ26/'Données d''activité'!I44*1000</f>
        <v>95.27634450121711</v>
      </c>
      <c r="J45" s="328">
        <f>'Résultats détaillés GES'!AK26/'Données d''activité'!J44*1000</f>
        <v>77.455299208028777</v>
      </c>
      <c r="K45" s="328">
        <f>'Résultats détaillés GES'!AL26/'Données d''activité'!K44*1000</f>
        <v>71.571334206195957</v>
      </c>
      <c r="L45" s="328">
        <f>'Résultats détaillés GES'!AM26/'Données d''activité'!L44*1000</f>
        <v>73.20653966903096</v>
      </c>
      <c r="M45" s="328">
        <f>'Résultats détaillés GES'!AN26/'Données d''activité'!M44*1000</f>
        <v>74.707113910213266</v>
      </c>
      <c r="N45" s="328">
        <f>'Résultats détaillés GES'!AO26/'Données d''activité'!N44*1000</f>
        <v>71.503325045226276</v>
      </c>
      <c r="O45" s="328">
        <f>'Résultats détaillés GES'!AP26/'Données d''activité'!O44*1000</f>
        <v>68.778396249913271</v>
      </c>
      <c r="P45" s="328">
        <f>'Résultats détaillés GES'!AQ26/'Données d''activité'!P44*1000</f>
        <v>65.851181190536821</v>
      </c>
      <c r="Q45" s="328">
        <f>'Résultats détaillés GES'!AR26/'Données d''activité'!Q44*1000</f>
        <v>63.13154680348029</v>
      </c>
      <c r="R45" s="328">
        <f>'Résultats détaillés GES'!AS26/'Données d''activité'!R44*1000</f>
        <v>60.598168612259308</v>
      </c>
      <c r="S45" s="328">
        <f>'Résultats détaillés GES'!AT26/'Données d''activité'!S44*1000</f>
        <v>57.970995536997656</v>
      </c>
      <c r="T45" s="328">
        <f>'Résultats détaillés GES'!AU26/'Données d''activité'!T44*1000</f>
        <v>55.513746432481497</v>
      </c>
      <c r="U45" s="328">
        <f>'Résultats détaillés GES'!AV26/'Données d''activité'!U44*1000</f>
        <v>51.426973036981948</v>
      </c>
      <c r="V45" s="328">
        <f>'Résultats détaillés GES'!AW26/'Données d''activité'!V44*1000</f>
        <v>47.386553857801808</v>
      </c>
      <c r="W45" s="328">
        <f>'Résultats détaillés GES'!AX26/'Données d''activité'!W44*1000</f>
        <v>43.391704683536823</v>
      </c>
      <c r="X45" s="328">
        <f>'Résultats détaillés GES'!AY26/'Données d''activité'!X44*1000</f>
        <v>39.819147016535545</v>
      </c>
      <c r="Y45" s="328">
        <f>'Résultats détaillés GES'!AZ26/'Données d''activité'!Y44*1000</f>
        <v>36.28049801822322</v>
      </c>
      <c r="Z45" s="328">
        <f>'Résultats détaillés GES'!BA26/'Données d''activité'!Z44*1000</f>
        <v>33.659980876125267</v>
      </c>
      <c r="AA45" s="328">
        <f>'Résultats détaillés GES'!BB26/'Données d''activité'!AA44*1000</f>
        <v>30.992322226220757</v>
      </c>
      <c r="AB45" s="328">
        <f>'Résultats détaillés GES'!BC26/'Données d''activité'!AB44*1000</f>
        <v>28.276238452239198</v>
      </c>
      <c r="AC45" s="328">
        <f>'Résultats détaillés GES'!BD26/'Données d''activité'!AC44*1000</f>
        <v>25.254782377625716</v>
      </c>
      <c r="AD45" s="328">
        <f>'Résultats détaillés GES'!BE26/'Données d''activité'!AD44*1000</f>
        <v>22.239076104824175</v>
      </c>
      <c r="AE45" s="328">
        <f>'Résultats détaillés GES'!BF26/'Données d''activité'!AE44*1000</f>
        <v>18.386957003693599</v>
      </c>
      <c r="AF45" s="328">
        <f>'Résultats détaillés GES'!BG26/'Données d''activité'!AF44*1000</f>
        <v>14.483297544286359</v>
      </c>
      <c r="AG45" s="328">
        <f>'Résultats détaillés GES'!BH26/'Données d''activité'!AG44*1000</f>
        <v>10.527056365012543</v>
      </c>
      <c r="AH45" s="328">
        <f>'Résultats détaillés GES'!BI26/'Données d''activité'!AH44*1000</f>
        <v>6.5171638600841657</v>
      </c>
      <c r="AI45" s="328">
        <f>'Résultats détaillés GES'!BJ26/'Données d''activité'!AI44*1000</f>
        <v>2.4525212154158527</v>
      </c>
      <c r="AJ45" s="327" t="s">
        <v>390</v>
      </c>
    </row>
    <row r="46" spans="1:36" s="327" customFormat="1">
      <c r="A46" s="327" t="s">
        <v>439</v>
      </c>
      <c r="B46" s="327" t="s">
        <v>443</v>
      </c>
      <c r="C46" s="327" t="s">
        <v>672</v>
      </c>
      <c r="D46" s="328">
        <f>'Résultats détaillés GES'!AE27/'Données d''activité'!D45*1000</f>
        <v>14.577469905883387</v>
      </c>
      <c r="E46" s="328">
        <f>'Résultats détaillés GES'!AF27/'Données d''activité'!E45*1000</f>
        <v>16.406876374883467</v>
      </c>
      <c r="F46" s="328">
        <f>'Résultats détaillés GES'!AG27/'Données d''activité'!F45*1000</f>
        <v>15.187641078394069</v>
      </c>
      <c r="G46" s="328">
        <f>'Résultats détaillés GES'!AH27/'Données d''activité'!G45*1000</f>
        <v>13.478113492871636</v>
      </c>
      <c r="H46" s="328">
        <f>'Résultats détaillés GES'!AI27/'Données d''activité'!H45*1000</f>
        <v>12.851436893288851</v>
      </c>
      <c r="I46" s="328">
        <f>'Résultats détaillés GES'!AJ27/'Données d''activité'!I45*1000</f>
        <v>12.524882108670957</v>
      </c>
      <c r="J46" s="328">
        <f>'Résultats détaillés GES'!AK27/'Données d''activité'!J45*1000</f>
        <v>13.96335514086079</v>
      </c>
      <c r="K46" s="328">
        <f>'Résultats détaillés GES'!AL27/'Données d''activité'!K45*1000</f>
        <v>13.820090507439202</v>
      </c>
      <c r="L46" s="328">
        <f>'Résultats détaillés GES'!AM27/'Données d''activité'!L45*1000</f>
        <v>13.000037352999772</v>
      </c>
      <c r="M46" s="328">
        <f>'Résultats détaillés GES'!AN27/'Données d''activité'!M45*1000</f>
        <v>12.123970105283423</v>
      </c>
      <c r="N46" s="328">
        <f>'Résultats détaillés GES'!AO27/'Données d''activité'!N45*1000</f>
        <v>11.891444726731718</v>
      </c>
      <c r="O46" s="328">
        <f>'Résultats détaillés GES'!AP27/'Données d''activité'!O45*1000</f>
        <v>11.641872185403241</v>
      </c>
      <c r="P46" s="328">
        <f>'Résultats détaillés GES'!AQ27/'Données d''activité'!P45*1000</f>
        <v>11.58063871979979</v>
      </c>
      <c r="Q46" s="328">
        <f>'Résultats détaillés GES'!AR27/'Données d''activité'!Q45*1000</f>
        <v>11.51456581519575</v>
      </c>
      <c r="R46" s="328">
        <f>'Résultats détaillés GES'!AS27/'Données d''activité'!R45*1000</f>
        <v>11.443056157917225</v>
      </c>
      <c r="S46" s="328">
        <f>'Résultats détaillés GES'!AT27/'Données d''activité'!S45*1000</f>
        <v>11.37387662912028</v>
      </c>
      <c r="T46" s="328">
        <f>'Résultats détaillés GES'!AU27/'Données d''activité'!T45*1000</f>
        <v>11.298494332234695</v>
      </c>
      <c r="U46" s="328">
        <f>'Résultats détaillés GES'!AV27/'Données d''activité'!U45*1000</f>
        <v>11.275433892300882</v>
      </c>
      <c r="V46" s="328">
        <f>'Résultats détaillés GES'!AW27/'Données d''activité'!V45*1000</f>
        <v>11.250098903965338</v>
      </c>
      <c r="W46" s="328">
        <f>'Résultats détaillés GES'!AX27/'Données d''activité'!W45*1000</f>
        <v>11.222135387527221</v>
      </c>
      <c r="X46" s="328">
        <f>'Résultats détaillés GES'!AY27/'Données d''activité'!X45*1000</f>
        <v>11.196551986578784</v>
      </c>
      <c r="Y46" s="328">
        <f>'Résultats détaillés GES'!AZ27/'Données d''activité'!Y45*1000</f>
        <v>11.168007019289206</v>
      </c>
      <c r="Z46" s="328">
        <f>'Résultats détaillés GES'!BA27/'Données d''activité'!Z45*1000</f>
        <v>11.159369609685198</v>
      </c>
      <c r="AA46" s="328">
        <f>'Résultats détaillés GES'!BB27/'Données d''activité'!AA45*1000</f>
        <v>11.149606158164296</v>
      </c>
      <c r="AB46" s="328">
        <f>'Résultats détaillés GES'!BC27/'Données d''activité'!AB45*1000</f>
        <v>11.138481110595853</v>
      </c>
      <c r="AC46" s="328">
        <f>'Résultats détaillés GES'!BD27/'Données d''activité'!AC45*1000</f>
        <v>11.125688288207765</v>
      </c>
      <c r="AD46" s="328">
        <f>'Résultats détaillés GES'!BE27/'Données d''activité'!AD45*1000</f>
        <v>11.110822274194831</v>
      </c>
      <c r="AE46" s="328">
        <f>'Résultats détaillés GES'!BF27/'Données d''activité'!AE45*1000</f>
        <v>11.094060843745455</v>
      </c>
      <c r="AF46" s="328">
        <f>'Résultats détaillés GES'!BG27/'Données d''activité'!AF45*1000</f>
        <v>11.074058514389794</v>
      </c>
      <c r="AG46" s="328">
        <f>'Résultats détaillés GES'!BH27/'Données d''activité'!AG45*1000</f>
        <v>11.049774723525919</v>
      </c>
      <c r="AH46" s="328">
        <f>'Résultats détaillés GES'!BI27/'Données d''activité'!AH45*1000</f>
        <v>11.01967005860836</v>
      </c>
      <c r="AI46" s="328">
        <f>'Résultats détaillés GES'!BJ27/'Données d''activité'!AI45*1000</f>
        <v>10.981366611962411</v>
      </c>
      <c r="AJ46" s="327" t="s">
        <v>390</v>
      </c>
    </row>
    <row r="47" spans="1:36" s="327" customFormat="1">
      <c r="A47" s="327" t="s">
        <v>439</v>
      </c>
      <c r="B47" s="327" t="s">
        <v>444</v>
      </c>
      <c r="C47" s="327" t="s">
        <v>672</v>
      </c>
      <c r="D47" s="328">
        <f>'Résultats détaillés GES'!AE28/'Données d''activité'!D46*1000</f>
        <v>59.316969645322523</v>
      </c>
      <c r="E47" s="328">
        <f>'Résultats détaillés GES'!AF28/'Données d''activité'!E46*1000</f>
        <v>56.448333217423659</v>
      </c>
      <c r="F47" s="328">
        <f>'Résultats détaillés GES'!AG28/'Données d''activité'!F46*1000</f>
        <v>46.100257148942731</v>
      </c>
      <c r="G47" s="328">
        <f>'Résultats détaillés GES'!AH28/'Données d''activité'!G46*1000</f>
        <v>52.487720019369291</v>
      </c>
      <c r="H47" s="328">
        <f>'Résultats détaillés GES'!AI28/'Données d''activité'!H46*1000</f>
        <v>57.803404990642882</v>
      </c>
      <c r="I47" s="328">
        <f>'Résultats détaillés GES'!AJ28/'Données d''activité'!I46*1000</f>
        <v>49.391674752755634</v>
      </c>
      <c r="J47" s="328">
        <f>'Résultats détaillés GES'!AK28/'Données d''activité'!J46*1000</f>
        <v>56.025134093975282</v>
      </c>
      <c r="K47" s="328">
        <f>'Résultats détaillés GES'!AL28/'Données d''activité'!K46*1000</f>
        <v>56.101915332016958</v>
      </c>
      <c r="L47" s="328">
        <f>'Résultats détaillés GES'!AM28/'Données d''activité'!L46*1000</f>
        <v>54.321680328778776</v>
      </c>
      <c r="M47" s="328">
        <f>'Résultats détaillés GES'!AN28/'Données d''activité'!M46*1000</f>
        <v>52.286666757385447</v>
      </c>
      <c r="N47" s="328">
        <f>'Résultats détaillés GES'!AO28/'Données d''activité'!N46*1000</f>
        <v>52.291943934139667</v>
      </c>
      <c r="O47" s="328">
        <f>'Résultats détaillés GES'!AP28/'Données d''activité'!O46*1000</f>
        <v>52.298826123680257</v>
      </c>
      <c r="P47" s="328">
        <f>'Résultats détaillés GES'!AQ28/'Données d''activité'!P46*1000</f>
        <v>52.302366957148955</v>
      </c>
      <c r="Q47" s="328">
        <f>'Résultats détaillés GES'!AR28/'Données d''activité'!Q46*1000</f>
        <v>52.306423761271013</v>
      </c>
      <c r="R47" s="328">
        <f>'Résultats détaillés GES'!AS28/'Données d''activité'!R46*1000</f>
        <v>52.311118179983509</v>
      </c>
      <c r="S47" s="328">
        <f>'Résultats détaillés GES'!AT28/'Données d''activité'!S46*1000</f>
        <v>52.316282708164742</v>
      </c>
      <c r="T47" s="328">
        <f>'Résultats détaillés GES'!AU28/'Données d''activité'!T46*1000</f>
        <v>52.322347324403637</v>
      </c>
      <c r="U47" s="328">
        <f>'Résultats détaillés GES'!AV28/'Données d''activité'!U46*1000</f>
        <v>52.327380774571587</v>
      </c>
      <c r="V47" s="328">
        <f>'Résultats détaillés GES'!AW28/'Données d''activité'!V46*1000</f>
        <v>52.333131680276736</v>
      </c>
      <c r="W47" s="328">
        <f>'Résultats détaillés GES'!AX28/'Données d''activité'!W46*1000</f>
        <v>52.339765209331325</v>
      </c>
      <c r="X47" s="328">
        <f>'Résultats détaillés GES'!AY28/'Données d''activité'!X46*1000</f>
        <v>52.347018653248881</v>
      </c>
      <c r="Y47" s="328">
        <f>'Résultats détaillés GES'!AZ28/'Données d''activité'!Y46*1000</f>
        <v>52.355498148665177</v>
      </c>
      <c r="Z47" s="328">
        <f>'Résultats détaillés GES'!BA28/'Données d''activité'!Z46*1000</f>
        <v>52.771820900569679</v>
      </c>
      <c r="AA47" s="328">
        <f>'Résultats détaillés GES'!BB28/'Données d''activité'!AA46*1000</f>
        <v>53.479609416737887</v>
      </c>
      <c r="AB47" s="328">
        <f>'Résultats détaillés GES'!BC28/'Données d''activité'!AB46*1000</f>
        <v>54.949792035003739</v>
      </c>
      <c r="AC47" s="328">
        <f>'Résultats détaillés GES'!BD28/'Données d''activité'!AC46*1000</f>
        <v>55.234410546827654</v>
      </c>
      <c r="AD47" s="328">
        <f>IFERROR('Résultats détaillés GES'!BE28/'Données d''activité'!AD46*1000,0)</f>
        <v>0</v>
      </c>
      <c r="AE47" s="328" t="e">
        <f>'Résultats détaillés GES'!BF28/'Données d''activité'!AE46*1000</f>
        <v>#DIV/0!</v>
      </c>
      <c r="AF47" s="328" t="e">
        <f>'Résultats détaillés GES'!BG28/'Données d''activité'!AF46*1000</f>
        <v>#DIV/0!</v>
      </c>
      <c r="AG47" s="328" t="e">
        <f>'Résultats détaillés GES'!BH28/'Données d''activité'!AG46*1000</f>
        <v>#DIV/0!</v>
      </c>
      <c r="AH47" s="328" t="e">
        <f>'Résultats détaillés GES'!BI28/'Données d''activité'!AH46*1000</f>
        <v>#DIV/0!</v>
      </c>
      <c r="AI47" s="328">
        <f>IFERROR('Résultats détaillés GES'!BJ28/'Données d''activité'!AI46*1000,0)</f>
        <v>0</v>
      </c>
      <c r="AJ47" s="327" t="s">
        <v>390</v>
      </c>
    </row>
    <row r="48" spans="1:36" s="327" customFormat="1">
      <c r="A48" s="327" t="s">
        <v>439</v>
      </c>
      <c r="B48" s="327" t="s">
        <v>445</v>
      </c>
      <c r="C48" s="327" t="s">
        <v>672</v>
      </c>
      <c r="D48" s="328">
        <f>'Résultats détaillés GES'!AE31/'Données d''activité'!D47*1000</f>
        <v>318.29350581260184</v>
      </c>
      <c r="E48" s="328">
        <f>'Résultats détaillés GES'!AF31/'Données d''activité'!E47*1000</f>
        <v>323.36772419417002</v>
      </c>
      <c r="F48" s="328">
        <f>'Résultats détaillés GES'!AG31/'Données d''activité'!F47*1000</f>
        <v>333.65368612255691</v>
      </c>
      <c r="G48" s="328">
        <f>'Résultats détaillés GES'!AH31/'Données d''activité'!G47*1000</f>
        <v>310.5167035712027</v>
      </c>
      <c r="H48" s="328">
        <f>'Résultats détaillés GES'!AI31/'Données d''activité'!H47*1000</f>
        <v>334.33079303151669</v>
      </c>
      <c r="I48" s="328">
        <f>'Résultats détaillés GES'!AJ31/'Données d''activité'!I47*1000</f>
        <v>312.5615467796394</v>
      </c>
      <c r="J48" s="328">
        <f>'Résultats détaillés GES'!AK31/'Données d''activité'!J47*1000</f>
        <v>240.60598353451249</v>
      </c>
      <c r="K48" s="328">
        <f>'Résultats détaillés GES'!AL31/'Données d''activité'!K47*1000</f>
        <v>243.01136482675599</v>
      </c>
      <c r="L48" s="328">
        <f>'Résultats détaillés GES'!AM31/'Données d''activité'!L47*1000</f>
        <v>255.88394268811894</v>
      </c>
      <c r="M48" s="328">
        <f>'Résultats détaillés GES'!AN31/'Données d''activité'!M47*1000</f>
        <v>269.86327321688606</v>
      </c>
      <c r="N48" s="328">
        <f>'Résultats détaillés GES'!AO31/'Données d''activité'!N47*1000</f>
        <v>271.11982356101373</v>
      </c>
      <c r="O48" s="328">
        <f>'Résultats détaillés GES'!AP31/'Données d''activité'!O47*1000</f>
        <v>272.48206714566572</v>
      </c>
      <c r="P48" s="328">
        <f>'Résultats détaillés GES'!AQ31/'Données d''activité'!P47*1000</f>
        <v>274.68544974275375</v>
      </c>
      <c r="Q48" s="328">
        <f>'Résultats détaillés GES'!AR31/'Données d''activité'!Q47*1000</f>
        <v>277.14608283523552</v>
      </c>
      <c r="R48" s="328">
        <f>'Résultats détaillés GES'!AS31/'Données d''activité'!R47*1000</f>
        <v>279.91181140416359</v>
      </c>
      <c r="S48" s="328">
        <f>'Résultats détaillés GES'!AT31/'Données d''activité'!S47*1000</f>
        <v>282.46086645497928</v>
      </c>
      <c r="T48" s="328">
        <f>'Résultats détaillés GES'!AU31/'Données d''activité'!T47*1000</f>
        <v>285.30422456410656</v>
      </c>
      <c r="U48" s="328">
        <f>'Résultats détaillés GES'!AV31/'Données d''activité'!U47*1000</f>
        <v>290.2535721130148</v>
      </c>
      <c r="V48" s="328">
        <f>'Résultats détaillés GES'!AW31/'Données d''activité'!V47*1000</f>
        <v>296.23238922987355</v>
      </c>
      <c r="W48" s="328">
        <f>'Résultats détaillés GES'!AX31/'Données d''activité'!W47*1000</f>
        <v>303.59915397607654</v>
      </c>
      <c r="X48" s="328">
        <f>'Résultats détaillés GES'!AY31/'Données d''activité'!X47*1000</f>
        <v>306.96909983910137</v>
      </c>
      <c r="Y48" s="328">
        <f>'Résultats détaillés GES'!AZ31/'Données d''activité'!Y47*1000</f>
        <v>311.22769491097171</v>
      </c>
      <c r="Z48" s="328">
        <f>'Résultats détaillés GES'!BA31/'Données d''activité'!Z47*1000</f>
        <v>322.04528775991071</v>
      </c>
      <c r="AA48" s="328">
        <f>'Résultats détaillés GES'!BB31/'Données d''activité'!AA47*1000</f>
        <v>335.36368501486186</v>
      </c>
      <c r="AB48" s="328">
        <f>'Résultats détaillés GES'!BC31/'Données d''activité'!AB47*1000</f>
        <v>352.16342886034664</v>
      </c>
      <c r="AC48" s="328">
        <f>'Résultats détaillés GES'!BD31/'Données d''activité'!AC47*1000</f>
        <v>366.82794486956118</v>
      </c>
      <c r="AD48" s="328">
        <f>'Résultats détaillés GES'!BE31/'Données d''activité'!AD47*1000</f>
        <v>385.80699657449077</v>
      </c>
      <c r="AE48" s="328">
        <f>'Résultats détaillés GES'!BF31/'Données d''activité'!AE47*1000</f>
        <v>432.94720801381169</v>
      </c>
      <c r="AF48" s="328">
        <f>'Résultats détaillés GES'!BG31/'Données d''activité'!AF47*1000</f>
        <v>511.51422707934671</v>
      </c>
      <c r="AG48" s="328">
        <f>'Résultats détaillés GES'!BH31/'Données d''activité'!AG47*1000</f>
        <v>668.64826521041653</v>
      </c>
      <c r="AH48" s="328">
        <f>'Résultats détaillés GES'!BI31/'Données d''activité'!AH47*1000</f>
        <v>1140.0503796036264</v>
      </c>
      <c r="AI48" s="328">
        <f>IFERROR('Résultats détaillés GES'!BJ31/'Données d''activité'!AI47*1000,0)</f>
        <v>0</v>
      </c>
      <c r="AJ48" s="327" t="s">
        <v>390</v>
      </c>
    </row>
    <row r="49" spans="1:36" s="327" customFormat="1">
      <c r="A49" s="327" t="s">
        <v>439</v>
      </c>
      <c r="B49" s="327" t="s">
        <v>446</v>
      </c>
      <c r="C49" s="327" t="s">
        <v>496</v>
      </c>
      <c r="D49" s="328">
        <f>'Résultats détaillés GES'!AE33/'Données d''activité'!D48</f>
        <v>0.49235495129381351</v>
      </c>
      <c r="E49" s="328">
        <f>'Résultats détaillés GES'!AF33/'Données d''activité'!E48</f>
        <v>0.49878518169054004</v>
      </c>
      <c r="F49" s="328">
        <f>'Résultats détaillés GES'!AG33/'Données d''activité'!F48</f>
        <v>0.49884259464868091</v>
      </c>
      <c r="G49" s="328">
        <f>'Résultats détaillés GES'!AH33/'Données d''activité'!G48</f>
        <v>0.50108626978138437</v>
      </c>
      <c r="H49" s="328">
        <f>'Résultats détaillés GES'!AI33/'Données d''activité'!H48</f>
        <v>0.50507387961618411</v>
      </c>
      <c r="I49" s="328">
        <f>'Résultats détaillés GES'!AJ33/'Données d''activité'!I48</f>
        <v>0.50697440738625743</v>
      </c>
      <c r="J49" s="328">
        <f>'Résultats détaillés GES'!AK33/'Données d''activité'!J48</f>
        <v>0.51027717225522329</v>
      </c>
      <c r="K49" s="328">
        <f>'Résultats détaillés GES'!AL33/'Données d''activité'!K48</f>
        <v>0.50805095618081719</v>
      </c>
      <c r="L49" s="328">
        <f>'Résultats détaillés GES'!AM33/'Données d''activité'!L48</f>
        <v>0.50478378868262996</v>
      </c>
      <c r="M49" s="328">
        <f>'Résultats détaillés GES'!AN33/'Données d''activité'!M48</f>
        <v>0.50147320367616122</v>
      </c>
      <c r="N49" s="328">
        <f>'Résultats détaillés GES'!AO33/'Données d''activité'!N48</f>
        <v>0.50113663155032573</v>
      </c>
      <c r="O49" s="328">
        <f>'Résultats détaillés GES'!AP33/'Données d''activité'!O48</f>
        <v>0.50079552646656644</v>
      </c>
      <c r="P49" s="328">
        <f>'Résultats détaillés GES'!AQ33/'Données d''activité'!P48</f>
        <v>0.50176961495177119</v>
      </c>
      <c r="Q49" s="328">
        <f>'Résultats détaillés GES'!AR33/'Données d''activité'!Q48</f>
        <v>0.50279697390101052</v>
      </c>
      <c r="R49" s="328">
        <f>'Résultats détaillés GES'!AS33/'Données d''activité'!R48</f>
        <v>0.50388209600402245</v>
      </c>
      <c r="S49" s="328">
        <f>'Résultats détaillés GES'!AT33/'Données d''activité'!S48</f>
        <v>0.50490047912573688</v>
      </c>
      <c r="T49" s="328">
        <f>'Résultats détaillés GES'!AU33/'Données d''activité'!T48</f>
        <v>0.50597953188023426</v>
      </c>
      <c r="U49" s="328">
        <f>'Résultats détaillés GES'!AV33/'Données d''activité'!U48</f>
        <v>0.50699693694310222</v>
      </c>
      <c r="V49" s="328">
        <f>'Résultats détaillés GES'!AW33/'Données d''activité'!V48</f>
        <v>0.5080787930054278</v>
      </c>
      <c r="W49" s="328">
        <f>'Résultats détaillés GES'!AX33/'Données d''activité'!W48</f>
        <v>0.5092314246979992</v>
      </c>
      <c r="X49" s="328">
        <f>'Résultats détaillés GES'!AY33/'Données d''activité'!X48</f>
        <v>0.51030796589836958</v>
      </c>
      <c r="Y49" s="328">
        <f>'Résultats détaillés GES'!AZ33/'Données d''activité'!Y48</f>
        <v>0.51145986498276597</v>
      </c>
      <c r="Z49" s="328">
        <f>'Résultats détaillés GES'!BA33/'Données d''activité'!Z48</f>
        <v>0.51243690715548351</v>
      </c>
      <c r="AA49" s="328">
        <f>'Résultats détaillés GES'!BB33/'Données d''activité'!AA48</f>
        <v>0.51345465941873114</v>
      </c>
      <c r="AB49" s="328">
        <f>'Résultats détaillés GES'!BC33/'Données d''activité'!AB48</f>
        <v>0.51451572028892534</v>
      </c>
      <c r="AC49" s="328">
        <f>'Résultats détaillés GES'!BD33/'Données d''activité'!AC48</f>
        <v>0.51562291424043238</v>
      </c>
      <c r="AD49" s="328">
        <f>'Résultats détaillés GES'!BE33/'Données d''activité'!AD48</f>
        <v>0.5167793168120064</v>
      </c>
      <c r="AE49" s="328">
        <f>'Résultats détaillés GES'!BF33/'Données d''activité'!AE48</f>
        <v>0.51762990486571758</v>
      </c>
      <c r="AF49" s="328">
        <f>'Résultats détaillés GES'!BG33/'Données d''activité'!AF48</f>
        <v>0.51852005515448529</v>
      </c>
      <c r="AG49" s="328">
        <f>'Résultats détaillés GES'!BH33/'Données d''activité'!AG48</f>
        <v>0.51945259355224171</v>
      </c>
      <c r="AH49" s="328">
        <f>'Résultats détaillés GES'!BI33/'Données d''activité'!AH48</f>
        <v>0.52043062162793774</v>
      </c>
      <c r="AI49" s="328">
        <f>'Résultats détaillés GES'!BJ33/'Données d''activité'!AI48</f>
        <v>0.52145755110741832</v>
      </c>
      <c r="AJ49" s="327" t="s">
        <v>390</v>
      </c>
    </row>
    <row r="50" spans="1:36" s="327" customFormat="1">
      <c r="A50" s="327" t="s">
        <v>439</v>
      </c>
      <c r="B50" s="327" t="s">
        <v>497</v>
      </c>
      <c r="C50" s="327" t="s">
        <v>672</v>
      </c>
      <c r="D50" s="328">
        <f>('Résultats détaillés GES'!AE25-'Données d''activité'!D50)/('Données d''activité'!D43-'Données d''activité'!D49)*1000</f>
        <v>26.849421498454475</v>
      </c>
      <c r="E50" s="328">
        <f>('Résultats détaillés GES'!AF25-'Données d''activité'!E50)/('Données d''activité'!E43-'Données d''activité'!E49)*1000</f>
        <v>24.944526260671555</v>
      </c>
      <c r="F50" s="328">
        <f>('Résultats détaillés GES'!AG25-'Données d''activité'!F50)/('Données d''activité'!F43-'Données d''activité'!F49)*1000</f>
        <v>28.26731536508651</v>
      </c>
      <c r="G50" s="328">
        <f>('Résultats détaillés GES'!AH25-'Données d''activité'!G50)/('Données d''activité'!G43-'Données d''activité'!G49)*1000</f>
        <v>38.710089601495824</v>
      </c>
      <c r="H50" s="328">
        <f>('Résultats détaillés GES'!AI25-'Données d''activité'!H50)/('Données d''activité'!H43-'Données d''activité'!H49)*1000</f>
        <v>20.252839078159223</v>
      </c>
      <c r="I50" s="328">
        <f>('Résultats détaillés GES'!AJ25-'Données d''activité'!I50)/('Données d''activité'!I43-'Données d''activité'!I49)*1000</f>
        <v>11.478710987154042</v>
      </c>
      <c r="J50" s="328">
        <f>('Résultats détaillés GES'!AK25-'Données d''activité'!J50)/('Données d''activité'!J43-'Données d''activité'!J49)*1000</f>
        <v>12.347640839245962</v>
      </c>
      <c r="K50" s="328">
        <f>('Résultats détaillés GES'!AL25-'Données d''activité'!K50)/('Données d''activité'!K43-'Données d''activité'!K49)*1000</f>
        <v>12.182779520874139</v>
      </c>
      <c r="L50" s="328">
        <f>('Résultats détaillés GES'!AM25-'Données d''activité'!L50)/('Données d''activité'!L43-'Données d''activité'!L49)*1000</f>
        <v>11.235417548843236</v>
      </c>
      <c r="M50" s="328">
        <f>('Résultats détaillés GES'!AN25-'Données d''activité'!M50)/('Données d''activité'!M43-'Données d''activité'!M49)*1000</f>
        <v>10.330971317117552</v>
      </c>
      <c r="N50" s="328">
        <f>('Résultats détaillés GES'!AO25-'Données d''activité'!N50)/('Données d''activité'!N43-'Données d''activité'!N49)*1000</f>
        <v>9.5782265552348775</v>
      </c>
      <c r="O50" s="328">
        <f>('Résultats détaillés GES'!AP25-'Données d''activité'!O50)/('Données d''activité'!O43-'Données d''activité'!O49)*1000</f>
        <v>8.8557885072134681</v>
      </c>
      <c r="P50" s="328">
        <f>('Résultats détaillés GES'!AQ25-'Données d''activité'!P50)/('Données d''activité'!P43-'Données d''activité'!P49)*1000</f>
        <v>8.4639649574852598</v>
      </c>
      <c r="Q50" s="328">
        <f>('Résultats détaillés GES'!AR25-'Données d''activité'!Q50)/('Données d''activité'!Q43-'Données d''activité'!Q49)*1000</f>
        <v>8.0884326106110667</v>
      </c>
      <c r="R50" s="328">
        <f>('Résultats détaillés GES'!AS25-'Données d''activité'!R50)/('Données d''activité'!R43-'Données d''activité'!R49)*1000</f>
        <v>7.7281961274891273</v>
      </c>
      <c r="S50" s="328">
        <f>('Résultats détaillés GES'!AT25-'Données d''activité'!S50)/('Données d''activité'!S43-'Données d''activité'!S49)*1000</f>
        <v>7.3866513197659129</v>
      </c>
      <c r="T50" s="328">
        <f>('Résultats détaillés GES'!AU25-'Données d''activité'!T50)/('Données d''activité'!T43-'Données d''activité'!T49)*1000</f>
        <v>7.0584735687243265</v>
      </c>
      <c r="U50" s="328">
        <f>('Résultats détaillés GES'!AV25-'Données d''activité'!U50)/('Données d''activité'!U43-'Données d''activité'!U49)*1000</f>
        <v>5.8989955380125751</v>
      </c>
      <c r="V50" s="328">
        <f>('Résultats détaillés GES'!AW25-'Données d''activité'!V50)/('Données d''activité'!V43-'Données d''activité'!V49)*1000</f>
        <v>4.815662886631598</v>
      </c>
      <c r="W50" s="328">
        <f>('Résultats détaillés GES'!AX25-'Données d''activité'!W50)/('Données d''activité'!W43-'Données d''activité'!W49)*1000</f>
        <v>3.8012131429030269</v>
      </c>
      <c r="X50" s="328">
        <f>('Résultats détaillés GES'!AY25-'Données d''activité'!X50)/('Données d''activité'!X43-'Données d''activité'!X49)*1000</f>
        <v>3.0408109461956223</v>
      </c>
      <c r="Y50" s="328">
        <f>('Résultats détaillés GES'!AZ25-'Données d''activité'!Y50)/('Données d''activité'!Y43-'Données d''activité'!Y49)*1000</f>
        <v>2.3258678772389527</v>
      </c>
      <c r="Z50" s="328">
        <f>('Résultats détaillés GES'!BA25-'Données d''activité'!Z50)/('Données d''activité'!Z43-'Données d''activité'!Z49)*1000</f>
        <v>2.0807492720093745</v>
      </c>
      <c r="AA50" s="328">
        <f>('Résultats détaillés GES'!BB25-'Données d''activité'!AA50)/('Données d''activité'!AA43-'Données d''activité'!AA49)*1000</f>
        <v>1.8364586099388158</v>
      </c>
      <c r="AB50" s="328">
        <f>('Résultats détaillés GES'!BC25-'Données d''activité'!AB50)/('Données d''activité'!AB43-'Données d''activité'!AB49)*1000</f>
        <v>1.5929917032538043</v>
      </c>
      <c r="AC50" s="328">
        <f>('Résultats détaillés GES'!BD25-'Données d''activité'!AC50)/('Données d''activité'!AC43-'Données d''activité'!AC49)*1000</f>
        <v>-88.22157131718771</v>
      </c>
      <c r="AD50" s="328">
        <f>('Résultats détaillés GES'!BE25-'Données d''activité'!AD50)/('Données d''activité'!AD43-'Données d''activité'!AD49)*1000</f>
        <v>-1.0791589579252674</v>
      </c>
      <c r="AE50" s="328">
        <f>('Résultats détaillés GES'!BF25-'Données d''activité'!AE50)/('Données d''activité'!AE43-'Données d''activité'!AE49)*1000</f>
        <v>-1.4438037825262884</v>
      </c>
      <c r="AF50" s="328">
        <f>('Résultats détaillés GES'!BG25-'Données d''activité'!AF50)/('Données d''activité'!AF43-'Données d''activité'!AF49)*1000</f>
        <v>-3.2225574659819491</v>
      </c>
      <c r="AG50" s="328">
        <f>('Résultats détaillés GES'!BH25-'Données d''activité'!AG50)/('Données d''activité'!AG43-'Données d''activité'!AG49)*1000</f>
        <v>2.3447191781023737</v>
      </c>
      <c r="AH50" s="328">
        <f>('Résultats détaillés GES'!BI25-'Données d''activité'!AH50)/('Données d''activité'!AH43-'Données d''activité'!AH49)*1000</f>
        <v>0.41032357317696422</v>
      </c>
      <c r="AI50" s="328">
        <f>('Résultats détaillés GES'!BJ25-'Données d''activité'!AI50)/('Données d''activité'!AI43-'Données d''activité'!AI49)*1000</f>
        <v>3.3239216618471443E-2</v>
      </c>
      <c r="AJ50" s="327" t="s">
        <v>390</v>
      </c>
    </row>
    <row r="51" spans="1:36" s="327" customFormat="1">
      <c r="A51" s="327" t="s">
        <v>439</v>
      </c>
      <c r="B51" s="327" t="s">
        <v>498</v>
      </c>
      <c r="C51" s="327" t="s">
        <v>672</v>
      </c>
      <c r="D51" s="328">
        <f>('Résultats détaillés GES'!AE25-'Données d''activité'!D50+'Résultats détaillés GES'!AE33-'Données d''activité'!D51)/('Données d''activité'!D43-'Données d''activité'!D49)*1000</f>
        <v>39.440977530020632</v>
      </c>
      <c r="E51" s="328">
        <f>('Résultats détaillés GES'!AF25-'Données d''activité'!E50+'Résultats détaillés GES'!AF33-'Données d''activité'!E51)/('Données d''activité'!E43-'Données d''activité'!E49)*1000</f>
        <v>38.646740593691703</v>
      </c>
      <c r="F51" s="328">
        <f>('Résultats détaillés GES'!AG25-'Données d''activité'!F50+'Résultats détaillés GES'!AG33-'Données d''activité'!F51)/('Données d''activité'!F43-'Données d''activité'!F49)*1000</f>
        <v>41.308626595390749</v>
      </c>
      <c r="G51" s="328">
        <f>('Résultats détaillés GES'!AH25-'Données d''activité'!G50+'Résultats détaillés GES'!AH33-'Données d''activité'!G51)/('Données d''activité'!G43-'Données d''activité'!G49)*1000</f>
        <v>54.022336357552348</v>
      </c>
      <c r="H51" s="328">
        <f>('Résultats détaillés GES'!AI25-'Données d''activité'!H50+'Résultats détaillés GES'!AI33-'Données d''activité'!H51)/('Données d''activité'!H43-'Données d''activité'!H49)*1000</f>
        <v>34.049906402986672</v>
      </c>
      <c r="I51" s="328">
        <f>('Résultats détaillés GES'!AJ25-'Données d''activité'!I50+'Résultats détaillés GES'!AJ33-'Données d''activité'!I51)/('Données d''activité'!I43-'Données d''activité'!I49)*1000</f>
        <v>24.177271122233876</v>
      </c>
      <c r="J51" s="328">
        <f>('Résultats détaillés GES'!AK25-'Données d''activité'!J50+'Résultats détaillés GES'!AK33-'Données d''activité'!J51)/('Données d''activité'!J43-'Données d''activité'!J49)*1000</f>
        <v>25.352411476934581</v>
      </c>
      <c r="K51" s="328">
        <f>('Résultats détaillés GES'!AL25-'Données d''activité'!K50+'Résultats détaillés GES'!AL33-'Données d''activité'!K51)/('Données d''activité'!K43-'Données d''activité'!K49)*1000</f>
        <v>24.738810115099675</v>
      </c>
      <c r="L51" s="328">
        <f>('Résultats détaillés GES'!AM25-'Données d''activité'!L50+'Résultats détaillés GES'!AM33-'Données d''activité'!L51)/('Données d''activité'!L43-'Données d''activité'!L49)*1000</f>
        <v>23.339067022045626</v>
      </c>
      <c r="M51" s="328">
        <f>('Résultats détaillés GES'!AN25-'Données d''activité'!M50+'Résultats détaillés GES'!AN33-'Données d''activité'!M51)/('Données d''activité'!M43-'Données d''activité'!M49)*1000</f>
        <v>22.002732650102431</v>
      </c>
      <c r="N51" s="328">
        <f>('Résultats détaillés GES'!AO25-'Données d''activité'!N50+'Résultats détaillés GES'!AO33-'Données d''activité'!N51)/('Données d''activité'!N43-'Données d''activité'!N49)*1000</f>
        <v>20.924725003391007</v>
      </c>
      <c r="O51" s="328">
        <f>('Résultats détaillés GES'!AP25-'Données d''activité'!O50+'Résultats détaillés GES'!AP33-'Données d''activité'!O51)/('Données d''activité'!O43-'Données d''activité'!O49)*1000</f>
        <v>19.890119677019122</v>
      </c>
      <c r="P51" s="328">
        <f>('Résultats détaillés GES'!AQ25-'Données d''activité'!P50+'Résultats détaillés GES'!AQ33-'Données d''activité'!P51)/('Données d''activité'!P43-'Données d''activité'!P49)*1000</f>
        <v>19.001051411893997</v>
      </c>
      <c r="Q51" s="328">
        <f>('Résultats détaillés GES'!AR25-'Données d''activité'!Q50+'Résultats détaillés GES'!AR33-'Données d''activité'!Q51)/('Données d''activité'!Q43-'Données d''activité'!Q49)*1000</f>
        <v>18.148948743829759</v>
      </c>
      <c r="R51" s="328">
        <f>('Résultats détaillés GES'!AS25-'Données d''activité'!R50+'Résultats détaillés GES'!AS33-'Données d''activité'!R51)/('Données d''activité'!R43-'Données d''activité'!R49)*1000</f>
        <v>17.331553195996658</v>
      </c>
      <c r="S51" s="328">
        <f>('Résultats détaillés GES'!AT25-'Données d''activité'!S50+'Résultats détaillés GES'!AT33-'Données d''activité'!S51)/('Données d''activité'!S43-'Données d''activité'!S49)*1000</f>
        <v>16.548849254014257</v>
      </c>
      <c r="T51" s="328">
        <f>('Résultats détaillés GES'!AU25-'Données d''activité'!T50+'Résultats détaillés GES'!AU33-'Données d''activité'!T51)/('Données d''activité'!T43-'Données d''activité'!T49)*1000</f>
        <v>15.796778036408947</v>
      </c>
      <c r="U51" s="328">
        <f>('Résultats détaillés GES'!AV25-'Données d''activité'!U50+'Résultats détaillés GES'!AV33-'Données d''activité'!U51)/('Données d''activité'!U43-'Données d''activité'!U49)*1000</f>
        <v>14.102198501715787</v>
      </c>
      <c r="V51" s="328">
        <f>('Résultats détaillés GES'!AW25-'Données d''activité'!V50+'Résultats détaillés GES'!AW33-'Données d''activité'!V51)/('Données d''activité'!V43-'Données d''activité'!V49)*1000</f>
        <v>12.518905596055319</v>
      </c>
      <c r="W51" s="328">
        <f>('Résultats détaillés GES'!AX25-'Données d''activité'!W50+'Résultats détaillés GES'!AX33-'Données d''activité'!W51)/('Données d''activité'!W43-'Données d''activité'!W49)*1000</f>
        <v>11.036285202082093</v>
      </c>
      <c r="X51" s="328">
        <f>('Résultats détaillés GES'!AY25-'Données d''activité'!X50+'Résultats détaillés GES'!AY33-'Données d''activité'!X51)/('Données d''activité'!X43-'Données d''activité'!X49)*1000</f>
        <v>9.9150732868168809</v>
      </c>
      <c r="Y51" s="328">
        <f>('Résultats détaillés GES'!AZ25-'Données d''activité'!Y50+'Résultats détaillés GES'!AZ33-'Données d''activité'!Y51)/('Données d''activité'!Y43-'Données d''activité'!Y49)*1000</f>
        <v>8.7048136493650663</v>
      </c>
      <c r="Z51" s="328">
        <f>('Résultats détaillés GES'!BA25-'Données d''activité'!Z50+'Résultats détaillés GES'!BA33-'Données d''activité'!Z51)/('Données d''activité'!Z43-'Données d''activité'!Z49)*1000</f>
        <v>8.3311695027422736</v>
      </c>
      <c r="AA51" s="328">
        <f>('Résultats détaillés GES'!BB25-'Données d''activité'!AA50+'Résultats détaillés GES'!BB33-'Données d''activité'!AA51)/('Données d''activité'!AA43-'Données d''activité'!AA49)*1000</f>
        <v>7.9587874231699001</v>
      </c>
      <c r="AB51" s="328">
        <f>('Résultats détaillés GES'!BC25-'Données d''activité'!AB50+'Résultats détaillés GES'!BC33-'Données d''activité'!AB51)/('Données d''activité'!AB43-'Données d''activité'!AB49)*1000</f>
        <v>7.5876610270564377</v>
      </c>
      <c r="AC51" s="328">
        <f>('Résultats détaillés GES'!BD25-'Données d''activité'!AC50+'Résultats détaillés GES'!BD33-'Données d''activité'!AC51)/('Données d''activité'!AC43-'Données d''activité'!AC49)*1000</f>
        <v>-471.55692073139892</v>
      </c>
      <c r="AD51" s="328">
        <f>('Résultats détaillés GES'!BE25-'Données d''activité'!AD50+'Résultats détaillés GES'!BE33-'Données d''activité'!AD51)/('Données d''activité'!AD43-'Données d''activité'!AD49)*1000</f>
        <v>-6.6677833896226648</v>
      </c>
      <c r="AE51" s="328">
        <f>('Résultats détaillés GES'!BF25-'Données d''activité'!AE50+'Résultats détaillés GES'!BF33-'Données d''activité'!AE51)/('Données d''activité'!AE43-'Données d''activité'!AE49)*1000</f>
        <v>-10.524389812168215</v>
      </c>
      <c r="AF51" s="328">
        <f>('Résultats détaillés GES'!BG25-'Données d''activité'!AF50+'Résultats détaillés GES'!BG33-'Données d''activité'!AF51)/('Données d''activité'!AF43-'Données d''activité'!AF49)*1000</f>
        <v>-29.337087585261592</v>
      </c>
      <c r="AG51" s="328">
        <f>('Résultats détaillés GES'!BH25-'Données d''activité'!AG50+'Résultats détaillés GES'!BH33-'Données d''activité'!AG51)/('Données d''activité'!AG43-'Données d''activité'!AG49)*1000</f>
        <v>29.544304424499867</v>
      </c>
      <c r="AH51" s="328">
        <f>('Résultats détaillés GES'!BI25-'Données d''activité'!AH50+'Résultats détaillés GES'!BI33-'Données d''activité'!AH51)/('Données d''activité'!AH43-'Données d''activité'!AH49)*1000</f>
        <v>9.0854852931386709</v>
      </c>
      <c r="AI51" s="328">
        <f>('Résultats détaillés GES'!BJ25-'Données d''activité'!AI50+'Résultats détaillés GES'!BJ33-'Données d''activité'!AI51)/('Données d''activité'!AI43-'Données d''activité'!AI49)*1000</f>
        <v>5.0973141928463939</v>
      </c>
      <c r="AJ51" s="327" t="s">
        <v>390</v>
      </c>
    </row>
  </sheetData>
  <phoneticPr fontId="67" type="noConversion"/>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99"/>
  <sheetViews>
    <sheetView workbookViewId="0"/>
  </sheetViews>
  <sheetFormatPr baseColWidth="10" defaultColWidth="11.5546875" defaultRowHeight="14.4"/>
  <cols>
    <col min="1" max="1" width="11.5546875" style="1"/>
    <col min="2" max="2" width="18.6640625" style="11" customWidth="1"/>
    <col min="3" max="3" width="21.5546875" style="2" customWidth="1"/>
    <col min="4" max="4" width="25.88671875" style="2" customWidth="1"/>
    <col min="5" max="5" width="31.33203125" style="148" customWidth="1"/>
    <col min="6" max="6" width="18.5546875" style="1" customWidth="1"/>
    <col min="7" max="7" width="15.88671875" style="1" customWidth="1"/>
    <col min="8" max="8" width="23.44140625" style="1" customWidth="1"/>
    <col min="9" max="9" width="22.33203125" style="1" customWidth="1"/>
    <col min="10" max="16384" width="11.5546875" style="1"/>
  </cols>
  <sheetData>
    <row r="1" spans="1:22" ht="28.95" customHeight="1">
      <c r="A1" s="164"/>
      <c r="B1" s="432" t="s">
        <v>9</v>
      </c>
      <c r="C1" s="433"/>
      <c r="D1" s="434"/>
      <c r="E1" s="165"/>
      <c r="F1" s="164"/>
      <c r="G1" s="164"/>
      <c r="H1" s="164"/>
      <c r="I1" s="164"/>
      <c r="J1" s="164"/>
      <c r="K1" s="164"/>
      <c r="L1" s="164"/>
      <c r="M1" s="164"/>
      <c r="N1" s="164"/>
      <c r="O1" s="164"/>
      <c r="P1" s="164"/>
      <c r="Q1" s="164"/>
      <c r="R1" s="164"/>
      <c r="S1" s="164"/>
      <c r="T1" s="164"/>
      <c r="U1" s="164"/>
      <c r="V1" s="164"/>
    </row>
    <row r="2" spans="1:22" ht="58.2" customHeight="1">
      <c r="A2" s="164"/>
      <c r="B2" s="343" t="s">
        <v>596</v>
      </c>
      <c r="C2" s="343" t="s">
        <v>10</v>
      </c>
      <c r="D2" s="343" t="str">
        <f>"Objectif de baisse SNBC entre "&amp;TEXT('Choix années'!$C$4,"#")&amp;" et "&amp;TEXT('Choix années'!$C$5,"#")&amp;" "</f>
        <v xml:space="preserve">Objectif de baisse SNBC entre 2019 et 2030 </v>
      </c>
      <c r="E2" s="165"/>
      <c r="F2" s="430" t="s">
        <v>11</v>
      </c>
      <c r="G2" s="431"/>
      <c r="H2" s="164"/>
      <c r="I2" s="164"/>
      <c r="J2" s="164"/>
      <c r="K2" s="164"/>
      <c r="L2" s="164"/>
      <c r="M2" s="164"/>
      <c r="N2" s="164"/>
      <c r="O2" s="164"/>
      <c r="P2" s="164"/>
      <c r="Q2" s="164"/>
      <c r="R2" s="164"/>
      <c r="S2" s="164"/>
      <c r="T2" s="164"/>
      <c r="U2" s="164"/>
      <c r="V2" s="164"/>
    </row>
    <row r="3" spans="1:22" s="387" customFormat="1" ht="58.2" customHeight="1">
      <c r="A3" s="164"/>
      <c r="B3" s="241" t="s">
        <v>89</v>
      </c>
      <c r="C3" s="242" t="s">
        <v>90</v>
      </c>
      <c r="D3" s="243">
        <f>1-VLOOKUP("TOTAL national hors UTCATF",'Résultats détaillés GES'!$A$6:$BJ$18,MATCH('Choix années'!C5,'Résultats détaillés GES'!$A$6:$BJ$6),FALSE)/VLOOKUP("TOTAL national hors UTCATF",'Résultats détaillés GES'!$A$6:$BJ$18,MATCH('Choix années'!C4,'Résultats détaillés GES'!$A$6:$BJ$6),FALSE)</f>
        <v>0.37095448311330392</v>
      </c>
      <c r="E3" s="165"/>
      <c r="F3" s="416"/>
      <c r="G3" s="416"/>
      <c r="H3" s="164"/>
      <c r="I3" s="164"/>
      <c r="J3" s="164"/>
      <c r="K3" s="164"/>
      <c r="L3" s="164"/>
      <c r="M3" s="164"/>
      <c r="N3" s="164"/>
      <c r="O3" s="164"/>
      <c r="P3" s="164"/>
      <c r="Q3" s="164"/>
      <c r="R3" s="164"/>
      <c r="S3" s="164"/>
      <c r="T3" s="164"/>
      <c r="U3" s="164"/>
      <c r="V3" s="164"/>
    </row>
    <row r="4" spans="1:22" ht="45.6" customHeight="1">
      <c r="A4" s="164"/>
      <c r="B4" s="10" t="s">
        <v>12</v>
      </c>
      <c r="C4" s="10" t="s">
        <v>507</v>
      </c>
      <c r="D4" s="9">
        <f>Industrie!D10</f>
        <v>0.44452377965298662</v>
      </c>
      <c r="E4" s="403" t="s">
        <v>508</v>
      </c>
      <c r="F4" s="164"/>
      <c r="G4" s="164"/>
      <c r="H4" s="164"/>
      <c r="I4" s="164"/>
      <c r="J4" s="164"/>
      <c r="K4" s="164"/>
      <c r="L4" s="164"/>
      <c r="M4" s="164"/>
      <c r="N4" s="164"/>
      <c r="O4" s="164"/>
      <c r="P4" s="164"/>
      <c r="Q4" s="164"/>
      <c r="R4" s="164"/>
      <c r="S4" s="164"/>
      <c r="T4" s="164"/>
      <c r="U4" s="164"/>
      <c r="V4" s="164"/>
    </row>
    <row r="5" spans="1:22">
      <c r="A5" s="164"/>
      <c r="B5" s="10" t="s">
        <v>13</v>
      </c>
      <c r="C5" s="8" t="s">
        <v>14</v>
      </c>
      <c r="D5" s="9">
        <f>Industrie!D14</f>
        <v>0.3432203210566056</v>
      </c>
      <c r="E5" s="403"/>
      <c r="F5" s="164"/>
      <c r="G5" s="164"/>
      <c r="H5" s="164"/>
      <c r="I5" s="164"/>
      <c r="J5" s="164"/>
      <c r="K5" s="164"/>
      <c r="L5" s="164"/>
      <c r="M5" s="164"/>
      <c r="N5" s="164"/>
      <c r="O5" s="164"/>
      <c r="P5" s="164"/>
      <c r="Q5" s="164"/>
      <c r="R5" s="164"/>
      <c r="S5" s="164"/>
      <c r="T5" s="164"/>
      <c r="U5" s="164"/>
      <c r="V5" s="164"/>
    </row>
    <row r="6" spans="1:22" ht="57.6">
      <c r="A6" s="164"/>
      <c r="B6" s="10" t="s">
        <v>15</v>
      </c>
      <c r="C6" s="8" t="s">
        <v>16</v>
      </c>
      <c r="D6" s="12">
        <f>Industrie!D26</f>
        <v>0.65822216768988984</v>
      </c>
      <c r="E6" s="403" t="s">
        <v>511</v>
      </c>
      <c r="F6" s="164"/>
      <c r="G6" s="164"/>
      <c r="H6" s="164"/>
      <c r="I6" s="164"/>
      <c r="J6" s="164"/>
      <c r="K6" s="164"/>
      <c r="L6" s="164"/>
      <c r="M6" s="164"/>
      <c r="N6" s="164"/>
      <c r="O6" s="164"/>
      <c r="P6" s="164"/>
      <c r="Q6" s="164"/>
      <c r="R6" s="164"/>
      <c r="S6" s="164"/>
      <c r="T6" s="164"/>
      <c r="U6" s="164"/>
      <c r="V6" s="164"/>
    </row>
    <row r="7" spans="1:22" ht="43.2">
      <c r="A7" s="164"/>
      <c r="B7" s="149" t="s">
        <v>17</v>
      </c>
      <c r="C7" s="150" t="s">
        <v>18</v>
      </c>
      <c r="D7" s="151">
        <f>Industrie!D30</f>
        <v>0.51052415352922065</v>
      </c>
      <c r="E7" s="165"/>
      <c r="F7" s="164"/>
      <c r="G7" s="164"/>
      <c r="H7" s="164"/>
      <c r="I7" s="164"/>
      <c r="J7" s="164"/>
      <c r="K7" s="164"/>
      <c r="L7" s="164"/>
      <c r="M7" s="164"/>
      <c r="N7" s="164"/>
      <c r="O7" s="164"/>
      <c r="P7" s="164"/>
      <c r="Q7" s="164"/>
      <c r="R7" s="164"/>
      <c r="S7" s="164"/>
      <c r="T7" s="164"/>
      <c r="U7" s="164"/>
      <c r="V7" s="164"/>
    </row>
    <row r="8" spans="1:22" ht="28.8">
      <c r="A8" s="164"/>
      <c r="B8" s="10" t="s">
        <v>19</v>
      </c>
      <c r="C8" s="8" t="s">
        <v>20</v>
      </c>
      <c r="D8" s="13">
        <f>Industrie!D34</f>
        <v>0.65487860922492791</v>
      </c>
      <c r="E8" s="165"/>
      <c r="F8" s="164"/>
      <c r="G8" s="164"/>
      <c r="H8" s="164"/>
      <c r="I8" s="164"/>
      <c r="J8" s="164"/>
      <c r="K8" s="164"/>
      <c r="L8" s="164"/>
      <c r="M8" s="164"/>
      <c r="N8" s="164"/>
      <c r="O8" s="164"/>
      <c r="P8" s="164"/>
      <c r="Q8" s="164"/>
      <c r="R8" s="164"/>
      <c r="S8" s="164"/>
      <c r="T8" s="164"/>
      <c r="U8" s="164"/>
      <c r="V8" s="164"/>
    </row>
    <row r="9" spans="1:22" ht="28.8">
      <c r="A9" s="164"/>
      <c r="B9" s="152" t="s">
        <v>21</v>
      </c>
      <c r="C9" s="153" t="s">
        <v>22</v>
      </c>
      <c r="D9" s="154">
        <f>Industrie!D42</f>
        <v>0.32429097823148123</v>
      </c>
      <c r="E9" s="165"/>
      <c r="F9" s="164"/>
      <c r="G9" s="164"/>
      <c r="H9" s="164"/>
      <c r="I9" s="164"/>
      <c r="J9" s="164"/>
      <c r="K9" s="164"/>
      <c r="L9" s="164"/>
      <c r="M9" s="164"/>
      <c r="N9" s="164"/>
      <c r="O9" s="164"/>
      <c r="P9" s="164"/>
      <c r="Q9" s="164"/>
      <c r="R9" s="164"/>
      <c r="S9" s="164"/>
      <c r="T9" s="164"/>
      <c r="U9" s="164"/>
      <c r="V9" s="164"/>
    </row>
    <row r="10" spans="1:22">
      <c r="A10" s="164"/>
      <c r="B10" s="149" t="s">
        <v>23</v>
      </c>
      <c r="C10" s="150" t="s">
        <v>24</v>
      </c>
      <c r="D10" s="155">
        <f>Industrie!D22</f>
        <v>0.36622800631315278</v>
      </c>
      <c r="E10" s="245"/>
      <c r="F10" s="164"/>
      <c r="G10" s="164"/>
      <c r="H10" s="164"/>
      <c r="I10" s="164"/>
      <c r="J10" s="164"/>
      <c r="K10" s="164"/>
      <c r="L10" s="164"/>
      <c r="M10" s="164"/>
      <c r="N10" s="164"/>
      <c r="O10" s="164"/>
      <c r="P10" s="164"/>
      <c r="Q10" s="164"/>
      <c r="R10" s="164"/>
      <c r="S10" s="164"/>
      <c r="T10" s="164"/>
      <c r="U10" s="164"/>
      <c r="V10" s="164"/>
    </row>
    <row r="11" spans="1:22">
      <c r="A11" s="164"/>
      <c r="B11" s="149" t="s">
        <v>23</v>
      </c>
      <c r="C11" s="150" t="s">
        <v>25</v>
      </c>
      <c r="D11" s="155">
        <f>Industrie!D18</f>
        <v>0.29812782152726658</v>
      </c>
      <c r="E11" s="245"/>
      <c r="F11" s="164"/>
      <c r="G11" s="164"/>
      <c r="H11" s="164"/>
      <c r="I11" s="164"/>
      <c r="J11" s="164"/>
      <c r="K11" s="164"/>
      <c r="L11" s="164"/>
      <c r="M11" s="164"/>
      <c r="N11" s="164"/>
      <c r="O11" s="164"/>
      <c r="P11" s="164"/>
      <c r="Q11" s="164"/>
      <c r="R11" s="164"/>
      <c r="S11" s="164"/>
      <c r="T11" s="164"/>
      <c r="U11" s="164"/>
      <c r="V11" s="164"/>
    </row>
    <row r="12" spans="1:22">
      <c r="A12" s="164"/>
      <c r="B12" s="10" t="s">
        <v>26</v>
      </c>
      <c r="C12" s="8" t="s">
        <v>27</v>
      </c>
      <c r="D12" s="156">
        <f>Industrie!D62</f>
        <v>0.5606132958208504</v>
      </c>
      <c r="E12" s="245"/>
      <c r="F12" s="164"/>
      <c r="G12" s="164"/>
      <c r="H12" s="164"/>
      <c r="I12" s="164"/>
      <c r="J12" s="164"/>
      <c r="K12" s="164"/>
      <c r="L12" s="164"/>
      <c r="M12" s="164"/>
      <c r="N12" s="164"/>
      <c r="O12" s="164"/>
      <c r="P12" s="164"/>
      <c r="Q12" s="164"/>
      <c r="R12" s="164"/>
      <c r="S12" s="164"/>
      <c r="T12" s="164"/>
      <c r="U12" s="164"/>
      <c r="V12" s="164"/>
    </row>
    <row r="13" spans="1:22" ht="28.8">
      <c r="A13" s="164"/>
      <c r="B13" s="149" t="s">
        <v>19</v>
      </c>
      <c r="C13" s="150" t="s">
        <v>28</v>
      </c>
      <c r="D13" s="155">
        <f>Industrie!D38</f>
        <v>0.29059257327989763</v>
      </c>
      <c r="E13" s="245"/>
      <c r="F13" s="164"/>
      <c r="G13" s="164"/>
      <c r="H13" s="164"/>
      <c r="I13" s="164"/>
      <c r="J13" s="164"/>
      <c r="K13" s="164"/>
      <c r="L13" s="164"/>
      <c r="M13" s="164"/>
      <c r="N13" s="164"/>
      <c r="O13" s="164"/>
      <c r="P13" s="164"/>
      <c r="Q13" s="164"/>
      <c r="R13" s="164"/>
      <c r="S13" s="164"/>
      <c r="T13" s="164"/>
      <c r="U13" s="164"/>
      <c r="V13" s="164"/>
    </row>
    <row r="14" spans="1:22" ht="28.8">
      <c r="A14" s="164"/>
      <c r="B14" s="157" t="s">
        <v>21</v>
      </c>
      <c r="C14" s="158" t="s">
        <v>29</v>
      </c>
      <c r="D14" s="159">
        <f>Industrie!D46</f>
        <v>0.43818554280595978</v>
      </c>
      <c r="E14" s="165"/>
      <c r="F14" s="164"/>
      <c r="G14" s="164"/>
      <c r="H14" s="164"/>
      <c r="I14" s="164"/>
      <c r="J14" s="164"/>
      <c r="K14" s="164"/>
      <c r="L14" s="164"/>
      <c r="M14" s="164"/>
      <c r="N14" s="164"/>
      <c r="O14" s="164"/>
      <c r="P14" s="164"/>
      <c r="Q14" s="164"/>
      <c r="R14" s="164"/>
      <c r="S14" s="164"/>
      <c r="T14" s="164"/>
      <c r="U14" s="164"/>
      <c r="V14" s="164"/>
    </row>
    <row r="15" spans="1:22">
      <c r="A15" s="164"/>
      <c r="B15" s="10" t="s">
        <v>21</v>
      </c>
      <c r="C15" s="10" t="s">
        <v>30</v>
      </c>
      <c r="D15" s="13">
        <f>Industrie!D50</f>
        <v>0.43140362395396104</v>
      </c>
      <c r="E15" s="245"/>
      <c r="F15" s="164"/>
      <c r="G15" s="164"/>
      <c r="H15" s="164"/>
      <c r="I15" s="164"/>
      <c r="J15" s="164"/>
      <c r="K15" s="164"/>
      <c r="L15" s="164"/>
      <c r="M15" s="164"/>
      <c r="N15" s="164"/>
      <c r="O15" s="164"/>
      <c r="P15" s="164"/>
      <c r="Q15" s="164"/>
      <c r="R15" s="164"/>
      <c r="S15" s="164"/>
      <c r="T15" s="164"/>
      <c r="U15" s="164"/>
      <c r="V15" s="164"/>
    </row>
    <row r="16" spans="1:22" ht="43.2">
      <c r="A16" s="164"/>
      <c r="B16" s="10" t="s">
        <v>15</v>
      </c>
      <c r="C16" s="8" t="s">
        <v>31</v>
      </c>
      <c r="D16" s="13">
        <f>Industrie!D54</f>
        <v>0.44187306874413257</v>
      </c>
      <c r="E16" s="165"/>
      <c r="F16" s="164"/>
      <c r="G16" s="164"/>
      <c r="H16" s="164"/>
      <c r="I16" s="164"/>
      <c r="J16" s="164"/>
      <c r="K16" s="164"/>
      <c r="L16" s="164"/>
      <c r="M16" s="164"/>
      <c r="N16" s="164"/>
      <c r="O16" s="164"/>
      <c r="P16" s="164"/>
      <c r="Q16" s="164"/>
      <c r="R16" s="164"/>
      <c r="S16" s="164"/>
      <c r="T16" s="164"/>
      <c r="U16" s="164"/>
      <c r="V16" s="164"/>
    </row>
    <row r="17" spans="1:22" ht="28.8">
      <c r="A17" s="164"/>
      <c r="B17" s="10" t="s">
        <v>15</v>
      </c>
      <c r="C17" s="10" t="s">
        <v>32</v>
      </c>
      <c r="D17" s="13">
        <f>Industrie!D58</f>
        <v>0.23421581795994439</v>
      </c>
      <c r="E17" s="245"/>
      <c r="F17" s="164"/>
      <c r="G17" s="164"/>
      <c r="H17" s="164"/>
      <c r="I17" s="164"/>
      <c r="J17" s="164"/>
      <c r="K17" s="164"/>
      <c r="L17" s="164"/>
      <c r="M17" s="164"/>
      <c r="N17" s="164"/>
      <c r="O17" s="164"/>
      <c r="P17" s="164"/>
      <c r="Q17" s="164"/>
      <c r="R17" s="164"/>
      <c r="S17" s="164"/>
      <c r="T17" s="164"/>
      <c r="U17" s="164"/>
      <c r="V17" s="164"/>
    </row>
    <row r="18" spans="1:22">
      <c r="A18" s="164"/>
      <c r="B18" s="10" t="s">
        <v>33</v>
      </c>
      <c r="C18" s="8" t="s">
        <v>34</v>
      </c>
      <c r="D18" s="13">
        <f>Industrie!D66</f>
        <v>0.60284999332368583</v>
      </c>
      <c r="E18" s="245"/>
      <c r="F18" s="164"/>
      <c r="G18" s="164"/>
      <c r="H18" s="164"/>
      <c r="I18" s="164"/>
      <c r="J18" s="164"/>
      <c r="K18" s="164"/>
      <c r="L18" s="164"/>
      <c r="M18" s="164"/>
      <c r="N18" s="164"/>
      <c r="O18" s="164"/>
      <c r="P18" s="164"/>
      <c r="Q18" s="164"/>
      <c r="R18" s="164"/>
      <c r="S18" s="164"/>
      <c r="T18" s="164"/>
      <c r="U18" s="164"/>
      <c r="V18" s="164"/>
    </row>
    <row r="19" spans="1:22" ht="28.8">
      <c r="A19" s="164"/>
      <c r="B19" s="10" t="s">
        <v>12</v>
      </c>
      <c r="C19" s="8" t="s">
        <v>35</v>
      </c>
      <c r="D19" s="13">
        <f>Industrie!D70</f>
        <v>0.51354924171245364</v>
      </c>
      <c r="E19" s="165"/>
      <c r="F19" s="164"/>
      <c r="G19" s="164"/>
      <c r="H19" s="164"/>
      <c r="I19" s="164"/>
      <c r="J19" s="164"/>
      <c r="K19" s="164"/>
      <c r="L19" s="164"/>
      <c r="M19" s="164"/>
      <c r="N19" s="164"/>
      <c r="O19" s="164"/>
      <c r="P19" s="164"/>
      <c r="Q19" s="164"/>
      <c r="R19" s="164"/>
      <c r="S19" s="164"/>
      <c r="T19" s="164"/>
      <c r="U19" s="164"/>
      <c r="V19" s="164"/>
    </row>
    <row r="20" spans="1:22" ht="28.8">
      <c r="A20" s="164"/>
      <c r="B20" s="349" t="s">
        <v>36</v>
      </c>
      <c r="C20" s="8" t="s">
        <v>654</v>
      </c>
      <c r="D20" s="9">
        <f>Bâtiment!D44</f>
        <v>0.4845302269323476</v>
      </c>
      <c r="E20" s="403" t="s">
        <v>510</v>
      </c>
      <c r="F20" s="164"/>
      <c r="G20" s="164"/>
      <c r="H20" s="164"/>
      <c r="I20" s="164"/>
      <c r="J20" s="164"/>
      <c r="K20" s="164"/>
      <c r="L20" s="164"/>
      <c r="M20" s="164"/>
      <c r="N20" s="164"/>
      <c r="O20" s="164"/>
      <c r="P20" s="164"/>
      <c r="Q20" s="164"/>
      <c r="R20" s="164"/>
      <c r="S20" s="164"/>
      <c r="T20" s="164"/>
      <c r="U20" s="164"/>
      <c r="V20" s="164"/>
    </row>
    <row r="21" spans="1:22" ht="28.8">
      <c r="A21" s="164"/>
      <c r="B21" s="10" t="s">
        <v>653</v>
      </c>
      <c r="C21" s="8" t="s">
        <v>654</v>
      </c>
      <c r="D21" s="9">
        <f>Bâtiment!D44</f>
        <v>0.4845302269323476</v>
      </c>
      <c r="E21" s="165"/>
      <c r="F21" s="164"/>
      <c r="G21" s="164"/>
      <c r="H21" s="164"/>
      <c r="I21" s="164"/>
      <c r="J21" s="164"/>
      <c r="K21" s="164"/>
      <c r="L21" s="164"/>
      <c r="M21" s="164"/>
      <c r="N21" s="164"/>
      <c r="O21" s="164"/>
      <c r="P21" s="164"/>
      <c r="Q21" s="164"/>
      <c r="R21" s="164"/>
      <c r="S21" s="164"/>
      <c r="T21" s="164"/>
      <c r="U21" s="164"/>
      <c r="V21" s="164"/>
    </row>
    <row r="22" spans="1:22" ht="28.8">
      <c r="A22" s="164"/>
      <c r="B22" s="10" t="s">
        <v>653</v>
      </c>
      <c r="C22" s="8" t="s">
        <v>655</v>
      </c>
      <c r="D22" s="9">
        <f>Bâtiment!D20</f>
        <v>0.53739765657054817</v>
      </c>
      <c r="E22" s="165"/>
      <c r="F22" s="164"/>
      <c r="G22" s="164"/>
      <c r="H22" s="164"/>
      <c r="I22" s="164"/>
      <c r="J22" s="164"/>
      <c r="K22" s="164"/>
      <c r="L22" s="164"/>
      <c r="M22" s="164"/>
      <c r="N22" s="164"/>
      <c r="O22" s="164"/>
      <c r="P22" s="164"/>
      <c r="Q22" s="164"/>
      <c r="R22" s="164"/>
      <c r="S22" s="164"/>
      <c r="T22" s="164"/>
      <c r="U22" s="164"/>
      <c r="V22" s="164"/>
    </row>
    <row r="23" spans="1:22">
      <c r="A23" s="164"/>
      <c r="B23" s="10" t="s">
        <v>653</v>
      </c>
      <c r="C23" s="8" t="s">
        <v>37</v>
      </c>
      <c r="D23" s="14">
        <f>Bâtiment!D71</f>
        <v>0.3472540054559986</v>
      </c>
      <c r="E23" s="165"/>
      <c r="F23" s="164"/>
      <c r="G23" s="164"/>
      <c r="H23" s="164"/>
      <c r="I23" s="164"/>
      <c r="J23" s="164"/>
      <c r="K23" s="164"/>
      <c r="L23" s="164"/>
      <c r="M23" s="164"/>
      <c r="N23" s="164"/>
      <c r="O23" s="164"/>
      <c r="P23" s="164"/>
      <c r="Q23" s="164"/>
      <c r="R23" s="164"/>
      <c r="S23" s="164"/>
      <c r="T23" s="164"/>
      <c r="U23" s="164"/>
      <c r="V23" s="164"/>
    </row>
    <row r="24" spans="1:22" ht="43.2">
      <c r="A24" s="164"/>
      <c r="B24" s="10" t="s">
        <v>653</v>
      </c>
      <c r="C24" s="10" t="s">
        <v>652</v>
      </c>
      <c r="D24" s="9">
        <f>Bâtiment!D12</f>
        <v>0.50900669158031397</v>
      </c>
      <c r="E24" s="165"/>
      <c r="F24" s="164"/>
      <c r="G24" s="164"/>
      <c r="H24" s="164"/>
      <c r="I24" s="164"/>
      <c r="J24" s="164"/>
      <c r="K24" s="164"/>
      <c r="L24" s="164"/>
      <c r="M24" s="164"/>
      <c r="N24" s="164"/>
      <c r="O24" s="164"/>
      <c r="P24" s="164"/>
      <c r="Q24" s="164"/>
      <c r="R24" s="164"/>
      <c r="S24" s="164"/>
      <c r="T24" s="164"/>
      <c r="U24" s="164"/>
      <c r="V24" s="164"/>
    </row>
    <row r="25" spans="1:22">
      <c r="A25" s="164"/>
      <c r="B25" s="10" t="s">
        <v>39</v>
      </c>
      <c r="C25" s="10" t="s">
        <v>40</v>
      </c>
      <c r="D25" s="9">
        <f>Transport!D10</f>
        <v>0.31705263293017039</v>
      </c>
      <c r="E25" s="165"/>
      <c r="F25" s="164"/>
      <c r="G25" s="164"/>
      <c r="H25" s="164"/>
      <c r="I25" s="164"/>
      <c r="J25" s="164"/>
      <c r="K25" s="164"/>
      <c r="L25" s="164"/>
      <c r="M25" s="164"/>
      <c r="N25" s="164"/>
      <c r="O25" s="164"/>
      <c r="P25" s="164"/>
      <c r="Q25" s="164"/>
      <c r="R25" s="164"/>
      <c r="S25" s="164"/>
      <c r="T25" s="164"/>
      <c r="U25" s="164"/>
      <c r="V25" s="164"/>
    </row>
    <row r="26" spans="1:22" ht="28.8">
      <c r="A26" s="164"/>
      <c r="B26" s="10" t="s">
        <v>39</v>
      </c>
      <c r="C26" s="8" t="s">
        <v>41</v>
      </c>
      <c r="D26" s="9">
        <f>Transport!D16</f>
        <v>0.33278519928839112</v>
      </c>
      <c r="E26" s="165"/>
      <c r="F26" s="164"/>
      <c r="G26" s="164"/>
      <c r="H26" s="164"/>
      <c r="I26" s="164"/>
      <c r="J26" s="164"/>
      <c r="K26" s="164"/>
      <c r="L26" s="164"/>
      <c r="M26" s="164"/>
      <c r="N26" s="164"/>
      <c r="O26" s="164"/>
      <c r="P26" s="164"/>
      <c r="Q26" s="164"/>
      <c r="R26" s="164"/>
      <c r="S26" s="164"/>
      <c r="T26" s="164"/>
      <c r="U26" s="164"/>
      <c r="V26" s="164"/>
    </row>
    <row r="27" spans="1:22">
      <c r="A27" s="164"/>
      <c r="B27" s="10" t="s">
        <v>39</v>
      </c>
      <c r="C27" s="8" t="s">
        <v>42</v>
      </c>
      <c r="D27" s="9">
        <f>Transport!D20</f>
        <v>0.34946144764437437</v>
      </c>
      <c r="E27" s="165"/>
      <c r="F27" s="164"/>
      <c r="G27" s="164"/>
      <c r="H27" s="164"/>
      <c r="I27" s="164"/>
      <c r="J27" s="164"/>
      <c r="K27" s="164"/>
      <c r="L27" s="164"/>
      <c r="M27" s="164"/>
      <c r="N27" s="164"/>
      <c r="O27" s="164"/>
      <c r="P27" s="164"/>
      <c r="Q27" s="164"/>
      <c r="R27" s="164"/>
      <c r="S27" s="164"/>
      <c r="T27" s="164"/>
      <c r="U27" s="164"/>
      <c r="V27" s="164"/>
    </row>
    <row r="28" spans="1:22">
      <c r="A28" s="164"/>
      <c r="B28" s="10" t="s">
        <v>39</v>
      </c>
      <c r="C28" s="8" t="s">
        <v>43</v>
      </c>
      <c r="D28" s="12">
        <f>Transport!D24</f>
        <v>0.14579968534863219</v>
      </c>
      <c r="E28" s="165"/>
      <c r="F28" s="164"/>
      <c r="G28" s="164"/>
      <c r="H28" s="164"/>
      <c r="I28" s="164"/>
      <c r="J28" s="164"/>
      <c r="K28" s="164"/>
      <c r="L28" s="164"/>
      <c r="M28" s="164"/>
      <c r="N28" s="164"/>
      <c r="O28" s="164"/>
      <c r="P28" s="164"/>
      <c r="Q28" s="164"/>
      <c r="R28" s="164"/>
      <c r="S28" s="164"/>
      <c r="T28" s="164"/>
      <c r="U28" s="164"/>
      <c r="V28" s="164"/>
    </row>
    <row r="29" spans="1:22">
      <c r="A29" s="164"/>
      <c r="B29" s="10" t="s">
        <v>39</v>
      </c>
      <c r="C29" s="8" t="s">
        <v>44</v>
      </c>
      <c r="D29" s="13">
        <f>Transport!D28</f>
        <v>0.36087826515209709</v>
      </c>
      <c r="E29" s="165"/>
      <c r="F29" s="164"/>
      <c r="G29" s="164"/>
      <c r="H29" s="164"/>
      <c r="I29" s="164"/>
      <c r="J29" s="164"/>
      <c r="K29" s="164"/>
      <c r="L29" s="164"/>
      <c r="M29" s="164"/>
      <c r="N29" s="164"/>
      <c r="O29" s="164"/>
      <c r="P29" s="164"/>
      <c r="Q29" s="164"/>
      <c r="R29" s="164"/>
      <c r="S29" s="164"/>
      <c r="T29" s="164"/>
      <c r="U29" s="164"/>
      <c r="V29" s="164"/>
    </row>
    <row r="30" spans="1:22">
      <c r="A30" s="164"/>
      <c r="B30" s="10" t="s">
        <v>503</v>
      </c>
      <c r="C30" s="8" t="s">
        <v>45</v>
      </c>
      <c r="D30" s="13">
        <f>Transport!D63</f>
        <v>0.13997223571468664</v>
      </c>
      <c r="E30" s="165"/>
      <c r="F30" s="164"/>
      <c r="G30" s="164"/>
      <c r="H30" s="164"/>
      <c r="I30" s="164"/>
      <c r="J30" s="164"/>
      <c r="K30" s="164"/>
      <c r="L30" s="164"/>
      <c r="M30" s="164"/>
      <c r="N30" s="164"/>
      <c r="O30" s="164"/>
      <c r="P30" s="164"/>
      <c r="Q30" s="164"/>
      <c r="R30" s="164"/>
      <c r="S30" s="164"/>
      <c r="T30" s="164"/>
      <c r="U30" s="164"/>
      <c r="V30" s="164"/>
    </row>
    <row r="31" spans="1:22">
      <c r="A31" s="164"/>
      <c r="B31" s="10" t="s">
        <v>46</v>
      </c>
      <c r="C31" s="8" t="s">
        <v>46</v>
      </c>
      <c r="D31" s="13">
        <f>Transport!D36</f>
        <v>6.4256115769875111E-2</v>
      </c>
      <c r="E31" s="165"/>
      <c r="F31" s="164"/>
      <c r="G31" s="164"/>
      <c r="H31" s="164"/>
      <c r="I31" s="164"/>
      <c r="J31" s="164"/>
      <c r="K31" s="164"/>
      <c r="L31" s="164"/>
      <c r="M31" s="164"/>
      <c r="N31" s="164"/>
      <c r="O31" s="164"/>
      <c r="P31" s="164"/>
      <c r="Q31" s="164"/>
      <c r="R31" s="164"/>
      <c r="S31" s="164"/>
      <c r="T31" s="164"/>
      <c r="U31" s="164"/>
      <c r="V31" s="164"/>
    </row>
    <row r="32" spans="1:22" s="387" customFormat="1" ht="34.799999999999997" customHeight="1">
      <c r="A32" s="164"/>
      <c r="B32" s="10" t="s">
        <v>46</v>
      </c>
      <c r="C32" s="8" t="s">
        <v>199</v>
      </c>
      <c r="D32" s="13">
        <f>Transport!D40</f>
        <v>0.18239141109410129</v>
      </c>
      <c r="E32" s="165"/>
      <c r="F32" s="164"/>
      <c r="G32" s="164"/>
      <c r="H32" s="164"/>
      <c r="I32" s="164"/>
      <c r="J32" s="164"/>
      <c r="K32" s="164"/>
      <c r="L32" s="164"/>
      <c r="M32" s="164"/>
      <c r="N32" s="164"/>
      <c r="O32" s="164"/>
      <c r="P32" s="164"/>
      <c r="Q32" s="164"/>
      <c r="R32" s="164"/>
      <c r="S32" s="164"/>
      <c r="T32" s="164"/>
      <c r="U32" s="164"/>
      <c r="V32" s="164"/>
    </row>
    <row r="33" spans="1:22" s="387" customFormat="1" ht="28.8" customHeight="1">
      <c r="A33" s="164"/>
      <c r="B33" s="10" t="s">
        <v>46</v>
      </c>
      <c r="C33" s="8" t="str">
        <f>Transport!B42</f>
        <v>Soutes internationales (aérien)</v>
      </c>
      <c r="D33" s="13">
        <f>Transport!D44</f>
        <v>3.3463362604147284E-2</v>
      </c>
      <c r="E33" s="165"/>
      <c r="F33" s="164"/>
      <c r="G33" s="164"/>
      <c r="H33" s="164"/>
      <c r="I33" s="164"/>
      <c r="J33" s="164"/>
      <c r="K33" s="164"/>
      <c r="L33" s="164"/>
      <c r="M33" s="164"/>
      <c r="N33" s="164"/>
      <c r="O33" s="164"/>
      <c r="P33" s="164"/>
      <c r="Q33" s="164"/>
      <c r="R33" s="164"/>
      <c r="S33" s="164"/>
      <c r="T33" s="164"/>
      <c r="U33" s="164"/>
      <c r="V33" s="164"/>
    </row>
    <row r="34" spans="1:22" ht="28.8">
      <c r="A34" s="164"/>
      <c r="B34" s="10" t="s">
        <v>47</v>
      </c>
      <c r="C34" s="8" t="s">
        <v>48</v>
      </c>
      <c r="D34" s="9">
        <f>Transport!D51</f>
        <v>0.29179468516278451</v>
      </c>
      <c r="E34" s="165"/>
      <c r="F34" s="164"/>
      <c r="G34" s="164"/>
      <c r="H34" s="164"/>
      <c r="I34" s="164"/>
      <c r="J34" s="164"/>
      <c r="K34" s="164"/>
      <c r="L34" s="164"/>
      <c r="M34" s="164"/>
      <c r="N34" s="164"/>
      <c r="O34" s="164"/>
      <c r="P34" s="164"/>
      <c r="Q34" s="164"/>
      <c r="R34" s="164"/>
      <c r="S34" s="164"/>
      <c r="T34" s="164"/>
      <c r="U34" s="164"/>
      <c r="V34" s="164"/>
    </row>
    <row r="35" spans="1:22" ht="28.8">
      <c r="A35" s="164"/>
      <c r="B35" s="10" t="s">
        <v>47</v>
      </c>
      <c r="C35" s="8" t="s">
        <v>49</v>
      </c>
      <c r="D35" s="9">
        <f>Transport!D55</f>
        <v>0.34858644733659616</v>
      </c>
      <c r="E35" s="165"/>
      <c r="F35" s="164"/>
      <c r="G35" s="164"/>
      <c r="H35" s="164"/>
      <c r="I35" s="164"/>
      <c r="J35" s="164"/>
      <c r="K35" s="164"/>
      <c r="L35" s="164"/>
      <c r="M35" s="164"/>
      <c r="N35" s="164"/>
      <c r="O35" s="164"/>
      <c r="P35" s="164"/>
      <c r="Q35" s="164"/>
      <c r="R35" s="164"/>
      <c r="S35" s="164"/>
      <c r="T35" s="164"/>
      <c r="U35" s="164"/>
      <c r="V35" s="164"/>
    </row>
    <row r="36" spans="1:22" ht="28.8">
      <c r="A36" s="164"/>
      <c r="B36" s="10" t="s">
        <v>47</v>
      </c>
      <c r="C36" s="8" t="s">
        <v>50</v>
      </c>
      <c r="D36" s="12">
        <f>Transport!D59</f>
        <v>0.23832499955756214</v>
      </c>
      <c r="E36" s="165"/>
      <c r="F36" s="164"/>
      <c r="G36" s="164"/>
      <c r="H36" s="164"/>
      <c r="I36" s="164"/>
      <c r="J36" s="164"/>
      <c r="K36" s="164"/>
      <c r="L36" s="164"/>
      <c r="M36" s="164"/>
      <c r="N36" s="164"/>
      <c r="O36" s="164"/>
      <c r="P36" s="164"/>
      <c r="Q36" s="164"/>
      <c r="R36" s="164"/>
      <c r="S36" s="164"/>
      <c r="T36" s="164"/>
      <c r="U36" s="164"/>
      <c r="V36" s="164"/>
    </row>
    <row r="37" spans="1:22" s="387" customFormat="1" ht="28.8">
      <c r="A37" s="164"/>
      <c r="B37" s="10" t="s">
        <v>47</v>
      </c>
      <c r="C37" s="8" t="s">
        <v>45</v>
      </c>
      <c r="D37" s="12">
        <f>Transport!D63</f>
        <v>0.13997223571468664</v>
      </c>
      <c r="E37" s="165"/>
      <c r="F37" s="164"/>
      <c r="G37" s="164"/>
      <c r="H37" s="164"/>
      <c r="I37" s="164"/>
      <c r="J37" s="164"/>
      <c r="K37" s="164"/>
      <c r="L37" s="164"/>
      <c r="M37" s="164"/>
      <c r="N37" s="164"/>
      <c r="O37" s="164"/>
      <c r="P37" s="164"/>
      <c r="Q37" s="164"/>
      <c r="R37" s="164"/>
      <c r="S37" s="164"/>
      <c r="T37" s="164"/>
      <c r="U37" s="164"/>
      <c r="V37" s="164"/>
    </row>
    <row r="38" spans="1:22" ht="12.6" customHeight="1">
      <c r="A38" s="164"/>
      <c r="B38" s="10" t="s">
        <v>51</v>
      </c>
      <c r="C38" s="8" t="s">
        <v>51</v>
      </c>
      <c r="D38" s="13">
        <f>Transport!D67</f>
        <v>0.35889626278578779</v>
      </c>
      <c r="E38" s="165"/>
      <c r="F38" s="164"/>
      <c r="G38" s="164"/>
      <c r="H38" s="164"/>
      <c r="I38" s="164"/>
      <c r="J38" s="164"/>
      <c r="K38" s="164"/>
      <c r="L38" s="164"/>
      <c r="M38" s="164"/>
      <c r="N38" s="164"/>
      <c r="O38" s="164"/>
      <c r="P38" s="164"/>
      <c r="Q38" s="164"/>
      <c r="R38" s="164"/>
      <c r="S38" s="164"/>
      <c r="T38" s="164"/>
      <c r="U38" s="164"/>
      <c r="V38" s="164"/>
    </row>
    <row r="39" spans="1:22" s="387" customFormat="1" ht="28.2" customHeight="1">
      <c r="A39" s="164"/>
      <c r="B39" s="10" t="s">
        <v>51</v>
      </c>
      <c r="C39" s="8" t="str">
        <f>Transport!B69</f>
        <v>Navigation domestique (fluviale et maritime)</v>
      </c>
      <c r="D39" s="13">
        <f>Transport!D71</f>
        <v>8.7491592841910215E-2</v>
      </c>
      <c r="E39" s="165"/>
      <c r="F39" s="164"/>
      <c r="G39" s="164"/>
      <c r="H39" s="164"/>
      <c r="I39" s="164"/>
      <c r="J39" s="164"/>
      <c r="K39" s="164"/>
      <c r="L39" s="164"/>
      <c r="M39" s="164"/>
      <c r="N39" s="164"/>
      <c r="O39" s="164"/>
      <c r="P39" s="164"/>
      <c r="Q39" s="164"/>
      <c r="R39" s="164"/>
      <c r="S39" s="164"/>
      <c r="T39" s="164"/>
      <c r="U39" s="164"/>
      <c r="V39" s="164"/>
    </row>
    <row r="40" spans="1:22" s="387" customFormat="1" ht="28.8">
      <c r="A40" s="164"/>
      <c r="B40" s="10" t="s">
        <v>51</v>
      </c>
      <c r="C40" s="8" t="str">
        <f>Transport!B73</f>
        <v>Soutes maritimes internationales</v>
      </c>
      <c r="D40" s="13">
        <f>Transport!D75</f>
        <v>0.53939818179252597</v>
      </c>
      <c r="E40" s="165"/>
      <c r="F40" s="164"/>
      <c r="G40" s="164"/>
      <c r="H40" s="164"/>
      <c r="I40" s="164"/>
      <c r="J40" s="164"/>
      <c r="K40" s="164"/>
      <c r="L40" s="164"/>
      <c r="M40" s="164"/>
      <c r="N40" s="164"/>
      <c r="O40" s="164"/>
      <c r="P40" s="164"/>
      <c r="Q40" s="164"/>
      <c r="R40" s="164"/>
      <c r="S40" s="164"/>
      <c r="T40" s="164"/>
      <c r="U40" s="164"/>
      <c r="V40" s="164"/>
    </row>
    <row r="41" spans="1:22" ht="28.8">
      <c r="A41" s="164"/>
      <c r="B41" s="149" t="s">
        <v>47</v>
      </c>
      <c r="C41" s="8" t="s">
        <v>46</v>
      </c>
      <c r="D41" s="13">
        <f>Transport!D36</f>
        <v>6.4256115769875111E-2</v>
      </c>
      <c r="E41" s="165"/>
      <c r="F41" s="164"/>
      <c r="G41" s="164"/>
      <c r="H41" s="164"/>
      <c r="I41" s="164"/>
      <c r="J41" s="164"/>
      <c r="K41" s="164"/>
      <c r="L41" s="164"/>
      <c r="M41" s="164"/>
      <c r="N41" s="164"/>
      <c r="O41" s="164"/>
      <c r="P41" s="164"/>
      <c r="Q41" s="164"/>
      <c r="R41" s="164"/>
      <c r="S41" s="164"/>
      <c r="T41" s="164"/>
      <c r="U41" s="164"/>
      <c r="V41" s="164"/>
    </row>
    <row r="42" spans="1:22" ht="28.8">
      <c r="A42" s="164"/>
      <c r="B42" s="149" t="s">
        <v>47</v>
      </c>
      <c r="C42" s="8" t="s">
        <v>51</v>
      </c>
      <c r="D42" s="13">
        <f>Transport!D67</f>
        <v>0.35889626278578779</v>
      </c>
      <c r="E42" s="165"/>
      <c r="F42" s="164"/>
      <c r="G42" s="164"/>
      <c r="H42" s="164"/>
      <c r="I42" s="164"/>
      <c r="J42" s="164"/>
      <c r="K42" s="164"/>
      <c r="L42" s="164"/>
      <c r="M42" s="164"/>
      <c r="N42" s="164"/>
      <c r="O42" s="164"/>
      <c r="P42" s="164"/>
      <c r="Q42" s="164"/>
      <c r="R42" s="164"/>
      <c r="S42" s="164"/>
      <c r="T42" s="164"/>
      <c r="U42" s="164"/>
      <c r="V42" s="164"/>
    </row>
    <row r="43" spans="1:22" ht="58.8" customHeight="1">
      <c r="A43" s="164"/>
      <c r="B43" s="10" t="s">
        <v>52</v>
      </c>
      <c r="C43" s="149" t="s">
        <v>656</v>
      </c>
      <c r="D43" s="9">
        <f>Agriculture!D10</f>
        <v>0.17445964909002531</v>
      </c>
      <c r="E43" s="165"/>
      <c r="F43" s="164"/>
      <c r="G43" s="164"/>
      <c r="H43" s="164"/>
      <c r="I43" s="164"/>
      <c r="J43" s="164"/>
      <c r="K43" s="164"/>
      <c r="L43" s="164"/>
      <c r="M43" s="164"/>
      <c r="N43" s="164"/>
      <c r="O43" s="164"/>
      <c r="P43" s="164"/>
      <c r="Q43" s="164"/>
      <c r="R43" s="164"/>
      <c r="S43" s="164"/>
      <c r="T43" s="164"/>
      <c r="U43" s="164"/>
      <c r="V43" s="164"/>
    </row>
    <row r="44" spans="1:22" ht="15" customHeight="1">
      <c r="A44" s="164"/>
      <c r="B44" s="10" t="s">
        <v>52</v>
      </c>
      <c r="C44" s="150" t="s">
        <v>53</v>
      </c>
      <c r="D44" s="9">
        <f>Agriculture!D39</f>
        <v>0.21999605695591051</v>
      </c>
      <c r="E44" s="165"/>
      <c r="F44" s="164"/>
      <c r="G44" s="164"/>
      <c r="H44" s="164"/>
      <c r="I44" s="164"/>
      <c r="J44" s="164"/>
      <c r="K44" s="164"/>
      <c r="L44" s="164"/>
      <c r="M44" s="164"/>
      <c r="N44" s="164"/>
      <c r="O44" s="164"/>
      <c r="P44" s="164"/>
      <c r="Q44" s="164"/>
      <c r="R44" s="164"/>
      <c r="S44" s="164"/>
      <c r="T44" s="164"/>
      <c r="U44" s="164"/>
      <c r="V44" s="164"/>
    </row>
    <row r="45" spans="1:22">
      <c r="A45" s="164"/>
      <c r="B45" s="10" t="s">
        <v>52</v>
      </c>
      <c r="C45" s="150" t="s">
        <v>54</v>
      </c>
      <c r="D45" s="160">
        <f>Agriculture!D43</f>
        <v>0.30312760195621247</v>
      </c>
      <c r="E45" s="246" t="s">
        <v>55</v>
      </c>
      <c r="F45" s="164"/>
      <c r="G45" s="164"/>
      <c r="H45" s="164"/>
      <c r="I45" s="164"/>
      <c r="J45" s="164"/>
      <c r="K45" s="164"/>
      <c r="L45" s="164"/>
      <c r="M45" s="164"/>
      <c r="N45" s="164"/>
      <c r="O45" s="164"/>
      <c r="P45" s="164"/>
      <c r="Q45" s="164"/>
      <c r="R45" s="164"/>
      <c r="S45" s="164"/>
      <c r="T45" s="164"/>
      <c r="U45" s="164"/>
      <c r="V45" s="164"/>
    </row>
    <row r="46" spans="1:22" ht="28.8">
      <c r="A46" s="164"/>
      <c r="B46" s="10" t="s">
        <v>52</v>
      </c>
      <c r="C46" s="150" t="s">
        <v>56</v>
      </c>
      <c r="D46" s="161">
        <f>Agriculture!D47</f>
        <v>0.13434481682135657</v>
      </c>
      <c r="E46" s="246" t="s">
        <v>55</v>
      </c>
      <c r="F46" s="164"/>
      <c r="G46" s="164"/>
      <c r="H46" s="164"/>
      <c r="I46" s="164"/>
      <c r="J46" s="164"/>
      <c r="K46" s="164"/>
      <c r="L46" s="164"/>
      <c r="M46" s="164"/>
      <c r="N46" s="164"/>
      <c r="O46" s="164"/>
      <c r="P46" s="164"/>
      <c r="Q46" s="164"/>
      <c r="R46" s="164"/>
      <c r="S46" s="164"/>
      <c r="T46" s="164"/>
      <c r="U46" s="164"/>
      <c r="V46" s="164"/>
    </row>
    <row r="47" spans="1:22" ht="42.6" customHeight="1">
      <c r="A47" s="164"/>
      <c r="B47" s="10" t="s">
        <v>52</v>
      </c>
      <c r="C47" s="150" t="s">
        <v>57</v>
      </c>
      <c r="D47" s="160">
        <f>Agriculture!D53</f>
        <v>0.15856645806049807</v>
      </c>
      <c r="E47" s="246" t="s">
        <v>58</v>
      </c>
      <c r="F47" s="164"/>
      <c r="G47" s="164"/>
      <c r="H47" s="164"/>
      <c r="I47" s="164"/>
      <c r="J47" s="164"/>
      <c r="K47" s="164"/>
      <c r="L47" s="164"/>
      <c r="M47" s="164"/>
      <c r="N47" s="164"/>
      <c r="O47" s="164"/>
      <c r="P47" s="164"/>
      <c r="Q47" s="164"/>
      <c r="R47" s="164"/>
      <c r="S47" s="164"/>
      <c r="T47" s="164"/>
      <c r="U47" s="164"/>
      <c r="V47" s="164"/>
    </row>
    <row r="48" spans="1:22">
      <c r="A48" s="164"/>
      <c r="B48" s="10" t="s">
        <v>52</v>
      </c>
      <c r="C48" s="150" t="s">
        <v>59</v>
      </c>
      <c r="D48" s="160">
        <f>Agriculture!D17</f>
        <v>0.15742377349555403</v>
      </c>
      <c r="E48" s="246"/>
      <c r="F48" s="164"/>
      <c r="G48" s="164"/>
      <c r="H48" s="164"/>
      <c r="I48" s="164"/>
      <c r="J48" s="164"/>
      <c r="K48" s="164"/>
      <c r="L48" s="164"/>
      <c r="M48" s="164"/>
      <c r="N48" s="164"/>
      <c r="O48" s="164"/>
      <c r="P48" s="164"/>
      <c r="Q48" s="164"/>
      <c r="R48" s="164"/>
      <c r="S48" s="164"/>
      <c r="T48" s="164"/>
      <c r="U48" s="164"/>
      <c r="V48" s="164"/>
    </row>
    <row r="49" spans="1:22">
      <c r="A49" s="164"/>
      <c r="B49" s="10" t="s">
        <v>52</v>
      </c>
      <c r="C49" s="150" t="s">
        <v>60</v>
      </c>
      <c r="D49" s="160">
        <f>Agriculture!D21</f>
        <v>0.16505196894280016</v>
      </c>
      <c r="E49" s="246" t="s">
        <v>61</v>
      </c>
      <c r="F49" s="164"/>
      <c r="G49" s="164"/>
      <c r="H49" s="164"/>
      <c r="I49" s="164"/>
      <c r="J49" s="164"/>
      <c r="K49" s="164"/>
      <c r="L49" s="164"/>
      <c r="M49" s="164"/>
      <c r="N49" s="164"/>
      <c r="O49" s="164"/>
      <c r="P49" s="164"/>
      <c r="Q49" s="164"/>
      <c r="R49" s="164"/>
      <c r="S49" s="164"/>
      <c r="T49" s="164"/>
      <c r="U49" s="164"/>
      <c r="V49" s="164"/>
    </row>
    <row r="50" spans="1:22">
      <c r="A50" s="164"/>
      <c r="B50" s="10" t="s">
        <v>52</v>
      </c>
      <c r="C50" s="150" t="s">
        <v>62</v>
      </c>
      <c r="D50" s="162">
        <f>Agriculture!D25</f>
        <v>0.19715072644447851</v>
      </c>
      <c r="E50" s="246" t="s">
        <v>61</v>
      </c>
      <c r="F50" s="164"/>
      <c r="G50" s="164"/>
      <c r="H50" s="164"/>
      <c r="I50" s="164"/>
      <c r="J50" s="164"/>
      <c r="K50" s="164"/>
      <c r="L50" s="164"/>
      <c r="M50" s="164"/>
      <c r="N50" s="164"/>
      <c r="O50" s="164"/>
      <c r="P50" s="164"/>
      <c r="Q50" s="164"/>
      <c r="R50" s="164"/>
      <c r="S50" s="164"/>
      <c r="T50" s="164"/>
      <c r="U50" s="164"/>
      <c r="V50" s="164"/>
    </row>
    <row r="51" spans="1:22" ht="43.2">
      <c r="A51" s="164"/>
      <c r="B51" s="10" t="s">
        <v>52</v>
      </c>
      <c r="C51" s="150" t="s">
        <v>63</v>
      </c>
      <c r="D51" s="161">
        <f>Agriculture!D29</f>
        <v>-7.968295378190815E-2</v>
      </c>
      <c r="E51" s="366" t="s">
        <v>586</v>
      </c>
      <c r="F51" s="164"/>
      <c r="G51" s="164"/>
      <c r="H51" s="164"/>
      <c r="I51" s="164"/>
      <c r="J51" s="164"/>
      <c r="K51" s="164"/>
      <c r="L51" s="164"/>
      <c r="M51" s="164"/>
      <c r="N51" s="164"/>
      <c r="O51" s="164"/>
      <c r="P51" s="164"/>
      <c r="Q51" s="164"/>
      <c r="R51" s="164"/>
      <c r="S51" s="164"/>
      <c r="T51" s="164"/>
      <c r="U51" s="164"/>
      <c r="V51" s="164"/>
    </row>
    <row r="52" spans="1:22" ht="28.8">
      <c r="A52" s="164"/>
      <c r="B52" s="10" t="s">
        <v>52</v>
      </c>
      <c r="C52" s="150" t="s">
        <v>64</v>
      </c>
      <c r="D52" s="161">
        <f>Agriculture!D33</f>
        <v>7.5040899860932431E-2</v>
      </c>
      <c r="E52" s="246" t="s">
        <v>61</v>
      </c>
      <c r="F52" s="164"/>
      <c r="G52" s="164"/>
      <c r="H52" s="164"/>
      <c r="I52" s="164"/>
      <c r="J52" s="164"/>
      <c r="K52" s="164"/>
      <c r="L52" s="164"/>
      <c r="M52" s="164"/>
      <c r="N52" s="164"/>
      <c r="O52" s="164"/>
      <c r="P52" s="164"/>
      <c r="Q52" s="164"/>
      <c r="R52" s="164"/>
      <c r="S52" s="164"/>
      <c r="T52" s="164"/>
      <c r="U52" s="164"/>
      <c r="V52" s="164"/>
    </row>
    <row r="53" spans="1:22">
      <c r="A53" s="164"/>
      <c r="B53" s="10" t="s">
        <v>65</v>
      </c>
      <c r="C53" s="10" t="s">
        <v>66</v>
      </c>
      <c r="D53" s="9">
        <f>Déchets!D10</f>
        <v>0.25994141718532393</v>
      </c>
      <c r="E53" s="403"/>
      <c r="F53" s="164"/>
      <c r="G53" s="164"/>
      <c r="H53" s="164"/>
      <c r="I53" s="164"/>
      <c r="J53" s="164"/>
      <c r="K53" s="164"/>
      <c r="L53" s="164"/>
      <c r="M53" s="164"/>
      <c r="N53" s="164"/>
      <c r="O53" s="164"/>
      <c r="P53" s="164"/>
      <c r="Q53" s="164"/>
      <c r="R53" s="164"/>
      <c r="S53" s="164"/>
      <c r="T53" s="164"/>
      <c r="U53" s="164"/>
      <c r="V53" s="164"/>
    </row>
    <row r="54" spans="1:22" ht="19.95" customHeight="1">
      <c r="A54" s="164"/>
      <c r="B54" s="10" t="s">
        <v>65</v>
      </c>
      <c r="C54" s="8" t="s">
        <v>67</v>
      </c>
      <c r="D54" s="9">
        <f>Déchets!D14</f>
        <v>0.3492901742193053</v>
      </c>
      <c r="E54" s="403"/>
      <c r="F54" s="164"/>
      <c r="G54" s="164"/>
      <c r="H54" s="164"/>
      <c r="I54" s="164"/>
      <c r="J54" s="164"/>
      <c r="K54" s="164"/>
      <c r="L54" s="164"/>
      <c r="M54" s="164"/>
      <c r="N54" s="164"/>
      <c r="O54" s="164"/>
      <c r="P54" s="164"/>
      <c r="Q54" s="164"/>
      <c r="R54" s="164"/>
      <c r="S54" s="164"/>
      <c r="T54" s="164"/>
      <c r="U54" s="164"/>
      <c r="V54" s="164"/>
    </row>
    <row r="55" spans="1:22" ht="28.8">
      <c r="A55" s="164"/>
      <c r="B55" s="10" t="s">
        <v>65</v>
      </c>
      <c r="C55" s="8" t="s">
        <v>68</v>
      </c>
      <c r="D55" s="12">
        <f>Déchets!D18</f>
        <v>3.458171733762927E-2</v>
      </c>
      <c r="E55" s="403" t="s">
        <v>587</v>
      </c>
      <c r="F55" s="164"/>
      <c r="G55" s="164"/>
      <c r="H55" s="164"/>
      <c r="I55" s="164"/>
      <c r="J55" s="164"/>
      <c r="K55" s="164"/>
      <c r="L55" s="164"/>
      <c r="M55" s="164"/>
      <c r="N55" s="164"/>
      <c r="O55" s="164"/>
      <c r="P55" s="164"/>
      <c r="Q55" s="164"/>
      <c r="R55" s="164"/>
      <c r="S55" s="164"/>
      <c r="T55" s="164"/>
      <c r="U55" s="164"/>
      <c r="V55" s="164"/>
    </row>
    <row r="56" spans="1:22" ht="28.2" customHeight="1">
      <c r="A56" s="164"/>
      <c r="B56" s="10" t="s">
        <v>65</v>
      </c>
      <c r="C56" s="8" t="s">
        <v>69</v>
      </c>
      <c r="D56" s="13">
        <f>Déchets!D22</f>
        <v>5.2260247706849783E-2</v>
      </c>
      <c r="E56" s="403" t="s">
        <v>587</v>
      </c>
      <c r="F56" s="164"/>
      <c r="G56" s="164"/>
      <c r="H56" s="164"/>
      <c r="I56" s="164"/>
      <c r="J56" s="164"/>
      <c r="K56" s="164"/>
      <c r="L56" s="164"/>
      <c r="M56" s="164"/>
      <c r="N56" s="164"/>
      <c r="O56" s="164"/>
      <c r="P56" s="164"/>
      <c r="Q56" s="164"/>
      <c r="R56" s="164"/>
      <c r="S56" s="164"/>
      <c r="T56" s="164"/>
      <c r="U56" s="164"/>
      <c r="V56" s="164"/>
    </row>
    <row r="57" spans="1:22" ht="28.8">
      <c r="A57" s="164"/>
      <c r="B57" s="10" t="s">
        <v>65</v>
      </c>
      <c r="C57" s="8" t="s">
        <v>70</v>
      </c>
      <c r="D57" s="13">
        <f>Déchets!D26</f>
        <v>2.39843684441301E-2</v>
      </c>
      <c r="E57" s="403"/>
      <c r="F57" s="164"/>
      <c r="G57" s="164"/>
      <c r="H57" s="164"/>
      <c r="I57" s="164"/>
      <c r="J57" s="164"/>
      <c r="K57" s="164"/>
      <c r="L57" s="164"/>
      <c r="M57" s="164"/>
      <c r="N57" s="164"/>
      <c r="O57" s="164"/>
      <c r="P57" s="164"/>
      <c r="Q57" s="164"/>
      <c r="R57" s="164"/>
      <c r="S57" s="164"/>
      <c r="T57" s="164"/>
      <c r="U57" s="164"/>
      <c r="V57" s="164"/>
    </row>
    <row r="58" spans="1:22" ht="57.6">
      <c r="A58" s="164"/>
      <c r="B58" s="10" t="s">
        <v>71</v>
      </c>
      <c r="C58" s="10" t="s">
        <v>509</v>
      </c>
      <c r="D58" s="9">
        <f>Energie!D10</f>
        <v>0.46268695720380026</v>
      </c>
      <c r="E58" s="403" t="s">
        <v>657</v>
      </c>
      <c r="F58" s="164"/>
      <c r="G58" s="164"/>
      <c r="H58" s="164"/>
      <c r="I58" s="164"/>
      <c r="J58" s="164"/>
      <c r="K58" s="164"/>
      <c r="L58" s="164"/>
      <c r="M58" s="164"/>
      <c r="N58" s="164"/>
      <c r="O58" s="164"/>
      <c r="P58" s="164"/>
      <c r="Q58" s="164"/>
      <c r="R58" s="164"/>
      <c r="S58" s="164"/>
      <c r="T58" s="164"/>
      <c r="U58" s="164"/>
      <c r="V58" s="164"/>
    </row>
    <row r="59" spans="1:22" ht="28.8">
      <c r="A59" s="164"/>
      <c r="B59" s="10" t="s">
        <v>73</v>
      </c>
      <c r="C59" s="8" t="s">
        <v>74</v>
      </c>
      <c r="D59" s="9">
        <f>Energie!D14</f>
        <v>0.72258629407079755</v>
      </c>
      <c r="E59" s="165"/>
      <c r="F59" s="164"/>
      <c r="G59" s="164"/>
      <c r="H59" s="164"/>
      <c r="I59" s="164"/>
      <c r="J59" s="164"/>
      <c r="K59" s="164"/>
      <c r="L59" s="164"/>
      <c r="M59" s="164"/>
      <c r="N59" s="164"/>
      <c r="O59" s="164"/>
      <c r="P59" s="164"/>
      <c r="Q59" s="164"/>
      <c r="R59" s="164"/>
      <c r="S59" s="164"/>
      <c r="T59" s="164"/>
      <c r="U59" s="164"/>
      <c r="V59" s="164"/>
    </row>
    <row r="60" spans="1:22" ht="43.2">
      <c r="A60" s="164"/>
      <c r="B60" s="10" t="s">
        <v>75</v>
      </c>
      <c r="C60" s="8" t="s">
        <v>76</v>
      </c>
      <c r="D60" s="12">
        <f>Energie!D18</f>
        <v>5.7191174332766215E-2</v>
      </c>
      <c r="E60" s="165"/>
      <c r="F60" s="164"/>
      <c r="G60" s="164"/>
      <c r="H60" s="164"/>
      <c r="I60" s="164"/>
      <c r="J60" s="164"/>
      <c r="K60" s="164"/>
      <c r="L60" s="164"/>
      <c r="M60" s="164"/>
      <c r="N60" s="164"/>
      <c r="O60" s="164"/>
      <c r="P60" s="164"/>
      <c r="Q60" s="164"/>
      <c r="R60" s="164"/>
      <c r="S60" s="164"/>
      <c r="T60" s="164"/>
      <c r="U60" s="164"/>
      <c r="V60" s="164"/>
    </row>
    <row r="61" spans="1:22" ht="28.8">
      <c r="A61" s="164"/>
      <c r="B61" s="10" t="s">
        <v>77</v>
      </c>
      <c r="C61" s="8" t="s">
        <v>78</v>
      </c>
      <c r="D61" s="13">
        <f>Energie!D22</f>
        <v>0.42627857970736027</v>
      </c>
      <c r="E61" s="165"/>
      <c r="F61" s="164"/>
      <c r="G61" s="164"/>
      <c r="H61" s="164"/>
      <c r="I61" s="164"/>
      <c r="J61" s="164"/>
      <c r="K61" s="164"/>
      <c r="L61" s="164"/>
      <c r="M61" s="164"/>
      <c r="N61" s="164"/>
      <c r="O61" s="164"/>
      <c r="P61" s="164"/>
      <c r="Q61" s="164"/>
      <c r="R61" s="164"/>
      <c r="S61" s="164"/>
      <c r="T61" s="164"/>
      <c r="U61" s="164"/>
      <c r="V61" s="164"/>
    </row>
    <row r="62" spans="1:22" ht="43.2">
      <c r="A62" s="164"/>
      <c r="B62" s="149" t="s">
        <v>79</v>
      </c>
      <c r="C62" s="150" t="s">
        <v>80</v>
      </c>
      <c r="D62" s="151">
        <f>Energie!D26</f>
        <v>0.6157629352017171</v>
      </c>
      <c r="E62" s="246" t="s">
        <v>81</v>
      </c>
      <c r="F62" s="164"/>
      <c r="G62" s="164"/>
      <c r="H62" s="164"/>
      <c r="I62" s="164"/>
      <c r="J62" s="164"/>
      <c r="K62" s="164"/>
      <c r="L62" s="164"/>
      <c r="M62" s="164"/>
      <c r="N62" s="164"/>
      <c r="O62" s="164"/>
      <c r="P62" s="164"/>
      <c r="Q62" s="164"/>
      <c r="R62" s="164"/>
      <c r="S62" s="164"/>
      <c r="T62" s="164"/>
      <c r="U62" s="164"/>
      <c r="V62" s="164"/>
    </row>
    <row r="63" spans="1:22" ht="28.8">
      <c r="A63" s="164"/>
      <c r="B63" s="10" t="s">
        <v>82</v>
      </c>
      <c r="C63" s="8" t="s">
        <v>83</v>
      </c>
      <c r="D63" s="13">
        <f>Energie!D46</f>
        <v>5.3004539252839211E-2</v>
      </c>
      <c r="E63" s="165"/>
      <c r="F63" s="164"/>
      <c r="G63" s="164"/>
      <c r="H63" s="164"/>
      <c r="I63" s="164"/>
      <c r="J63" s="164"/>
      <c r="K63" s="164"/>
      <c r="L63" s="164"/>
      <c r="M63" s="164"/>
      <c r="N63" s="164"/>
      <c r="O63" s="164"/>
      <c r="P63" s="164"/>
      <c r="Q63" s="164"/>
      <c r="R63" s="164"/>
      <c r="S63" s="164"/>
      <c r="T63" s="164"/>
      <c r="U63" s="164"/>
      <c r="V63" s="164"/>
    </row>
    <row r="64" spans="1:22" ht="57.6">
      <c r="A64" s="164"/>
      <c r="B64" s="10" t="s">
        <v>597</v>
      </c>
      <c r="C64" s="8" t="s">
        <v>84</v>
      </c>
      <c r="D64" s="156">
        <f>UTCATF!D10</f>
        <v>0.40038812728751305</v>
      </c>
      <c r="E64" s="165" t="s">
        <v>658</v>
      </c>
      <c r="F64" s="164"/>
      <c r="G64" s="164"/>
      <c r="H64" s="164"/>
      <c r="I64" s="164"/>
      <c r="J64" s="164"/>
      <c r="K64" s="164"/>
      <c r="L64" s="164"/>
      <c r="M64" s="164"/>
      <c r="N64" s="164"/>
      <c r="O64" s="164"/>
      <c r="P64" s="164"/>
      <c r="Q64" s="164"/>
      <c r="R64" s="164"/>
      <c r="S64" s="164"/>
      <c r="T64" s="164"/>
      <c r="U64" s="164"/>
      <c r="V64" s="164"/>
    </row>
    <row r="65" spans="1:22" ht="57.6">
      <c r="A65" s="164"/>
      <c r="B65" s="10" t="s">
        <v>597</v>
      </c>
      <c r="C65" s="10" t="s">
        <v>85</v>
      </c>
      <c r="D65" s="156">
        <f>UTCATF!D14</f>
        <v>0.46349196737869913</v>
      </c>
      <c r="E65" s="165" t="s">
        <v>658</v>
      </c>
      <c r="F65" s="164"/>
      <c r="G65" s="164"/>
      <c r="H65" s="164"/>
      <c r="I65" s="164"/>
      <c r="J65" s="164"/>
      <c r="K65" s="164"/>
      <c r="L65" s="164"/>
      <c r="M65" s="164"/>
      <c r="N65" s="164"/>
      <c r="O65" s="164"/>
      <c r="P65" s="164"/>
      <c r="Q65" s="164"/>
      <c r="R65" s="164"/>
      <c r="S65" s="164"/>
      <c r="T65" s="164"/>
      <c r="U65" s="164"/>
      <c r="V65" s="164"/>
    </row>
    <row r="66" spans="1:22" ht="57.6">
      <c r="A66" s="164"/>
      <c r="B66" s="10" t="s">
        <v>597</v>
      </c>
      <c r="C66" s="10" t="s">
        <v>86</v>
      </c>
      <c r="D66" s="408">
        <f>UTCATF!D18</f>
        <v>0.55453314672638099</v>
      </c>
      <c r="E66" s="165" t="s">
        <v>658</v>
      </c>
      <c r="F66" s="164"/>
      <c r="G66" s="164"/>
      <c r="H66" s="164"/>
      <c r="I66" s="164"/>
      <c r="J66" s="164"/>
      <c r="K66" s="164"/>
      <c r="L66" s="164"/>
      <c r="M66" s="164"/>
      <c r="N66" s="164"/>
      <c r="O66" s="164"/>
      <c r="P66" s="164"/>
      <c r="Q66" s="164"/>
      <c r="R66" s="164"/>
      <c r="S66" s="164"/>
      <c r="T66" s="164"/>
      <c r="U66" s="164"/>
      <c r="V66" s="164"/>
    </row>
    <row r="67" spans="1:22" ht="57.6">
      <c r="A67" s="164"/>
      <c r="B67" s="10" t="s">
        <v>597</v>
      </c>
      <c r="C67" s="10" t="s">
        <v>87</v>
      </c>
      <c r="D67" s="156">
        <f>UTCATF!D22</f>
        <v>0.53713283860686567</v>
      </c>
      <c r="E67" s="165" t="s">
        <v>658</v>
      </c>
      <c r="F67" s="164"/>
      <c r="G67" s="164"/>
      <c r="H67" s="164"/>
      <c r="I67" s="164"/>
      <c r="J67" s="164"/>
      <c r="K67" s="164"/>
      <c r="L67" s="164"/>
      <c r="M67" s="164"/>
      <c r="N67" s="164"/>
      <c r="O67" s="164"/>
      <c r="P67" s="164"/>
      <c r="Q67" s="164"/>
      <c r="R67" s="164"/>
      <c r="S67" s="164"/>
      <c r="T67" s="164"/>
      <c r="U67" s="164"/>
      <c r="V67" s="164"/>
    </row>
    <row r="68" spans="1:22" ht="57.6">
      <c r="A68" s="164"/>
      <c r="B68" s="10" t="s">
        <v>597</v>
      </c>
      <c r="C68" s="10" t="s">
        <v>88</v>
      </c>
      <c r="D68" s="156">
        <f>UTCATF!D26</f>
        <v>0.3472540054559986</v>
      </c>
      <c r="E68" s="165" t="s">
        <v>658</v>
      </c>
      <c r="F68" s="164"/>
      <c r="G68" s="164"/>
      <c r="H68" s="164"/>
      <c r="I68" s="164"/>
      <c r="J68" s="164"/>
      <c r="K68" s="164"/>
      <c r="L68" s="164"/>
      <c r="M68" s="164"/>
      <c r="N68" s="164"/>
      <c r="O68" s="164"/>
      <c r="P68" s="164"/>
      <c r="Q68" s="164"/>
      <c r="R68" s="164"/>
      <c r="S68" s="164"/>
      <c r="T68" s="164"/>
      <c r="U68" s="164"/>
      <c r="V68" s="164"/>
    </row>
    <row r="69" spans="1:22" s="387" customFormat="1" ht="57.6">
      <c r="A69" s="164"/>
      <c r="B69" s="10" t="s">
        <v>597</v>
      </c>
      <c r="C69" s="152" t="str">
        <f>UTCATF!B28</f>
        <v>Produits bois</v>
      </c>
      <c r="D69" s="407">
        <f>UTCATF!D30</f>
        <v>-2.7229716197807603</v>
      </c>
      <c r="E69" s="165" t="s">
        <v>658</v>
      </c>
      <c r="F69" s="164"/>
      <c r="G69" s="164"/>
      <c r="H69" s="164"/>
      <c r="I69" s="164"/>
      <c r="J69" s="164"/>
      <c r="K69" s="164"/>
      <c r="L69" s="164"/>
      <c r="M69" s="164"/>
      <c r="N69" s="164"/>
      <c r="O69" s="164"/>
      <c r="P69" s="164"/>
      <c r="Q69" s="164"/>
      <c r="R69" s="164"/>
      <c r="S69" s="164"/>
      <c r="T69" s="164"/>
      <c r="U69" s="164"/>
      <c r="V69" s="164"/>
    </row>
    <row r="70" spans="1:22" s="387" customFormat="1" ht="57.6">
      <c r="A70" s="164"/>
      <c r="B70" s="10" t="s">
        <v>597</v>
      </c>
      <c r="C70" s="10" t="str">
        <f>UTCATF!B32</f>
        <v>Autres terres et barrages</v>
      </c>
      <c r="D70" s="156">
        <f>UTCATF!D34</f>
        <v>7.8891118286864348E-2</v>
      </c>
      <c r="E70" s="165" t="s">
        <v>658</v>
      </c>
      <c r="F70" s="164"/>
      <c r="G70" s="164"/>
      <c r="H70" s="164"/>
      <c r="I70" s="164"/>
      <c r="J70" s="164"/>
      <c r="K70" s="164"/>
      <c r="L70" s="164"/>
      <c r="M70" s="164"/>
      <c r="N70" s="164"/>
      <c r="O70" s="164"/>
      <c r="P70" s="164"/>
      <c r="Q70" s="164"/>
      <c r="R70" s="164"/>
      <c r="S70" s="164"/>
      <c r="T70" s="164"/>
      <c r="U70" s="164"/>
      <c r="V70" s="164"/>
    </row>
    <row r="71" spans="1:22">
      <c r="A71" s="164"/>
      <c r="B71" s="166"/>
      <c r="C71" s="167"/>
      <c r="D71" s="167"/>
      <c r="E71" s="165"/>
      <c r="F71" s="164"/>
      <c r="G71" s="164"/>
      <c r="H71" s="164"/>
      <c r="I71" s="164"/>
      <c r="J71" s="164"/>
      <c r="K71" s="164"/>
      <c r="L71" s="164"/>
      <c r="M71" s="164"/>
      <c r="N71" s="164"/>
      <c r="O71" s="164"/>
      <c r="P71" s="164"/>
      <c r="Q71" s="164"/>
      <c r="R71" s="164"/>
      <c r="S71" s="164"/>
      <c r="T71" s="164"/>
      <c r="U71" s="164"/>
      <c r="V71" s="164"/>
    </row>
    <row r="72" spans="1:22">
      <c r="A72" s="164"/>
      <c r="B72" s="166"/>
      <c r="C72" s="167"/>
      <c r="D72" s="167"/>
      <c r="E72" s="165"/>
      <c r="F72" s="164"/>
      <c r="G72" s="164"/>
      <c r="H72" s="164"/>
      <c r="I72" s="164"/>
      <c r="J72" s="164"/>
      <c r="K72" s="164"/>
      <c r="L72" s="164"/>
      <c r="M72" s="164"/>
      <c r="N72" s="164"/>
      <c r="O72" s="164"/>
      <c r="P72" s="164"/>
      <c r="Q72" s="164"/>
      <c r="R72" s="164"/>
      <c r="S72" s="164"/>
      <c r="T72" s="164"/>
      <c r="U72" s="164"/>
      <c r="V72" s="164"/>
    </row>
    <row r="73" spans="1:22">
      <c r="A73" s="164"/>
      <c r="B73" s="166"/>
      <c r="C73" s="167"/>
      <c r="D73" s="167"/>
      <c r="E73" s="165"/>
      <c r="F73" s="164"/>
      <c r="G73" s="164"/>
      <c r="H73" s="164"/>
      <c r="I73" s="164"/>
      <c r="J73" s="164"/>
      <c r="K73" s="164"/>
      <c r="L73" s="164"/>
      <c r="M73" s="164"/>
      <c r="N73" s="164"/>
      <c r="O73" s="164"/>
      <c r="P73" s="164"/>
      <c r="Q73" s="164"/>
      <c r="R73" s="164"/>
      <c r="S73" s="164"/>
      <c r="T73" s="164"/>
      <c r="U73" s="164"/>
      <c r="V73" s="164"/>
    </row>
    <row r="74" spans="1:22">
      <c r="A74" s="164"/>
      <c r="B74" s="166"/>
      <c r="C74" s="167"/>
      <c r="D74" s="167"/>
      <c r="E74" s="165"/>
      <c r="F74" s="164"/>
      <c r="G74" s="164"/>
      <c r="H74" s="164"/>
      <c r="I74" s="164"/>
      <c r="J74" s="164"/>
      <c r="K74" s="164"/>
      <c r="L74" s="164"/>
      <c r="M74" s="164"/>
      <c r="N74" s="164"/>
      <c r="O74" s="164"/>
      <c r="P74" s="164"/>
      <c r="Q74" s="164"/>
      <c r="R74" s="164"/>
      <c r="S74" s="164"/>
      <c r="T74" s="164"/>
      <c r="U74" s="164"/>
      <c r="V74" s="164"/>
    </row>
    <row r="75" spans="1:22">
      <c r="A75" s="164"/>
      <c r="B75" s="166"/>
      <c r="C75" s="167"/>
      <c r="D75" s="167"/>
      <c r="E75" s="165"/>
      <c r="F75" s="164"/>
      <c r="G75" s="164"/>
      <c r="H75" s="164"/>
      <c r="I75" s="164"/>
      <c r="J75" s="164"/>
      <c r="K75" s="164"/>
      <c r="L75" s="164"/>
      <c r="M75" s="164"/>
      <c r="N75" s="164"/>
      <c r="O75" s="164"/>
      <c r="P75" s="164"/>
      <c r="Q75" s="164"/>
      <c r="R75" s="164"/>
      <c r="S75" s="164"/>
      <c r="T75" s="164"/>
      <c r="U75" s="164"/>
      <c r="V75" s="164"/>
    </row>
    <row r="76" spans="1:22">
      <c r="A76" s="164"/>
      <c r="B76" s="166"/>
      <c r="C76" s="167"/>
      <c r="D76" s="167"/>
      <c r="E76" s="165"/>
      <c r="F76" s="164"/>
      <c r="G76" s="164"/>
      <c r="H76" s="164"/>
      <c r="I76" s="164"/>
      <c r="J76" s="164"/>
      <c r="K76" s="164"/>
      <c r="L76" s="164"/>
      <c r="M76" s="164"/>
      <c r="N76" s="164"/>
      <c r="O76" s="164"/>
      <c r="P76" s="164"/>
      <c r="Q76" s="164"/>
      <c r="R76" s="164"/>
      <c r="S76" s="164"/>
      <c r="T76" s="164"/>
      <c r="U76" s="164"/>
      <c r="V76" s="164"/>
    </row>
    <row r="77" spans="1:22">
      <c r="A77" s="164"/>
      <c r="B77" s="166"/>
      <c r="C77" s="167"/>
      <c r="D77" s="167"/>
      <c r="E77" s="165"/>
      <c r="F77" s="164"/>
      <c r="G77" s="164"/>
      <c r="H77" s="164"/>
      <c r="I77" s="164"/>
      <c r="J77" s="164"/>
      <c r="K77" s="164"/>
      <c r="L77" s="164"/>
      <c r="M77" s="164"/>
      <c r="N77" s="164"/>
      <c r="O77" s="164"/>
      <c r="P77" s="164"/>
      <c r="Q77" s="164"/>
      <c r="R77" s="164"/>
      <c r="S77" s="164"/>
      <c r="T77" s="164"/>
      <c r="U77" s="164"/>
      <c r="V77" s="164"/>
    </row>
    <row r="78" spans="1:22">
      <c r="A78" s="164"/>
      <c r="B78" s="166"/>
      <c r="C78" s="167"/>
      <c r="D78" s="167"/>
      <c r="E78" s="165"/>
      <c r="F78" s="164"/>
      <c r="G78" s="164"/>
      <c r="H78" s="164"/>
      <c r="I78" s="164"/>
      <c r="J78" s="164"/>
      <c r="K78" s="164"/>
      <c r="L78" s="164"/>
      <c r="M78" s="164"/>
      <c r="N78" s="164"/>
      <c r="O78" s="164"/>
      <c r="P78" s="164"/>
      <c r="Q78" s="164"/>
      <c r="R78" s="164"/>
      <c r="S78" s="164"/>
      <c r="T78" s="164"/>
      <c r="U78" s="164"/>
      <c r="V78" s="164"/>
    </row>
    <row r="79" spans="1:22">
      <c r="A79" s="164"/>
      <c r="B79" s="166"/>
      <c r="C79" s="167"/>
      <c r="D79" s="167"/>
      <c r="E79" s="165"/>
      <c r="F79" s="164"/>
      <c r="G79" s="164"/>
      <c r="H79" s="164"/>
      <c r="I79" s="164"/>
      <c r="J79" s="164"/>
      <c r="K79" s="164"/>
      <c r="L79" s="164"/>
      <c r="M79" s="164"/>
      <c r="N79" s="164"/>
      <c r="O79" s="164"/>
      <c r="P79" s="164"/>
      <c r="Q79" s="164"/>
      <c r="R79" s="164"/>
      <c r="S79" s="164"/>
      <c r="T79" s="164"/>
      <c r="U79" s="164"/>
      <c r="V79" s="164"/>
    </row>
    <row r="80" spans="1:22">
      <c r="A80" s="164"/>
      <c r="B80" s="166"/>
      <c r="C80" s="167"/>
      <c r="D80" s="167"/>
      <c r="E80" s="165"/>
      <c r="F80" s="164"/>
      <c r="G80" s="164"/>
      <c r="H80" s="164"/>
      <c r="I80" s="164"/>
      <c r="J80" s="164"/>
      <c r="K80" s="164"/>
      <c r="L80" s="164"/>
      <c r="M80" s="164"/>
      <c r="N80" s="164"/>
      <c r="O80" s="164"/>
      <c r="P80" s="164"/>
      <c r="Q80" s="164"/>
      <c r="R80" s="164"/>
      <c r="S80" s="164"/>
      <c r="T80" s="164"/>
      <c r="U80" s="164"/>
      <c r="V80" s="164"/>
    </row>
    <row r="81" spans="1:22">
      <c r="A81" s="164"/>
      <c r="B81" s="166"/>
      <c r="C81" s="167"/>
      <c r="D81" s="167"/>
      <c r="E81" s="165"/>
      <c r="F81" s="164"/>
      <c r="G81" s="164"/>
      <c r="H81" s="164"/>
      <c r="I81" s="164"/>
      <c r="J81" s="164"/>
      <c r="K81" s="164"/>
      <c r="L81" s="164"/>
      <c r="M81" s="164"/>
      <c r="N81" s="164"/>
      <c r="O81" s="164"/>
      <c r="P81" s="164"/>
      <c r="Q81" s="164"/>
      <c r="R81" s="164"/>
      <c r="S81" s="164"/>
      <c r="T81" s="164"/>
      <c r="U81" s="164"/>
      <c r="V81" s="164"/>
    </row>
    <row r="82" spans="1:22">
      <c r="A82" s="164"/>
      <c r="B82" s="166"/>
      <c r="C82" s="167"/>
      <c r="D82" s="167"/>
      <c r="E82" s="165"/>
      <c r="F82" s="164"/>
      <c r="G82" s="164"/>
      <c r="H82" s="164"/>
      <c r="I82" s="164"/>
      <c r="J82" s="164"/>
      <c r="K82" s="164"/>
      <c r="L82" s="164"/>
      <c r="M82" s="164"/>
      <c r="N82" s="164"/>
      <c r="O82" s="164"/>
      <c r="P82" s="164"/>
      <c r="Q82" s="164"/>
      <c r="R82" s="164"/>
      <c r="S82" s="164"/>
      <c r="T82" s="164"/>
      <c r="U82" s="164"/>
      <c r="V82" s="164"/>
    </row>
    <row r="83" spans="1:22">
      <c r="A83" s="164"/>
      <c r="B83" s="166"/>
      <c r="C83" s="167"/>
      <c r="D83" s="167"/>
      <c r="E83" s="165"/>
      <c r="F83" s="164"/>
      <c r="G83" s="164"/>
      <c r="H83" s="164"/>
      <c r="I83" s="164"/>
      <c r="J83" s="164"/>
      <c r="K83" s="164"/>
      <c r="L83" s="164"/>
      <c r="M83" s="164"/>
      <c r="N83" s="164"/>
      <c r="O83" s="164"/>
      <c r="P83" s="164"/>
      <c r="Q83" s="164"/>
      <c r="R83" s="164"/>
      <c r="S83" s="164"/>
      <c r="T83" s="164"/>
      <c r="U83" s="164"/>
      <c r="V83" s="164"/>
    </row>
    <row r="84" spans="1:22">
      <c r="A84" s="164"/>
      <c r="B84" s="166"/>
      <c r="C84" s="167"/>
      <c r="D84" s="167"/>
      <c r="E84" s="165"/>
      <c r="F84" s="164"/>
      <c r="G84" s="164"/>
      <c r="H84" s="164"/>
      <c r="I84" s="164"/>
      <c r="J84" s="164"/>
      <c r="K84" s="164"/>
      <c r="L84" s="164"/>
      <c r="M84" s="164"/>
      <c r="N84" s="164"/>
      <c r="O84" s="164"/>
      <c r="P84" s="164"/>
      <c r="Q84" s="164"/>
      <c r="R84" s="164"/>
      <c r="S84" s="164"/>
      <c r="T84" s="164"/>
      <c r="U84" s="164"/>
      <c r="V84" s="164"/>
    </row>
    <row r="85" spans="1:22">
      <c r="A85" s="164"/>
      <c r="B85" s="166"/>
      <c r="C85" s="167"/>
      <c r="D85" s="167"/>
      <c r="E85" s="165"/>
      <c r="F85" s="164"/>
      <c r="G85" s="164"/>
      <c r="H85" s="164"/>
      <c r="I85" s="164"/>
      <c r="J85" s="164"/>
      <c r="K85" s="164"/>
      <c r="L85" s="164"/>
      <c r="M85" s="164"/>
      <c r="N85" s="164"/>
      <c r="O85" s="164"/>
      <c r="P85" s="164"/>
      <c r="Q85" s="164"/>
      <c r="R85" s="164"/>
      <c r="S85" s="164"/>
      <c r="T85" s="164"/>
      <c r="U85" s="164"/>
      <c r="V85" s="164"/>
    </row>
    <row r="86" spans="1:22">
      <c r="A86" s="164"/>
      <c r="B86" s="166"/>
      <c r="C86" s="167"/>
      <c r="D86" s="167"/>
      <c r="E86" s="165"/>
      <c r="F86" s="164"/>
      <c r="G86" s="164"/>
      <c r="H86" s="164"/>
      <c r="I86" s="164"/>
      <c r="J86" s="164"/>
      <c r="K86" s="164"/>
      <c r="L86" s="164"/>
      <c r="M86" s="164"/>
      <c r="N86" s="164"/>
      <c r="O86" s="164"/>
      <c r="P86" s="164"/>
      <c r="Q86" s="164"/>
      <c r="R86" s="164"/>
      <c r="S86" s="164"/>
      <c r="T86" s="164"/>
      <c r="U86" s="164"/>
      <c r="V86" s="164"/>
    </row>
    <row r="87" spans="1:22">
      <c r="A87" s="164"/>
      <c r="B87" s="166"/>
      <c r="C87" s="167"/>
      <c r="D87" s="167"/>
      <c r="E87" s="165"/>
      <c r="F87" s="164"/>
      <c r="G87" s="164"/>
      <c r="H87" s="164"/>
      <c r="I87" s="164"/>
      <c r="J87" s="164"/>
      <c r="K87" s="164"/>
      <c r="L87" s="164"/>
      <c r="M87" s="164"/>
      <c r="N87" s="164"/>
      <c r="O87" s="164"/>
      <c r="P87" s="164"/>
      <c r="Q87" s="164"/>
      <c r="R87" s="164"/>
      <c r="S87" s="164"/>
      <c r="T87" s="164"/>
      <c r="U87" s="164"/>
      <c r="V87" s="164"/>
    </row>
    <row r="88" spans="1:22">
      <c r="A88" s="164"/>
      <c r="B88" s="166"/>
      <c r="C88" s="167"/>
      <c r="D88" s="167"/>
      <c r="E88" s="165"/>
      <c r="F88" s="164"/>
      <c r="G88" s="164"/>
      <c r="H88" s="164"/>
      <c r="I88" s="164"/>
      <c r="J88" s="164"/>
      <c r="K88" s="164"/>
      <c r="L88" s="164"/>
      <c r="M88" s="164"/>
      <c r="N88" s="164"/>
      <c r="O88" s="164"/>
      <c r="P88" s="164"/>
      <c r="Q88" s="164"/>
      <c r="R88" s="164"/>
      <c r="S88" s="164"/>
      <c r="T88" s="164"/>
      <c r="U88" s="164"/>
      <c r="V88" s="164"/>
    </row>
    <row r="89" spans="1:22">
      <c r="A89" s="164"/>
      <c r="B89" s="166"/>
      <c r="C89" s="167"/>
      <c r="D89" s="167"/>
      <c r="E89" s="165"/>
      <c r="F89" s="164"/>
      <c r="G89" s="164"/>
      <c r="H89" s="164"/>
      <c r="I89" s="164"/>
      <c r="J89" s="164"/>
      <c r="K89" s="164"/>
      <c r="L89" s="164"/>
      <c r="M89" s="164"/>
      <c r="N89" s="164"/>
      <c r="O89" s="164"/>
      <c r="P89" s="164"/>
      <c r="Q89" s="164"/>
      <c r="R89" s="164"/>
      <c r="S89" s="164"/>
      <c r="T89" s="164"/>
      <c r="U89" s="164"/>
      <c r="V89" s="164"/>
    </row>
    <row r="90" spans="1:22">
      <c r="A90" s="164"/>
      <c r="B90" s="166"/>
      <c r="C90" s="167"/>
      <c r="D90" s="167"/>
      <c r="E90" s="165"/>
      <c r="F90" s="164"/>
      <c r="G90" s="164"/>
      <c r="H90" s="164"/>
      <c r="I90" s="164"/>
      <c r="J90" s="164"/>
      <c r="K90" s="164"/>
      <c r="L90" s="164"/>
      <c r="M90" s="164"/>
      <c r="N90" s="164"/>
      <c r="O90" s="164"/>
      <c r="P90" s="164"/>
      <c r="Q90" s="164"/>
      <c r="R90" s="164"/>
      <c r="S90" s="164"/>
      <c r="T90" s="164"/>
      <c r="U90" s="164"/>
      <c r="V90" s="164"/>
    </row>
    <row r="91" spans="1:22">
      <c r="A91" s="164"/>
      <c r="B91" s="166"/>
      <c r="C91" s="167"/>
      <c r="D91" s="167"/>
      <c r="E91" s="165"/>
      <c r="F91" s="164"/>
      <c r="G91" s="164"/>
      <c r="H91" s="164"/>
      <c r="I91" s="164"/>
      <c r="J91" s="164"/>
      <c r="K91" s="164"/>
      <c r="L91" s="164"/>
      <c r="M91" s="164"/>
      <c r="N91" s="164"/>
      <c r="O91" s="164"/>
      <c r="P91" s="164"/>
      <c r="Q91" s="164"/>
      <c r="R91" s="164"/>
      <c r="S91" s="164"/>
      <c r="T91" s="164"/>
      <c r="U91" s="164"/>
      <c r="V91" s="164"/>
    </row>
    <row r="92" spans="1:22">
      <c r="A92" s="164"/>
      <c r="B92" s="166"/>
      <c r="C92" s="167"/>
      <c r="D92" s="167"/>
      <c r="E92" s="165"/>
      <c r="F92" s="164"/>
      <c r="G92" s="164"/>
      <c r="H92" s="164"/>
      <c r="I92" s="164"/>
      <c r="J92" s="164"/>
      <c r="K92" s="164"/>
      <c r="L92" s="164"/>
      <c r="M92" s="164"/>
      <c r="N92" s="164"/>
      <c r="O92" s="164"/>
      <c r="P92" s="164"/>
      <c r="Q92" s="164"/>
      <c r="R92" s="164"/>
      <c r="S92" s="164"/>
      <c r="T92" s="164"/>
      <c r="U92" s="164"/>
      <c r="V92" s="164"/>
    </row>
    <row r="93" spans="1:22">
      <c r="A93" s="164"/>
      <c r="B93" s="166"/>
      <c r="C93" s="167"/>
      <c r="D93" s="167"/>
      <c r="E93" s="165"/>
      <c r="F93" s="164"/>
      <c r="G93" s="164"/>
      <c r="H93" s="164"/>
      <c r="I93" s="164"/>
      <c r="J93" s="164"/>
      <c r="K93" s="164"/>
      <c r="L93" s="164"/>
      <c r="M93" s="164"/>
      <c r="N93" s="164"/>
      <c r="O93" s="164"/>
      <c r="P93" s="164"/>
      <c r="Q93" s="164"/>
      <c r="R93" s="164"/>
      <c r="S93" s="164"/>
      <c r="T93" s="164"/>
      <c r="U93" s="164"/>
      <c r="V93" s="164"/>
    </row>
    <row r="94" spans="1:22">
      <c r="A94" s="164"/>
      <c r="B94" s="166"/>
      <c r="C94" s="167"/>
      <c r="D94" s="167"/>
      <c r="E94" s="165"/>
      <c r="F94" s="164"/>
      <c r="G94" s="164"/>
      <c r="H94" s="164"/>
      <c r="I94" s="164"/>
      <c r="J94" s="164"/>
      <c r="K94" s="164"/>
      <c r="L94" s="164"/>
      <c r="M94" s="164"/>
      <c r="N94" s="164"/>
      <c r="O94" s="164"/>
      <c r="P94" s="164"/>
      <c r="Q94" s="164"/>
      <c r="R94" s="164"/>
      <c r="S94" s="164"/>
      <c r="T94" s="164"/>
      <c r="U94" s="164"/>
      <c r="V94" s="164"/>
    </row>
    <row r="95" spans="1:22">
      <c r="A95" s="164"/>
      <c r="B95" s="166"/>
      <c r="C95" s="167"/>
      <c r="D95" s="167"/>
      <c r="E95" s="165"/>
      <c r="F95" s="164"/>
      <c r="G95" s="164"/>
      <c r="H95" s="164"/>
      <c r="I95" s="164"/>
      <c r="J95" s="164"/>
      <c r="K95" s="164"/>
      <c r="L95" s="164"/>
      <c r="M95" s="164"/>
      <c r="N95" s="164"/>
      <c r="O95" s="164"/>
      <c r="P95" s="164"/>
      <c r="Q95" s="164"/>
      <c r="R95" s="164"/>
      <c r="S95" s="164"/>
      <c r="T95" s="164"/>
      <c r="U95" s="164"/>
      <c r="V95" s="164"/>
    </row>
    <row r="96" spans="1:22">
      <c r="A96" s="164"/>
      <c r="B96" s="166"/>
      <c r="C96" s="167"/>
      <c r="D96" s="167"/>
      <c r="E96" s="165"/>
      <c r="F96" s="164"/>
      <c r="G96" s="164"/>
      <c r="H96" s="164"/>
      <c r="I96" s="164"/>
      <c r="J96" s="164"/>
      <c r="K96" s="164"/>
      <c r="L96" s="164"/>
      <c r="M96" s="164"/>
      <c r="N96" s="164"/>
      <c r="O96" s="164"/>
      <c r="P96" s="164"/>
      <c r="Q96" s="164"/>
      <c r="R96" s="164"/>
      <c r="S96" s="164"/>
      <c r="T96" s="164"/>
      <c r="U96" s="164"/>
      <c r="V96" s="164"/>
    </row>
    <row r="97" spans="1:22">
      <c r="A97" s="164"/>
      <c r="B97" s="166"/>
      <c r="C97" s="167"/>
      <c r="D97" s="167"/>
      <c r="E97" s="165"/>
      <c r="F97" s="164"/>
      <c r="G97" s="164"/>
      <c r="H97" s="164"/>
      <c r="I97" s="164"/>
      <c r="J97" s="164"/>
      <c r="K97" s="164"/>
      <c r="L97" s="164"/>
      <c r="M97" s="164"/>
      <c r="N97" s="164"/>
      <c r="O97" s="164"/>
      <c r="P97" s="164"/>
      <c r="Q97" s="164"/>
      <c r="R97" s="164"/>
      <c r="S97" s="164"/>
      <c r="T97" s="164"/>
      <c r="U97" s="164"/>
      <c r="V97" s="164"/>
    </row>
    <row r="98" spans="1:22">
      <c r="A98" s="164"/>
      <c r="B98" s="166"/>
      <c r="C98" s="167"/>
      <c r="D98" s="167"/>
      <c r="E98" s="165"/>
      <c r="F98" s="164"/>
      <c r="G98" s="164"/>
      <c r="H98" s="164"/>
      <c r="I98" s="164"/>
      <c r="J98" s="164"/>
      <c r="K98" s="164"/>
      <c r="L98" s="164"/>
      <c r="M98" s="164"/>
      <c r="N98" s="164"/>
      <c r="O98" s="164"/>
      <c r="P98" s="164"/>
      <c r="Q98" s="164"/>
      <c r="R98" s="164"/>
      <c r="S98" s="164"/>
      <c r="T98" s="164"/>
      <c r="U98" s="164"/>
      <c r="V98" s="164"/>
    </row>
    <row r="99" spans="1:22">
      <c r="A99" s="164"/>
      <c r="B99" s="166"/>
      <c r="C99" s="167"/>
      <c r="D99" s="167"/>
      <c r="E99" s="165"/>
      <c r="F99" s="164"/>
      <c r="G99" s="164"/>
      <c r="H99" s="164"/>
      <c r="I99" s="164"/>
      <c r="J99" s="164"/>
      <c r="K99" s="164"/>
      <c r="L99" s="164"/>
      <c r="M99" s="164"/>
      <c r="N99" s="164"/>
      <c r="O99" s="164"/>
      <c r="P99" s="164"/>
      <c r="Q99" s="164"/>
      <c r="R99" s="164"/>
      <c r="S99" s="164"/>
      <c r="T99" s="164"/>
      <c r="U99" s="164"/>
      <c r="V99" s="164"/>
    </row>
  </sheetData>
  <autoFilter ref="B2:D70" xr:uid="{00000000-0009-0000-0000-000002000000}"/>
  <mergeCells count="2">
    <mergeCell ref="B1:D1"/>
    <mergeCell ref="F2: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64"/>
  <sheetViews>
    <sheetView workbookViewId="0">
      <selection activeCell="E20" sqref="E20"/>
    </sheetView>
  </sheetViews>
  <sheetFormatPr baseColWidth="10" defaultColWidth="11.44140625" defaultRowHeight="14.4"/>
  <cols>
    <col min="2" max="2" width="16.6640625" customWidth="1"/>
    <col min="3" max="3" width="20.6640625" customWidth="1"/>
    <col min="4" max="4" width="18.44140625" customWidth="1"/>
    <col min="5" max="5" width="27" customWidth="1"/>
    <col min="8" max="8" width="24.44140625" customWidth="1"/>
  </cols>
  <sheetData>
    <row r="1" spans="1:27">
      <c r="A1" s="168"/>
      <c r="B1" s="435" t="s">
        <v>91</v>
      </c>
      <c r="C1" s="436"/>
      <c r="D1" s="436"/>
      <c r="E1" s="437"/>
      <c r="F1" s="168"/>
      <c r="G1" s="168"/>
      <c r="H1" s="168"/>
      <c r="I1" s="168"/>
      <c r="J1" s="168"/>
      <c r="K1" s="168"/>
      <c r="L1" s="168"/>
      <c r="M1" s="168"/>
      <c r="N1" s="168"/>
      <c r="O1" s="168"/>
      <c r="P1" s="168"/>
      <c r="Q1" s="168"/>
      <c r="R1" s="168"/>
      <c r="S1" s="168"/>
      <c r="T1" s="168"/>
      <c r="U1" s="168"/>
      <c r="V1" s="168"/>
      <c r="W1" s="168"/>
      <c r="X1" s="168"/>
      <c r="Y1" s="168"/>
      <c r="Z1" s="168"/>
      <c r="AA1" s="168"/>
    </row>
    <row r="2" spans="1:27" ht="43.2" customHeight="1">
      <c r="A2" s="168"/>
      <c r="B2" s="344" t="s">
        <v>596</v>
      </c>
      <c r="C2" s="332" t="s">
        <v>512</v>
      </c>
      <c r="D2" s="345" t="s">
        <v>10</v>
      </c>
      <c r="E2" s="345" t="str">
        <f>"Objectif de baisse SNBC entre "&amp;TEXT('Choix années'!$C$4,"#")&amp;" et "&amp;TEXT('Choix années'!$C$5,"#")&amp;" "</f>
        <v xml:space="preserve">Objectif de baisse SNBC entre 2019 et 2030 </v>
      </c>
      <c r="F2" s="168"/>
      <c r="G2" s="430" t="s">
        <v>616</v>
      </c>
      <c r="H2" s="431"/>
      <c r="I2" s="168"/>
      <c r="J2" s="168"/>
      <c r="K2" s="168"/>
      <c r="L2" s="168"/>
      <c r="M2" s="168"/>
      <c r="N2" s="168"/>
      <c r="O2" s="168"/>
      <c r="P2" s="168"/>
      <c r="Q2" s="168"/>
      <c r="R2" s="168"/>
      <c r="S2" s="168"/>
      <c r="T2" s="168"/>
      <c r="U2" s="168"/>
      <c r="V2" s="168"/>
      <c r="W2" s="168"/>
      <c r="X2" s="168"/>
      <c r="Y2" s="168"/>
      <c r="Z2" s="168"/>
      <c r="AA2" s="168"/>
    </row>
    <row r="3" spans="1:27" ht="57.6">
      <c r="A3" s="168"/>
      <c r="B3" s="10" t="s">
        <v>92</v>
      </c>
      <c r="C3" s="10" t="s">
        <v>93</v>
      </c>
      <c r="D3" s="8" t="s">
        <v>74</v>
      </c>
      <c r="E3" s="9">
        <f>Energie!D14</f>
        <v>0.72258629407079755</v>
      </c>
      <c r="F3" s="245" t="s">
        <v>94</v>
      </c>
      <c r="G3" s="168"/>
      <c r="H3" s="168"/>
      <c r="I3" s="168"/>
      <c r="J3" s="168"/>
      <c r="K3" s="168"/>
      <c r="L3" s="168"/>
      <c r="M3" s="168"/>
      <c r="N3" s="168"/>
      <c r="O3" s="168"/>
      <c r="P3" s="168"/>
      <c r="Q3" s="168"/>
      <c r="R3" s="168"/>
      <c r="S3" s="168"/>
      <c r="T3" s="168"/>
      <c r="U3" s="168"/>
      <c r="V3" s="168"/>
      <c r="W3" s="168"/>
      <c r="X3" s="168"/>
      <c r="Y3" s="168"/>
      <c r="Z3" s="168"/>
      <c r="AA3" s="168"/>
    </row>
    <row r="4" spans="1:27" ht="72">
      <c r="A4" s="168"/>
      <c r="B4" s="10" t="s">
        <v>92</v>
      </c>
      <c r="C4" s="10" t="s">
        <v>95</v>
      </c>
      <c r="D4" s="8" t="s">
        <v>76</v>
      </c>
      <c r="E4" s="15">
        <f>Energie!D18</f>
        <v>5.7191174332766215E-2</v>
      </c>
      <c r="F4" s="168"/>
      <c r="G4" s="168"/>
      <c r="H4" s="168"/>
      <c r="I4" s="168"/>
      <c r="J4" s="168"/>
      <c r="K4" s="168"/>
      <c r="L4" s="168"/>
      <c r="M4" s="168"/>
      <c r="N4" s="168"/>
      <c r="O4" s="168"/>
      <c r="P4" s="168"/>
      <c r="Q4" s="168"/>
      <c r="R4" s="168"/>
      <c r="S4" s="168"/>
      <c r="T4" s="168"/>
      <c r="U4" s="168"/>
      <c r="V4" s="168"/>
      <c r="W4" s="168"/>
      <c r="X4" s="168"/>
      <c r="Y4" s="168"/>
      <c r="Z4" s="168"/>
      <c r="AA4" s="168"/>
    </row>
    <row r="5" spans="1:27">
      <c r="A5" s="168"/>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row>
    <row r="6" spans="1:27">
      <c r="A6" s="168"/>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row>
    <row r="7" spans="1:27">
      <c r="A7" s="168"/>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row>
    <row r="8" spans="1:27">
      <c r="A8" s="168"/>
      <c r="B8" s="168"/>
      <c r="C8" s="168"/>
      <c r="D8" s="168"/>
      <c r="E8" s="168"/>
      <c r="F8" s="168"/>
      <c r="G8" s="168"/>
      <c r="H8" s="168"/>
      <c r="I8" s="168"/>
      <c r="J8" s="168"/>
      <c r="K8" s="168"/>
      <c r="L8" s="168"/>
      <c r="M8" s="168"/>
      <c r="N8" s="168"/>
      <c r="O8" s="168"/>
      <c r="P8" s="168"/>
      <c r="Q8" s="168"/>
      <c r="R8" s="168"/>
      <c r="S8" s="168"/>
      <c r="T8" s="168"/>
      <c r="U8" s="168"/>
      <c r="V8" s="168"/>
      <c r="W8" s="168"/>
      <c r="X8" s="168"/>
      <c r="Y8" s="168"/>
      <c r="Z8" s="168"/>
      <c r="AA8" s="168"/>
    </row>
    <row r="9" spans="1:27">
      <c r="A9" s="168"/>
      <c r="B9" s="168"/>
      <c r="C9" s="168"/>
      <c r="D9" s="168"/>
      <c r="E9" s="168"/>
      <c r="F9" s="168"/>
      <c r="G9" s="168"/>
      <c r="H9" s="168"/>
      <c r="I9" s="168"/>
      <c r="J9" s="168"/>
      <c r="K9" s="168"/>
      <c r="L9" s="168"/>
      <c r="M9" s="168"/>
      <c r="N9" s="168"/>
      <c r="O9" s="168"/>
      <c r="P9" s="168"/>
      <c r="Q9" s="168"/>
      <c r="R9" s="168"/>
      <c r="S9" s="168"/>
      <c r="T9" s="168"/>
      <c r="U9" s="168"/>
      <c r="V9" s="168"/>
      <c r="W9" s="168"/>
      <c r="X9" s="168"/>
      <c r="Y9" s="168"/>
      <c r="Z9" s="168"/>
      <c r="AA9" s="168"/>
    </row>
    <row r="10" spans="1:27">
      <c r="A10" s="168"/>
      <c r="B10" s="168"/>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8"/>
      <c r="AA10" s="168"/>
    </row>
    <row r="11" spans="1:27">
      <c r="A11" s="168"/>
      <c r="B11" s="168"/>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row>
    <row r="12" spans="1:27">
      <c r="A12" s="168"/>
      <c r="B12" s="168"/>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8"/>
      <c r="AA12" s="168"/>
    </row>
    <row r="13" spans="1:27">
      <c r="A13" s="168"/>
      <c r="B13" s="168"/>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row>
    <row r="14" spans="1:27">
      <c r="A14" s="168"/>
      <c r="B14" s="168"/>
      <c r="C14" s="168"/>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row>
    <row r="15" spans="1:27">
      <c r="A15" s="168"/>
      <c r="B15" s="168"/>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row>
    <row r="16" spans="1:27">
      <c r="A16" s="168"/>
      <c r="B16" s="168"/>
      <c r="C16" s="168"/>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row>
    <row r="17" spans="1:27">
      <c r="A17" s="168"/>
      <c r="B17" s="168"/>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row>
    <row r="18" spans="1:27">
      <c r="A18" s="168"/>
      <c r="B18" s="168"/>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row>
    <row r="19" spans="1:27">
      <c r="A19" s="168"/>
      <c r="B19" s="168"/>
      <c r="C19" s="168"/>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row>
    <row r="20" spans="1:27">
      <c r="A20" s="168"/>
      <c r="B20" s="168"/>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row>
    <row r="21" spans="1:27">
      <c r="A21" s="168"/>
      <c r="B21" s="168"/>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row>
    <row r="22" spans="1:27">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row>
    <row r="23" spans="1:27">
      <c r="A23" s="168"/>
      <c r="B23" s="168"/>
      <c r="C23" s="168"/>
      <c r="D23" s="168"/>
      <c r="E23" s="168"/>
      <c r="F23" s="168"/>
      <c r="G23" s="168"/>
      <c r="H23" s="168"/>
      <c r="I23" s="168"/>
      <c r="J23" s="168"/>
      <c r="K23" s="168"/>
      <c r="L23" s="168"/>
      <c r="M23" s="168"/>
      <c r="N23" s="168"/>
      <c r="O23" s="168"/>
      <c r="P23" s="168"/>
      <c r="Q23" s="168"/>
      <c r="R23" s="168"/>
      <c r="S23" s="168"/>
      <c r="T23" s="168"/>
      <c r="U23" s="168"/>
      <c r="V23" s="168"/>
      <c r="W23" s="168"/>
      <c r="X23" s="168"/>
      <c r="Y23" s="168"/>
      <c r="Z23" s="168"/>
      <c r="AA23" s="168"/>
    </row>
    <row r="24" spans="1:27">
      <c r="A24" s="168"/>
      <c r="B24" s="168"/>
      <c r="C24" s="168"/>
      <c r="D24" s="168"/>
      <c r="E24" s="168"/>
      <c r="F24" s="168"/>
      <c r="G24" s="168"/>
      <c r="H24" s="168"/>
      <c r="I24" s="168"/>
      <c r="J24" s="168"/>
      <c r="K24" s="168"/>
      <c r="L24" s="168"/>
      <c r="M24" s="168"/>
      <c r="N24" s="168"/>
      <c r="O24" s="168"/>
      <c r="P24" s="168"/>
      <c r="Q24" s="168"/>
      <c r="R24" s="168"/>
      <c r="S24" s="168"/>
      <c r="T24" s="168"/>
      <c r="U24" s="168"/>
      <c r="V24" s="168"/>
      <c r="W24" s="168"/>
      <c r="X24" s="168"/>
      <c r="Y24" s="168"/>
      <c r="Z24" s="168"/>
      <c r="AA24" s="168"/>
    </row>
    <row r="25" spans="1:27">
      <c r="A25" s="168"/>
      <c r="B25" s="168"/>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row>
    <row r="26" spans="1:27">
      <c r="A26" s="168"/>
      <c r="B26" s="168"/>
      <c r="C26" s="168"/>
      <c r="D26" s="168"/>
      <c r="E26" s="168"/>
      <c r="F26" s="168"/>
      <c r="G26" s="168"/>
      <c r="H26" s="168"/>
      <c r="I26" s="168"/>
      <c r="J26" s="168"/>
      <c r="K26" s="168"/>
      <c r="L26" s="168"/>
      <c r="M26" s="168"/>
      <c r="N26" s="168"/>
      <c r="O26" s="168"/>
      <c r="P26" s="168"/>
      <c r="Q26" s="168"/>
      <c r="R26" s="168"/>
      <c r="S26" s="168"/>
      <c r="T26" s="168"/>
      <c r="U26" s="168"/>
      <c r="V26" s="168"/>
      <c r="W26" s="168"/>
      <c r="X26" s="168"/>
      <c r="Y26" s="168"/>
      <c r="Z26" s="168"/>
      <c r="AA26" s="168"/>
    </row>
    <row r="27" spans="1:27">
      <c r="A27" s="168"/>
      <c r="B27" s="168"/>
      <c r="C27" s="168"/>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row>
    <row r="28" spans="1:27">
      <c r="A28" s="168"/>
      <c r="B28" s="168"/>
      <c r="C28" s="168"/>
      <c r="D28" s="168"/>
      <c r="E28" s="168"/>
      <c r="F28" s="168"/>
      <c r="G28" s="168"/>
      <c r="H28" s="168"/>
      <c r="I28" s="168"/>
      <c r="J28" s="168"/>
      <c r="K28" s="168"/>
      <c r="L28" s="168"/>
      <c r="M28" s="168"/>
      <c r="N28" s="168"/>
      <c r="O28" s="168"/>
      <c r="P28" s="168"/>
      <c r="Q28" s="168"/>
      <c r="R28" s="168"/>
      <c r="S28" s="168"/>
      <c r="T28" s="168"/>
      <c r="U28" s="168"/>
      <c r="V28" s="168"/>
      <c r="W28" s="168"/>
      <c r="X28" s="168"/>
      <c r="Y28" s="168"/>
      <c r="Z28" s="168"/>
      <c r="AA28" s="168"/>
    </row>
    <row r="29" spans="1:27">
      <c r="A29" s="168"/>
      <c r="B29" s="168"/>
      <c r="C29" s="168"/>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row>
    <row r="30" spans="1:27">
      <c r="A30" s="168"/>
      <c r="B30" s="168"/>
      <c r="C30" s="168"/>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row>
    <row r="31" spans="1:27">
      <c r="A31" s="168"/>
      <c r="B31" s="168"/>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row>
    <row r="32" spans="1:27">
      <c r="A32" s="168"/>
      <c r="B32" s="168"/>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row>
    <row r="33" spans="1:27">
      <c r="A33" s="168"/>
      <c r="B33" s="168"/>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row>
    <row r="34" spans="1:27">
      <c r="A34" s="168"/>
      <c r="B34" s="168"/>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row>
    <row r="35" spans="1:27">
      <c r="A35" s="168"/>
      <c r="B35" s="168"/>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row>
    <row r="36" spans="1:27">
      <c r="A36" s="168"/>
      <c r="B36" s="168"/>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row>
    <row r="37" spans="1:27">
      <c r="A37" s="168"/>
      <c r="B37" s="168"/>
      <c r="C37" s="168"/>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row>
    <row r="38" spans="1:27">
      <c r="A38" s="168"/>
      <c r="B38" s="168"/>
      <c r="C38" s="168"/>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row>
    <row r="39" spans="1:27">
      <c r="A39" s="168"/>
      <c r="B39" s="168"/>
      <c r="C39" s="168"/>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row>
    <row r="40" spans="1:27">
      <c r="A40" s="168"/>
      <c r="B40" s="168"/>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row>
    <row r="41" spans="1:27">
      <c r="A41" s="168"/>
      <c r="B41" s="168"/>
      <c r="C41" s="168"/>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row>
    <row r="42" spans="1:27">
      <c r="A42" s="168"/>
      <c r="B42" s="168"/>
      <c r="C42" s="168"/>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row>
    <row r="43" spans="1:27">
      <c r="A43" s="168"/>
      <c r="B43" s="168"/>
      <c r="C43" s="16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row>
    <row r="44" spans="1:27">
      <c r="A44" s="168"/>
      <c r="B44" s="168"/>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row>
    <row r="45" spans="1:27">
      <c r="A45" s="168"/>
      <c r="B45" s="168"/>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row>
    <row r="46" spans="1:27">
      <c r="A46" s="168"/>
      <c r="B46" s="168"/>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row>
    <row r="47" spans="1:27">
      <c r="A47" s="168"/>
      <c r="B47" s="168"/>
      <c r="C47" s="168"/>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row>
    <row r="48" spans="1:27">
      <c r="A48" s="168"/>
      <c r="B48" s="168"/>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row>
    <row r="49" spans="1:27">
      <c r="A49" s="168"/>
      <c r="B49" s="168"/>
      <c r="C49" s="168"/>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row>
    <row r="50" spans="1:27">
      <c r="A50" s="168"/>
      <c r="B50" s="168"/>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row>
    <row r="51" spans="1:27">
      <c r="A51" s="168"/>
      <c r="B51" s="168"/>
      <c r="C51" s="168"/>
      <c r="D51" s="168"/>
      <c r="E51" s="168"/>
      <c r="F51" s="168"/>
      <c r="G51" s="168"/>
      <c r="H51" s="168"/>
      <c r="I51" s="168"/>
      <c r="J51" s="168"/>
      <c r="K51" s="168"/>
      <c r="L51" s="168"/>
      <c r="M51" s="168"/>
      <c r="N51" s="168"/>
      <c r="O51" s="168"/>
      <c r="P51" s="168"/>
      <c r="Q51" s="168"/>
      <c r="R51" s="168"/>
      <c r="S51" s="168"/>
      <c r="T51" s="168"/>
      <c r="U51" s="168"/>
      <c r="V51" s="168"/>
      <c r="W51" s="168"/>
      <c r="X51" s="168"/>
      <c r="Y51" s="168"/>
      <c r="Z51" s="168"/>
      <c r="AA51" s="168"/>
    </row>
    <row r="52" spans="1:27">
      <c r="A52" s="168"/>
      <c r="B52" s="168"/>
      <c r="C52" s="168"/>
      <c r="D52" s="168"/>
      <c r="E52" s="168"/>
      <c r="F52" s="168"/>
      <c r="G52" s="168"/>
      <c r="H52" s="168"/>
      <c r="I52" s="168"/>
      <c r="J52" s="168"/>
      <c r="K52" s="168"/>
      <c r="L52" s="168"/>
      <c r="M52" s="168"/>
      <c r="N52" s="168"/>
      <c r="O52" s="168"/>
      <c r="P52" s="168"/>
      <c r="Q52" s="168"/>
      <c r="R52" s="168"/>
      <c r="S52" s="168"/>
      <c r="T52" s="168"/>
      <c r="U52" s="168"/>
      <c r="V52" s="168"/>
      <c r="W52" s="168"/>
      <c r="X52" s="168"/>
      <c r="Y52" s="168"/>
      <c r="Z52" s="168"/>
      <c r="AA52" s="168"/>
    </row>
    <row r="53" spans="1:27">
      <c r="A53" s="168"/>
      <c r="B53" s="168"/>
      <c r="C53" s="168"/>
      <c r="D53" s="168"/>
      <c r="E53" s="168"/>
      <c r="F53" s="168"/>
      <c r="G53" s="168"/>
      <c r="H53" s="168"/>
      <c r="I53" s="168"/>
      <c r="J53" s="168"/>
      <c r="K53" s="168"/>
      <c r="L53" s="168"/>
      <c r="M53" s="168"/>
      <c r="N53" s="168"/>
      <c r="O53" s="168"/>
      <c r="P53" s="168"/>
      <c r="Q53" s="168"/>
      <c r="R53" s="168"/>
      <c r="S53" s="168"/>
      <c r="T53" s="168"/>
      <c r="U53" s="168"/>
      <c r="V53" s="168"/>
      <c r="W53" s="168"/>
      <c r="X53" s="168"/>
      <c r="Y53" s="168"/>
      <c r="Z53" s="168"/>
      <c r="AA53" s="168"/>
    </row>
    <row r="54" spans="1:27">
      <c r="A54" s="168"/>
      <c r="B54" s="168"/>
      <c r="C54" s="168"/>
      <c r="D54" s="168"/>
      <c r="E54" s="168"/>
      <c r="F54" s="168"/>
      <c r="G54" s="168"/>
      <c r="H54" s="168"/>
      <c r="I54" s="168"/>
      <c r="J54" s="168"/>
      <c r="K54" s="168"/>
      <c r="L54" s="168"/>
      <c r="M54" s="168"/>
      <c r="N54" s="168"/>
      <c r="O54" s="168"/>
      <c r="P54" s="168"/>
      <c r="Q54" s="168"/>
      <c r="R54" s="168"/>
      <c r="S54" s="168"/>
      <c r="T54" s="168"/>
      <c r="U54" s="168"/>
      <c r="V54" s="168"/>
      <c r="W54" s="168"/>
      <c r="X54" s="168"/>
      <c r="Y54" s="168"/>
      <c r="Z54" s="168"/>
      <c r="AA54" s="168"/>
    </row>
    <row r="55" spans="1:27">
      <c r="A55" s="168"/>
      <c r="B55" s="168"/>
      <c r="C55" s="168"/>
      <c r="D55" s="168"/>
      <c r="E55" s="168"/>
      <c r="F55" s="168"/>
      <c r="G55" s="168"/>
      <c r="H55" s="168"/>
      <c r="I55" s="168"/>
      <c r="J55" s="168"/>
      <c r="K55" s="168"/>
      <c r="L55" s="168"/>
      <c r="M55" s="168"/>
      <c r="N55" s="168"/>
      <c r="O55" s="168"/>
      <c r="P55" s="168"/>
      <c r="Q55" s="168"/>
      <c r="R55" s="168"/>
      <c r="S55" s="168"/>
      <c r="T55" s="168"/>
      <c r="U55" s="168"/>
      <c r="V55" s="168"/>
      <c r="W55" s="168"/>
      <c r="X55" s="168"/>
      <c r="Y55" s="168"/>
      <c r="Z55" s="168"/>
      <c r="AA55" s="168"/>
    </row>
    <row r="56" spans="1:27">
      <c r="A56" s="168"/>
      <c r="B56" s="168"/>
      <c r="C56" s="168"/>
      <c r="D56" s="168"/>
      <c r="E56" s="168"/>
      <c r="F56" s="168"/>
      <c r="G56" s="168"/>
      <c r="H56" s="168"/>
      <c r="I56" s="168"/>
      <c r="J56" s="168"/>
      <c r="K56" s="168"/>
      <c r="L56" s="168"/>
      <c r="M56" s="168"/>
      <c r="N56" s="168"/>
      <c r="O56" s="168"/>
      <c r="P56" s="168"/>
      <c r="Q56" s="168"/>
      <c r="R56" s="168"/>
      <c r="S56" s="168"/>
      <c r="T56" s="168"/>
      <c r="U56" s="168"/>
      <c r="V56" s="168"/>
      <c r="W56" s="168"/>
      <c r="X56" s="168"/>
      <c r="Y56" s="168"/>
      <c r="Z56" s="168"/>
      <c r="AA56" s="168"/>
    </row>
    <row r="57" spans="1:27">
      <c r="A57" s="168"/>
      <c r="B57" s="168"/>
      <c r="C57" s="168"/>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row>
    <row r="58" spans="1:27">
      <c r="A58" s="168"/>
      <c r="B58" s="168"/>
      <c r="C58" s="168"/>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row>
    <row r="59" spans="1:27">
      <c r="A59" s="168"/>
      <c r="B59" s="168"/>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row>
    <row r="60" spans="1:27">
      <c r="A60" s="168"/>
      <c r="B60" s="168"/>
      <c r="C60" s="168"/>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row>
    <row r="61" spans="1:27">
      <c r="A61" s="168"/>
      <c r="B61" s="168"/>
      <c r="C61" s="168"/>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row>
    <row r="62" spans="1:27">
      <c r="A62" s="168"/>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row>
    <row r="63" spans="1:27">
      <c r="A63" s="168"/>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row>
    <row r="64" spans="1:27">
      <c r="A64" s="168"/>
      <c r="B64" s="168"/>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row>
  </sheetData>
  <autoFilter ref="B2:E4" xr:uid="{00000000-0009-0000-0000-000003000000}"/>
  <mergeCells count="2">
    <mergeCell ref="B1:E1"/>
    <mergeCell ref="G2:H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69"/>
  <sheetViews>
    <sheetView workbookViewId="0">
      <selection activeCell="I96" sqref="I96"/>
    </sheetView>
  </sheetViews>
  <sheetFormatPr baseColWidth="10" defaultColWidth="11.5546875" defaultRowHeight="14.4"/>
  <cols>
    <col min="1" max="1" width="11.5546875" style="247"/>
    <col min="2" max="2" width="16.109375" style="247" customWidth="1"/>
    <col min="3" max="3" width="21.5546875" style="247" customWidth="1"/>
    <col min="4" max="4" width="21.6640625" style="247" customWidth="1"/>
    <col min="5" max="5" width="25.33203125" style="247" customWidth="1"/>
    <col min="6" max="6" width="25.6640625" style="248" customWidth="1"/>
    <col min="7" max="16384" width="11.5546875" style="247"/>
  </cols>
  <sheetData>
    <row r="1" spans="1:21" ht="49.8" customHeight="1">
      <c r="A1" s="249"/>
      <c r="B1" s="440" t="s">
        <v>96</v>
      </c>
      <c r="C1" s="441"/>
      <c r="D1" s="442"/>
      <c r="E1" s="402" t="str">
        <f>"Objectif de baisse SNBC entre "&amp;TEXT('Choix années'!$C$4,"#")&amp;" et "&amp;TEXT('Choix années'!$C$5,"#")&amp;" "</f>
        <v xml:space="preserve">Objectif de baisse SNBC entre 2019 et 2030 </v>
      </c>
      <c r="F1" s="250"/>
      <c r="G1" s="249"/>
      <c r="H1" s="249"/>
      <c r="I1" s="249"/>
      <c r="J1" s="249"/>
      <c r="K1" s="249"/>
      <c r="L1" s="249"/>
      <c r="M1" s="249"/>
      <c r="N1" s="249"/>
      <c r="O1" s="249"/>
      <c r="P1" s="249"/>
      <c r="Q1" s="249"/>
      <c r="R1" s="249"/>
      <c r="S1" s="249"/>
      <c r="T1" s="249"/>
      <c r="U1" s="249"/>
    </row>
    <row r="2" spans="1:21" ht="68.400000000000006" customHeight="1">
      <c r="A2" s="249"/>
      <c r="B2" s="346" t="s">
        <v>596</v>
      </c>
      <c r="C2" s="347" t="s">
        <v>513</v>
      </c>
      <c r="D2" s="347" t="s">
        <v>10</v>
      </c>
      <c r="E2" s="348" t="s">
        <v>188</v>
      </c>
      <c r="F2" s="250"/>
      <c r="G2" s="438" t="s">
        <v>598</v>
      </c>
      <c r="H2" s="439"/>
      <c r="I2" s="249"/>
      <c r="J2" s="249"/>
      <c r="K2" s="249"/>
      <c r="L2" s="249"/>
      <c r="M2" s="249"/>
      <c r="N2" s="249"/>
      <c r="O2" s="249"/>
      <c r="P2" s="249"/>
      <c r="Q2" s="249"/>
      <c r="R2" s="249"/>
      <c r="S2" s="249"/>
      <c r="T2" s="249"/>
      <c r="U2" s="249"/>
    </row>
    <row r="3" spans="1:21" ht="30.6" customHeight="1">
      <c r="A3" s="249"/>
      <c r="B3" s="254" t="s">
        <v>129</v>
      </c>
      <c r="C3" s="253" t="s">
        <v>130</v>
      </c>
      <c r="D3" s="253" t="s">
        <v>90</v>
      </c>
      <c r="E3" s="258">
        <f>1-VLOOKUP("TOTAL national hors UTCATF",'Résultats détaillés GES'!$A$6:$BJ$18,MATCH('Choix années'!C5,'Résultats détaillés GES'!$A$6:$BJ$6),FALSE)/VLOOKUP("TOTAL national hors UTCATF",'Résultats détaillés GES'!$A$6:$BJ$18,MATCH('Choix années'!C4,'Résultats détaillés GES'!$A$6:$BJ$6),FALSE)</f>
        <v>0.37095448311330392</v>
      </c>
      <c r="F3" s="250"/>
      <c r="G3" s="249"/>
      <c r="H3" s="250"/>
      <c r="I3" s="249"/>
      <c r="J3" s="249"/>
      <c r="K3" s="249"/>
      <c r="L3" s="249"/>
      <c r="M3" s="249"/>
      <c r="N3" s="249"/>
      <c r="O3" s="249"/>
      <c r="P3" s="249"/>
      <c r="Q3" s="249"/>
      <c r="R3" s="249"/>
      <c r="S3" s="249"/>
      <c r="T3" s="249"/>
      <c r="U3" s="249"/>
    </row>
    <row r="4" spans="1:21" ht="28.8">
      <c r="A4" s="249"/>
      <c r="B4" s="257" t="s">
        <v>12</v>
      </c>
      <c r="C4" s="256" t="s">
        <v>97</v>
      </c>
      <c r="D4" s="256" t="s">
        <v>48</v>
      </c>
      <c r="E4" s="258">
        <f>Transport!D51</f>
        <v>0.29179468516278451</v>
      </c>
      <c r="F4" s="250"/>
      <c r="G4" s="249"/>
      <c r="H4" s="249"/>
      <c r="I4" s="249"/>
      <c r="J4" s="249"/>
      <c r="K4" s="249"/>
      <c r="L4" s="249"/>
      <c r="M4" s="249"/>
      <c r="N4" s="249"/>
      <c r="O4" s="249"/>
      <c r="P4" s="249"/>
      <c r="Q4" s="249"/>
      <c r="R4" s="249"/>
      <c r="S4" s="249"/>
      <c r="T4" s="249"/>
      <c r="U4" s="249"/>
    </row>
    <row r="5" spans="1:21" ht="28.8">
      <c r="A5" s="249"/>
      <c r="B5" s="257" t="s">
        <v>12</v>
      </c>
      <c r="C5" s="256" t="s">
        <v>97</v>
      </c>
      <c r="D5" s="256" t="s">
        <v>49</v>
      </c>
      <c r="E5" s="258">
        <f>Transport!D55</f>
        <v>0.34858644733659616</v>
      </c>
      <c r="F5" s="250"/>
      <c r="G5" s="249"/>
      <c r="H5" s="249"/>
      <c r="I5" s="249"/>
      <c r="J5" s="249"/>
      <c r="K5" s="249"/>
      <c r="L5" s="249"/>
      <c r="M5" s="249"/>
      <c r="N5" s="249"/>
      <c r="O5" s="249"/>
      <c r="P5" s="249"/>
      <c r="Q5" s="249"/>
      <c r="R5" s="249"/>
      <c r="S5" s="249"/>
      <c r="T5" s="249"/>
      <c r="U5" s="249"/>
    </row>
    <row r="6" spans="1:21" ht="28.8">
      <c r="A6" s="249"/>
      <c r="B6" s="257" t="s">
        <v>12</v>
      </c>
      <c r="C6" s="256" t="s">
        <v>97</v>
      </c>
      <c r="D6" s="256" t="s">
        <v>50</v>
      </c>
      <c r="E6" s="266">
        <f>Transport!D59</f>
        <v>0.23832499955756214</v>
      </c>
      <c r="F6" s="250"/>
      <c r="G6" s="249"/>
      <c r="H6" s="249"/>
      <c r="I6" s="249"/>
      <c r="J6" s="249"/>
      <c r="K6" s="249"/>
      <c r="L6" s="249"/>
      <c r="M6" s="249"/>
      <c r="N6" s="249"/>
      <c r="O6" s="249"/>
      <c r="P6" s="249"/>
      <c r="Q6" s="249"/>
      <c r="R6" s="249"/>
      <c r="S6" s="249"/>
      <c r="T6" s="249"/>
      <c r="U6" s="249"/>
    </row>
    <row r="7" spans="1:21" ht="28.8">
      <c r="A7" s="249"/>
      <c r="B7" s="257" t="s">
        <v>12</v>
      </c>
      <c r="C7" s="256" t="s">
        <v>97</v>
      </c>
      <c r="D7" s="256" t="s">
        <v>51</v>
      </c>
      <c r="E7" s="255">
        <f>Transport!D67</f>
        <v>0.35889626278578779</v>
      </c>
      <c r="F7" s="250"/>
      <c r="G7" s="249"/>
      <c r="H7" s="249"/>
      <c r="I7" s="249"/>
      <c r="J7" s="249"/>
      <c r="K7" s="249"/>
      <c r="L7" s="249"/>
      <c r="M7" s="249"/>
      <c r="N7" s="249"/>
      <c r="O7" s="249"/>
      <c r="P7" s="249"/>
      <c r="Q7" s="249"/>
      <c r="R7" s="249"/>
      <c r="S7" s="249"/>
      <c r="T7" s="249"/>
      <c r="U7" s="249"/>
    </row>
    <row r="8" spans="1:21" ht="28.8">
      <c r="A8" s="249"/>
      <c r="B8" s="257" t="s">
        <v>12</v>
      </c>
      <c r="C8" s="256" t="s">
        <v>97</v>
      </c>
      <c r="D8" s="256" t="str">
        <f>Transport!B69</f>
        <v>Navigation domestique (fluviale et maritime)</v>
      </c>
      <c r="E8" s="255">
        <f>Transport!D71</f>
        <v>8.7491592841910215E-2</v>
      </c>
      <c r="F8" s="250"/>
      <c r="G8" s="249"/>
      <c r="H8" s="249"/>
      <c r="I8" s="249"/>
      <c r="J8" s="249"/>
      <c r="K8" s="249"/>
      <c r="L8" s="249"/>
      <c r="M8" s="249"/>
      <c r="N8" s="249"/>
      <c r="O8" s="249"/>
      <c r="P8" s="249"/>
      <c r="Q8" s="249"/>
      <c r="R8" s="249"/>
      <c r="S8" s="249"/>
      <c r="T8" s="249"/>
      <c r="U8" s="249"/>
    </row>
    <row r="9" spans="1:21" ht="28.8">
      <c r="A9" s="249"/>
      <c r="B9" s="257" t="s">
        <v>12</v>
      </c>
      <c r="C9" s="256" t="s">
        <v>97</v>
      </c>
      <c r="D9" s="256" t="str">
        <f>Transport!B73</f>
        <v>Soutes maritimes internationales</v>
      </c>
      <c r="E9" s="255">
        <f>Transport!D75</f>
        <v>0.53939818179252597</v>
      </c>
      <c r="F9" s="250"/>
      <c r="G9" s="249"/>
      <c r="H9" s="249"/>
      <c r="I9" s="249"/>
      <c r="J9" s="249"/>
      <c r="K9" s="249"/>
      <c r="L9" s="249"/>
      <c r="M9" s="249"/>
      <c r="N9" s="249"/>
      <c r="O9" s="249"/>
      <c r="P9" s="249"/>
      <c r="Q9" s="249"/>
      <c r="R9" s="249"/>
      <c r="S9" s="249"/>
      <c r="T9" s="249"/>
      <c r="U9" s="249"/>
    </row>
    <row r="10" spans="1:21" ht="28.8">
      <c r="A10" s="249"/>
      <c r="B10" s="257" t="s">
        <v>12</v>
      </c>
      <c r="C10" s="256" t="s">
        <v>97</v>
      </c>
      <c r="D10" s="256" t="s">
        <v>46</v>
      </c>
      <c r="E10" s="262">
        <f>Transport!D36</f>
        <v>6.4256115769875111E-2</v>
      </c>
      <c r="F10" s="250"/>
      <c r="G10" s="249"/>
      <c r="H10" s="249"/>
      <c r="I10" s="249"/>
      <c r="J10" s="249"/>
      <c r="K10" s="249"/>
      <c r="L10" s="249"/>
      <c r="M10" s="249"/>
      <c r="N10" s="249"/>
      <c r="O10" s="249"/>
      <c r="P10" s="249"/>
      <c r="Q10" s="249"/>
      <c r="R10" s="249"/>
      <c r="S10" s="249"/>
      <c r="T10" s="249"/>
      <c r="U10" s="249"/>
    </row>
    <row r="11" spans="1:21" ht="28.8">
      <c r="A11" s="249"/>
      <c r="B11" s="257" t="s">
        <v>12</v>
      </c>
      <c r="C11" s="256" t="s">
        <v>97</v>
      </c>
      <c r="D11" s="256" t="str">
        <f>Transport!B38</f>
        <v>Transport aérien français</v>
      </c>
      <c r="E11" s="409">
        <f>Transport!D40</f>
        <v>0.18239141109410129</v>
      </c>
      <c r="F11" s="250"/>
      <c r="G11" s="249"/>
      <c r="H11" s="249"/>
      <c r="I11" s="249"/>
      <c r="J11" s="249"/>
      <c r="K11" s="249"/>
      <c r="L11" s="249"/>
      <c r="M11" s="249"/>
      <c r="N11" s="249"/>
      <c r="O11" s="249"/>
      <c r="P11" s="249"/>
      <c r="Q11" s="249"/>
      <c r="R11" s="249"/>
      <c r="S11" s="249"/>
      <c r="T11" s="249"/>
      <c r="U11" s="249"/>
    </row>
    <row r="12" spans="1:21" ht="28.8">
      <c r="A12" s="249"/>
      <c r="B12" s="257" t="s">
        <v>12</v>
      </c>
      <c r="C12" s="256" t="s">
        <v>97</v>
      </c>
      <c r="D12" s="256" t="str">
        <f>Transport!B42</f>
        <v>Soutes internationales (aérien)</v>
      </c>
      <c r="E12" s="409">
        <f>Transport!D44</f>
        <v>3.3463362604147284E-2</v>
      </c>
      <c r="F12" s="250"/>
      <c r="G12" s="249"/>
      <c r="H12" s="249"/>
      <c r="I12" s="249"/>
      <c r="J12" s="249"/>
      <c r="K12" s="249"/>
      <c r="L12" s="249"/>
      <c r="M12" s="249"/>
      <c r="N12" s="249"/>
      <c r="O12" s="249"/>
      <c r="P12" s="249"/>
      <c r="Q12" s="249"/>
      <c r="R12" s="249"/>
      <c r="S12" s="249"/>
      <c r="T12" s="249"/>
      <c r="U12" s="249"/>
    </row>
    <row r="13" spans="1:21" ht="28.8">
      <c r="A13" s="249"/>
      <c r="B13" s="257" t="s">
        <v>12</v>
      </c>
      <c r="C13" s="256" t="s">
        <v>98</v>
      </c>
      <c r="D13" s="256" t="s">
        <v>48</v>
      </c>
      <c r="E13" s="258">
        <f>Transport!D51</f>
        <v>0.29179468516278451</v>
      </c>
      <c r="F13" s="250"/>
      <c r="G13" s="249"/>
      <c r="H13" s="249"/>
      <c r="I13" s="249"/>
      <c r="J13" s="249"/>
      <c r="K13" s="249"/>
      <c r="L13" s="249"/>
      <c r="M13" s="249"/>
      <c r="N13" s="249"/>
      <c r="O13" s="249"/>
      <c r="P13" s="249"/>
      <c r="Q13" s="249"/>
      <c r="R13" s="249"/>
      <c r="S13" s="249"/>
      <c r="T13" s="249"/>
      <c r="U13" s="249"/>
    </row>
    <row r="14" spans="1:21" ht="28.8">
      <c r="A14" s="249"/>
      <c r="B14" s="257" t="s">
        <v>12</v>
      </c>
      <c r="C14" s="256" t="s">
        <v>98</v>
      </c>
      <c r="D14" s="256" t="s">
        <v>49</v>
      </c>
      <c r="E14" s="258">
        <f>Transport!D55</f>
        <v>0.34858644733659616</v>
      </c>
      <c r="F14" s="250"/>
      <c r="G14" s="249"/>
      <c r="H14" s="249"/>
      <c r="I14" s="249"/>
      <c r="J14" s="249"/>
      <c r="K14" s="249"/>
      <c r="L14" s="249"/>
      <c r="M14" s="249"/>
      <c r="N14" s="249"/>
      <c r="O14" s="249"/>
      <c r="P14" s="249"/>
      <c r="Q14" s="249"/>
      <c r="R14" s="249"/>
      <c r="S14" s="249"/>
      <c r="T14" s="249"/>
      <c r="U14" s="249"/>
    </row>
    <row r="15" spans="1:21" ht="28.8">
      <c r="A15" s="249"/>
      <c r="B15" s="257" t="s">
        <v>12</v>
      </c>
      <c r="C15" s="256" t="s">
        <v>98</v>
      </c>
      <c r="D15" s="256" t="s">
        <v>50</v>
      </c>
      <c r="E15" s="266">
        <f>Transport!D59</f>
        <v>0.23832499955756214</v>
      </c>
      <c r="F15" s="250"/>
      <c r="G15" s="249"/>
      <c r="H15" s="249"/>
      <c r="I15" s="249"/>
      <c r="J15" s="249"/>
      <c r="K15" s="249"/>
      <c r="L15" s="249"/>
      <c r="M15" s="249"/>
      <c r="N15" s="249"/>
      <c r="O15" s="249"/>
      <c r="P15" s="249"/>
      <c r="Q15" s="249"/>
      <c r="R15" s="249"/>
      <c r="S15" s="249"/>
      <c r="T15" s="249"/>
      <c r="U15" s="249"/>
    </row>
    <row r="16" spans="1:21" ht="28.8">
      <c r="A16" s="249"/>
      <c r="B16" s="257" t="s">
        <v>12</v>
      </c>
      <c r="C16" s="256" t="s">
        <v>98</v>
      </c>
      <c r="D16" s="256" t="s">
        <v>51</v>
      </c>
      <c r="E16" s="255">
        <f>Transport!D67</f>
        <v>0.35889626278578779</v>
      </c>
      <c r="F16" s="250"/>
      <c r="G16" s="249"/>
      <c r="H16" s="249"/>
      <c r="I16" s="249"/>
      <c r="J16" s="249"/>
      <c r="K16" s="249"/>
      <c r="L16" s="249"/>
      <c r="M16" s="249"/>
      <c r="N16" s="249"/>
      <c r="O16" s="249"/>
      <c r="P16" s="249"/>
      <c r="Q16" s="249"/>
      <c r="R16" s="249"/>
      <c r="S16" s="249"/>
      <c r="T16" s="249"/>
      <c r="U16" s="249"/>
    </row>
    <row r="17" spans="1:21" ht="28.8">
      <c r="A17" s="249"/>
      <c r="B17" s="257" t="s">
        <v>12</v>
      </c>
      <c r="C17" s="256" t="s">
        <v>98</v>
      </c>
      <c r="D17" s="256" t="str">
        <f>Transport!B69</f>
        <v>Navigation domestique (fluviale et maritime)</v>
      </c>
      <c r="E17" s="255">
        <f>Transport!D71</f>
        <v>8.7491592841910215E-2</v>
      </c>
      <c r="F17" s="250"/>
      <c r="G17" s="249"/>
      <c r="H17" s="249"/>
      <c r="I17" s="249"/>
      <c r="J17" s="249"/>
      <c r="K17" s="249"/>
      <c r="L17" s="249"/>
      <c r="M17" s="249"/>
      <c r="N17" s="249"/>
      <c r="O17" s="249"/>
      <c r="P17" s="249"/>
      <c r="Q17" s="249"/>
      <c r="R17" s="249"/>
      <c r="S17" s="249"/>
      <c r="T17" s="249"/>
      <c r="U17" s="249"/>
    </row>
    <row r="18" spans="1:21" ht="28.8">
      <c r="A18" s="249"/>
      <c r="B18" s="257" t="s">
        <v>12</v>
      </c>
      <c r="C18" s="256" t="s">
        <v>98</v>
      </c>
      <c r="D18" s="256" t="str">
        <f>Transport!B73</f>
        <v>Soutes maritimes internationales</v>
      </c>
      <c r="E18" s="255">
        <f>Transport!D71</f>
        <v>8.7491592841910215E-2</v>
      </c>
      <c r="F18" s="250"/>
      <c r="G18" s="249"/>
      <c r="H18" s="249"/>
      <c r="I18" s="249"/>
      <c r="J18" s="249"/>
      <c r="K18" s="249"/>
      <c r="L18" s="249"/>
      <c r="M18" s="249"/>
      <c r="N18" s="249"/>
      <c r="O18" s="249"/>
      <c r="P18" s="249"/>
      <c r="Q18" s="249"/>
      <c r="R18" s="249"/>
      <c r="S18" s="249"/>
      <c r="T18" s="249"/>
      <c r="U18" s="249"/>
    </row>
    <row r="19" spans="1:21" ht="28.8">
      <c r="A19" s="249"/>
      <c r="B19" s="257" t="s">
        <v>12</v>
      </c>
      <c r="C19" s="256" t="s">
        <v>98</v>
      </c>
      <c r="D19" s="256" t="s">
        <v>46</v>
      </c>
      <c r="E19" s="262">
        <f>Transport!D36</f>
        <v>6.4256115769875111E-2</v>
      </c>
      <c r="F19" s="250"/>
      <c r="G19" s="249"/>
      <c r="H19" s="249"/>
      <c r="I19" s="249"/>
      <c r="J19" s="249"/>
      <c r="K19" s="249"/>
      <c r="L19" s="249"/>
      <c r="M19" s="249"/>
      <c r="N19" s="249"/>
      <c r="O19" s="249"/>
      <c r="P19" s="249"/>
      <c r="Q19" s="249"/>
      <c r="R19" s="249"/>
      <c r="S19" s="249"/>
      <c r="T19" s="249"/>
      <c r="U19" s="249"/>
    </row>
    <row r="20" spans="1:21" ht="28.8">
      <c r="A20" s="249"/>
      <c r="B20" s="257" t="s">
        <v>12</v>
      </c>
      <c r="C20" s="256" t="s">
        <v>98</v>
      </c>
      <c r="D20" s="256" t="str">
        <f>Transport!B38</f>
        <v>Transport aérien français</v>
      </c>
      <c r="E20" s="409">
        <f>Transport!D40</f>
        <v>0.18239141109410129</v>
      </c>
      <c r="F20" s="250"/>
      <c r="G20" s="249"/>
      <c r="H20" s="249"/>
      <c r="I20" s="249"/>
      <c r="J20" s="249"/>
      <c r="K20" s="249"/>
      <c r="L20" s="249"/>
      <c r="M20" s="249"/>
      <c r="N20" s="249"/>
      <c r="O20" s="249"/>
      <c r="P20" s="249"/>
      <c r="Q20" s="249"/>
      <c r="R20" s="249"/>
      <c r="S20" s="249"/>
      <c r="T20" s="249"/>
      <c r="U20" s="249"/>
    </row>
    <row r="21" spans="1:21" ht="28.8">
      <c r="A21" s="249"/>
      <c r="B21" s="257" t="s">
        <v>12</v>
      </c>
      <c r="C21" s="256" t="s">
        <v>98</v>
      </c>
      <c r="D21" s="256" t="str">
        <f>Transport!B42</f>
        <v>Soutes internationales (aérien)</v>
      </c>
      <c r="E21" s="409">
        <f>Transport!D44</f>
        <v>3.3463362604147284E-2</v>
      </c>
      <c r="F21" s="250"/>
      <c r="G21" s="249"/>
      <c r="H21" s="249"/>
      <c r="I21" s="249"/>
      <c r="J21" s="249"/>
      <c r="K21" s="249"/>
      <c r="L21" s="249"/>
      <c r="M21" s="249"/>
      <c r="N21" s="249"/>
      <c r="O21" s="249"/>
      <c r="P21" s="249"/>
      <c r="Q21" s="249"/>
      <c r="R21" s="249"/>
      <c r="S21" s="249"/>
      <c r="T21" s="249"/>
      <c r="U21" s="249"/>
    </row>
    <row r="22" spans="1:21">
      <c r="A22" s="249"/>
      <c r="B22" s="257" t="s">
        <v>13</v>
      </c>
      <c r="C22" s="256" t="s">
        <v>99</v>
      </c>
      <c r="D22" s="256" t="s">
        <v>100</v>
      </c>
      <c r="E22" s="258">
        <f>Industrie!D14</f>
        <v>0.3432203210566056</v>
      </c>
      <c r="F22" s="250"/>
      <c r="G22" s="249"/>
      <c r="H22" s="249"/>
      <c r="I22" s="249"/>
      <c r="J22" s="249"/>
      <c r="K22" s="249"/>
      <c r="L22" s="249"/>
      <c r="M22" s="249"/>
      <c r="N22" s="249"/>
      <c r="O22" s="249"/>
      <c r="P22" s="249"/>
      <c r="Q22" s="249"/>
      <c r="R22" s="249"/>
      <c r="S22" s="249"/>
      <c r="T22" s="249"/>
      <c r="U22" s="249"/>
    </row>
    <row r="23" spans="1:21">
      <c r="A23" s="249"/>
      <c r="B23" s="257" t="s">
        <v>13</v>
      </c>
      <c r="C23" s="256" t="s">
        <v>99</v>
      </c>
      <c r="D23" s="263" t="s">
        <v>24</v>
      </c>
      <c r="E23" s="269">
        <f>Industrie!D22</f>
        <v>0.36622800631315278</v>
      </c>
      <c r="F23" s="245"/>
      <c r="G23" s="249"/>
      <c r="H23" s="249"/>
      <c r="I23" s="249"/>
      <c r="J23" s="249"/>
      <c r="K23" s="249"/>
      <c r="L23" s="249"/>
      <c r="M23" s="249"/>
      <c r="N23" s="249"/>
      <c r="O23" s="249"/>
      <c r="P23" s="249"/>
      <c r="Q23" s="249"/>
      <c r="R23" s="249"/>
      <c r="S23" s="249"/>
      <c r="T23" s="249"/>
      <c r="U23" s="249"/>
    </row>
    <row r="24" spans="1:21">
      <c r="A24" s="249"/>
      <c r="B24" s="257" t="s">
        <v>13</v>
      </c>
      <c r="C24" s="256" t="s">
        <v>99</v>
      </c>
      <c r="D24" s="256" t="s">
        <v>660</v>
      </c>
      <c r="E24" s="255">
        <f>Industrie!D18</f>
        <v>0.29812782152726658</v>
      </c>
      <c r="F24" s="245"/>
      <c r="G24" s="249"/>
      <c r="H24" s="249"/>
      <c r="I24" s="249"/>
      <c r="J24" s="249"/>
      <c r="K24" s="249"/>
      <c r="L24" s="249"/>
      <c r="M24" s="249"/>
      <c r="N24" s="249"/>
      <c r="O24" s="249"/>
      <c r="P24" s="249"/>
      <c r="Q24" s="249"/>
      <c r="R24" s="249"/>
      <c r="S24" s="249"/>
      <c r="T24" s="249"/>
      <c r="U24" s="249"/>
    </row>
    <row r="25" spans="1:21">
      <c r="A25" s="249"/>
      <c r="B25" s="257" t="s">
        <v>12</v>
      </c>
      <c r="C25" s="256" t="s">
        <v>99</v>
      </c>
      <c r="D25" s="256" t="str">
        <f>Industrie!B24</f>
        <v>Construction</v>
      </c>
      <c r="E25" s="255">
        <f>Industrie!D26</f>
        <v>0.65822216768988984</v>
      </c>
      <c r="F25" s="245"/>
      <c r="G25" s="249"/>
      <c r="H25" s="249"/>
      <c r="I25" s="249"/>
      <c r="J25" s="249"/>
      <c r="K25" s="249"/>
      <c r="L25" s="249"/>
      <c r="M25" s="249"/>
      <c r="N25" s="249"/>
      <c r="O25" s="249"/>
      <c r="P25" s="249"/>
      <c r="Q25" s="249"/>
      <c r="R25" s="249"/>
      <c r="S25" s="249"/>
      <c r="T25" s="249"/>
      <c r="U25" s="249"/>
    </row>
    <row r="26" spans="1:21" ht="28.8">
      <c r="A26" s="249"/>
      <c r="B26" s="257" t="s">
        <v>12</v>
      </c>
      <c r="C26" s="256" t="s">
        <v>99</v>
      </c>
      <c r="D26" s="256" t="s">
        <v>101</v>
      </c>
      <c r="E26" s="255">
        <f>Industrie!D30</f>
        <v>0.51052415352922065</v>
      </c>
      <c r="F26" s="250"/>
      <c r="G26" s="249"/>
      <c r="H26" s="249"/>
      <c r="I26" s="249"/>
      <c r="J26" s="249"/>
      <c r="K26" s="249"/>
      <c r="L26" s="249"/>
      <c r="M26" s="249"/>
      <c r="N26" s="249"/>
      <c r="O26" s="249"/>
      <c r="P26" s="249"/>
      <c r="Q26" s="249"/>
      <c r="R26" s="249"/>
      <c r="S26" s="249"/>
      <c r="T26" s="249"/>
      <c r="U26" s="249"/>
    </row>
    <row r="27" spans="1:21" ht="28.8">
      <c r="A27" s="249"/>
      <c r="B27" s="267" t="s">
        <v>19</v>
      </c>
      <c r="C27" s="263" t="s">
        <v>99</v>
      </c>
      <c r="D27" s="263" t="s">
        <v>102</v>
      </c>
      <c r="E27" s="268">
        <f>Industrie!D34</f>
        <v>0.65487860922492791</v>
      </c>
      <c r="F27" s="270" t="s">
        <v>103</v>
      </c>
      <c r="G27" s="249"/>
      <c r="H27" s="249"/>
      <c r="I27" s="249"/>
      <c r="J27" s="249"/>
      <c r="K27" s="249"/>
      <c r="L27" s="249"/>
      <c r="M27" s="249"/>
      <c r="N27" s="249"/>
      <c r="O27" s="249"/>
      <c r="P27" s="249"/>
      <c r="Q27" s="249"/>
      <c r="R27" s="249"/>
      <c r="S27" s="249"/>
      <c r="T27" s="249"/>
      <c r="U27" s="249"/>
    </row>
    <row r="28" spans="1:21" ht="28.8">
      <c r="A28" s="249"/>
      <c r="B28" s="267" t="s">
        <v>19</v>
      </c>
      <c r="C28" s="263" t="s">
        <v>99</v>
      </c>
      <c r="D28" s="263" t="s">
        <v>28</v>
      </c>
      <c r="E28" s="269">
        <f>Industrie!D38</f>
        <v>0.29059257327989763</v>
      </c>
      <c r="F28" s="250"/>
      <c r="G28" s="249"/>
      <c r="H28" s="249"/>
      <c r="I28" s="249"/>
      <c r="J28" s="249"/>
      <c r="K28" s="249"/>
      <c r="L28" s="249"/>
      <c r="M28" s="249"/>
      <c r="N28" s="249"/>
      <c r="O28" s="249"/>
      <c r="P28" s="249"/>
      <c r="Q28" s="249"/>
      <c r="R28" s="249"/>
      <c r="S28" s="249"/>
      <c r="T28" s="249"/>
      <c r="U28" s="249"/>
    </row>
    <row r="29" spans="1:21" ht="28.8">
      <c r="A29" s="249"/>
      <c r="B29" s="295" t="s">
        <v>21</v>
      </c>
      <c r="C29" s="263" t="s">
        <v>99</v>
      </c>
      <c r="D29" s="263" t="s">
        <v>22</v>
      </c>
      <c r="E29" s="268">
        <f>Industrie!D42</f>
        <v>0.32429097823148123</v>
      </c>
      <c r="F29" s="250"/>
      <c r="G29" s="249"/>
      <c r="H29" s="249"/>
      <c r="I29" s="249"/>
      <c r="J29" s="249"/>
      <c r="K29" s="249"/>
      <c r="L29" s="249"/>
      <c r="M29" s="249"/>
      <c r="N29" s="249"/>
      <c r="O29" s="249"/>
      <c r="P29" s="249"/>
      <c r="Q29" s="249"/>
      <c r="R29" s="249"/>
      <c r="S29" s="249"/>
      <c r="T29" s="249"/>
      <c r="U29" s="249"/>
    </row>
    <row r="30" spans="1:21" ht="28.8">
      <c r="A30" s="249"/>
      <c r="B30" s="296" t="s">
        <v>21</v>
      </c>
      <c r="C30" s="256" t="s">
        <v>99</v>
      </c>
      <c r="D30" s="256" t="s">
        <v>29</v>
      </c>
      <c r="E30" s="255">
        <f>Industrie!D46</f>
        <v>0.43818554280595978</v>
      </c>
      <c r="F30" s="250"/>
      <c r="G30" s="249"/>
      <c r="H30" s="249"/>
      <c r="I30" s="249"/>
      <c r="J30" s="249"/>
      <c r="K30" s="249"/>
      <c r="L30" s="249"/>
      <c r="M30" s="249"/>
      <c r="N30" s="249"/>
      <c r="O30" s="249"/>
      <c r="P30" s="249"/>
      <c r="Q30" s="249"/>
      <c r="R30" s="249"/>
      <c r="S30" s="249"/>
      <c r="T30" s="249"/>
      <c r="U30" s="249"/>
    </row>
    <row r="31" spans="1:21" ht="28.8">
      <c r="A31" s="249"/>
      <c r="B31" s="296" t="s">
        <v>104</v>
      </c>
      <c r="C31" s="256" t="s">
        <v>99</v>
      </c>
      <c r="D31" s="259" t="s">
        <v>30</v>
      </c>
      <c r="E31" s="255">
        <f>Industrie!D50</f>
        <v>0.43140362395396104</v>
      </c>
      <c r="F31" s="245"/>
      <c r="G31" s="249"/>
      <c r="H31" s="249"/>
      <c r="I31" s="249"/>
      <c r="J31" s="249"/>
      <c r="K31" s="249"/>
      <c r="L31" s="249"/>
      <c r="M31" s="249"/>
      <c r="N31" s="249"/>
      <c r="O31" s="249"/>
      <c r="P31" s="249"/>
      <c r="Q31" s="249"/>
      <c r="R31" s="249"/>
      <c r="S31" s="249"/>
      <c r="T31" s="249"/>
      <c r="U31" s="249"/>
    </row>
    <row r="32" spans="1:21" ht="43.2">
      <c r="A32" s="249"/>
      <c r="B32" s="257" t="s">
        <v>15</v>
      </c>
      <c r="C32" s="256" t="s">
        <v>99</v>
      </c>
      <c r="D32" s="256" t="s">
        <v>31</v>
      </c>
      <c r="E32" s="255">
        <f>Industrie!D54</f>
        <v>0.44187306874413257</v>
      </c>
      <c r="F32" s="250"/>
      <c r="G32" s="249"/>
      <c r="H32" s="249"/>
      <c r="I32" s="249"/>
      <c r="J32" s="249"/>
      <c r="K32" s="249"/>
      <c r="L32" s="249"/>
      <c r="M32" s="249"/>
      <c r="N32" s="249"/>
      <c r="O32" s="249"/>
      <c r="P32" s="249"/>
      <c r="Q32" s="249"/>
      <c r="R32" s="249"/>
      <c r="S32" s="249"/>
      <c r="T32" s="249"/>
      <c r="U32" s="249"/>
    </row>
    <row r="33" spans="1:21" ht="28.8">
      <c r="A33" s="249"/>
      <c r="B33" s="257" t="s">
        <v>105</v>
      </c>
      <c r="C33" s="256" t="s">
        <v>99</v>
      </c>
      <c r="D33" s="259" t="s">
        <v>106</v>
      </c>
      <c r="E33" s="255">
        <f>Industrie!D58</f>
        <v>0.23421581795994439</v>
      </c>
      <c r="F33" s="245"/>
      <c r="G33" s="249"/>
      <c r="H33" s="249"/>
      <c r="I33" s="249"/>
      <c r="J33" s="249"/>
      <c r="K33" s="249"/>
      <c r="L33" s="249"/>
      <c r="M33" s="249"/>
      <c r="N33" s="249"/>
      <c r="O33" s="249"/>
      <c r="P33" s="249"/>
      <c r="Q33" s="249"/>
      <c r="R33" s="249"/>
      <c r="S33" s="249"/>
      <c r="T33" s="249"/>
      <c r="U33" s="249"/>
    </row>
    <row r="34" spans="1:21" ht="28.8">
      <c r="A34" s="249"/>
      <c r="B34" s="257" t="s">
        <v>107</v>
      </c>
      <c r="C34" s="256" t="s">
        <v>99</v>
      </c>
      <c r="D34" s="256" t="s">
        <v>34</v>
      </c>
      <c r="E34" s="255">
        <f>Industrie!D66</f>
        <v>0.60284999332368583</v>
      </c>
      <c r="F34" s="245"/>
      <c r="G34" s="249"/>
      <c r="H34" s="249"/>
      <c r="I34" s="249"/>
      <c r="J34" s="249"/>
      <c r="K34" s="249"/>
      <c r="L34" s="249"/>
      <c r="M34" s="249"/>
      <c r="N34" s="249"/>
      <c r="O34" s="249"/>
      <c r="P34" s="249"/>
      <c r="Q34" s="249"/>
      <c r="R34" s="249"/>
      <c r="S34" s="249"/>
      <c r="T34" s="249"/>
      <c r="U34" s="249"/>
    </row>
    <row r="35" spans="1:21" ht="28.8">
      <c r="A35" s="249"/>
      <c r="B35" s="257" t="s">
        <v>108</v>
      </c>
      <c r="C35" s="256" t="s">
        <v>109</v>
      </c>
      <c r="D35" s="256" t="s">
        <v>42</v>
      </c>
      <c r="E35" s="258">
        <f>Transport!D20</f>
        <v>0.34946144764437437</v>
      </c>
      <c r="F35" s="250"/>
      <c r="G35" s="249"/>
      <c r="H35" s="249"/>
      <c r="I35" s="249"/>
      <c r="J35" s="249"/>
      <c r="K35" s="249"/>
      <c r="L35" s="249"/>
      <c r="M35" s="249"/>
      <c r="N35" s="249"/>
      <c r="O35" s="249"/>
      <c r="P35" s="249"/>
      <c r="Q35" s="249"/>
      <c r="R35" s="249"/>
      <c r="S35" s="249"/>
      <c r="T35" s="249"/>
      <c r="U35" s="249"/>
    </row>
    <row r="36" spans="1:21" ht="28.8">
      <c r="A36" s="249"/>
      <c r="B36" s="257" t="s">
        <v>108</v>
      </c>
      <c r="C36" s="256" t="s">
        <v>109</v>
      </c>
      <c r="D36" s="256" t="s">
        <v>49</v>
      </c>
      <c r="E36" s="258">
        <f>Transport!D55</f>
        <v>0.34858644733659616</v>
      </c>
      <c r="F36" s="250"/>
      <c r="G36" s="249"/>
      <c r="H36" s="249"/>
      <c r="I36" s="249"/>
      <c r="J36" s="249"/>
      <c r="K36" s="249"/>
      <c r="L36" s="249"/>
      <c r="M36" s="249"/>
      <c r="N36" s="249"/>
      <c r="O36" s="249"/>
      <c r="P36" s="249"/>
      <c r="Q36" s="249"/>
      <c r="R36" s="249"/>
      <c r="S36" s="249"/>
      <c r="T36" s="249"/>
      <c r="U36" s="249"/>
    </row>
    <row r="37" spans="1:21" ht="57.6">
      <c r="A37" s="249"/>
      <c r="B37" s="267" t="s">
        <v>110</v>
      </c>
      <c r="C37" s="263" t="s">
        <v>109</v>
      </c>
      <c r="D37" s="263" t="s">
        <v>74</v>
      </c>
      <c r="E37" s="261">
        <f>Energie!D14</f>
        <v>0.72258629407079755</v>
      </c>
      <c r="F37" s="250"/>
      <c r="G37" s="249"/>
      <c r="H37" s="249"/>
      <c r="I37" s="249"/>
      <c r="J37" s="249"/>
      <c r="K37" s="249"/>
      <c r="L37" s="249"/>
      <c r="M37" s="249"/>
      <c r="N37" s="249"/>
      <c r="O37" s="249"/>
      <c r="P37" s="249"/>
      <c r="Q37" s="249"/>
      <c r="R37" s="249"/>
      <c r="S37" s="249"/>
      <c r="T37" s="249"/>
      <c r="U37" s="249"/>
    </row>
    <row r="38" spans="1:21" ht="28.8">
      <c r="A38" s="249"/>
      <c r="B38" s="257" t="s">
        <v>111</v>
      </c>
      <c r="C38" s="256" t="s">
        <v>109</v>
      </c>
      <c r="D38" s="256" t="s">
        <v>46</v>
      </c>
      <c r="E38" s="258">
        <f>Transport!D36</f>
        <v>6.4256115769875111E-2</v>
      </c>
      <c r="F38" s="250"/>
      <c r="G38" s="249"/>
      <c r="H38" s="249"/>
      <c r="I38" s="249"/>
      <c r="J38" s="249"/>
      <c r="K38" s="249"/>
      <c r="L38" s="249"/>
      <c r="M38" s="249"/>
      <c r="N38" s="249"/>
      <c r="O38" s="249"/>
      <c r="P38" s="249"/>
      <c r="Q38" s="249"/>
      <c r="R38" s="249"/>
      <c r="S38" s="249"/>
      <c r="T38" s="249"/>
      <c r="U38" s="249"/>
    </row>
    <row r="39" spans="1:21" ht="43.2">
      <c r="A39" s="249"/>
      <c r="B39" s="257" t="s">
        <v>15</v>
      </c>
      <c r="C39" s="256" t="s">
        <v>109</v>
      </c>
      <c r="D39" s="256" t="str">
        <f>Bâtiment!B10</f>
        <v>Total : résidentiel + tertiaire + artificialisation</v>
      </c>
      <c r="E39" s="258">
        <f>Bâtiment!D12</f>
        <v>0.50900669158031397</v>
      </c>
      <c r="F39" s="250"/>
      <c r="G39" s="249"/>
      <c r="H39" s="249"/>
      <c r="I39" s="249"/>
      <c r="J39" s="249"/>
      <c r="K39" s="249"/>
      <c r="L39" s="249"/>
      <c r="M39" s="249"/>
      <c r="N39" s="249"/>
      <c r="O39" s="249"/>
      <c r="P39" s="249"/>
      <c r="Q39" s="249"/>
      <c r="R39" s="249"/>
      <c r="S39" s="249"/>
      <c r="T39" s="249"/>
      <c r="U39" s="249"/>
    </row>
    <row r="40" spans="1:21" ht="28.8">
      <c r="A40" s="249"/>
      <c r="B40" s="257" t="s">
        <v>15</v>
      </c>
      <c r="C40" s="256" t="s">
        <v>109</v>
      </c>
      <c r="D40" s="256" t="s">
        <v>112</v>
      </c>
      <c r="E40" s="258">
        <f>Bâtiment!D20</f>
        <v>0.53739765657054817</v>
      </c>
      <c r="F40" s="250"/>
      <c r="G40" s="249"/>
      <c r="H40" s="249"/>
      <c r="I40" s="249"/>
      <c r="J40" s="249"/>
      <c r="K40" s="249"/>
      <c r="L40" s="249"/>
      <c r="M40" s="249"/>
      <c r="N40" s="249"/>
      <c r="O40" s="249"/>
      <c r="P40" s="249"/>
      <c r="Q40" s="249"/>
      <c r="R40" s="249"/>
      <c r="S40" s="249"/>
      <c r="T40" s="249"/>
      <c r="U40" s="249"/>
    </row>
    <row r="41" spans="1:21" ht="28.8">
      <c r="A41" s="249"/>
      <c r="B41" s="257" t="s">
        <v>15</v>
      </c>
      <c r="C41" s="256" t="s">
        <v>109</v>
      </c>
      <c r="D41" s="256" t="s">
        <v>113</v>
      </c>
      <c r="E41" s="258">
        <f>Bâtiment!D44</f>
        <v>0.4845302269323476</v>
      </c>
      <c r="F41" s="250"/>
      <c r="G41" s="249"/>
      <c r="H41" s="249"/>
      <c r="I41" s="249"/>
      <c r="J41" s="249"/>
      <c r="K41" s="249"/>
      <c r="L41" s="249"/>
      <c r="M41" s="249"/>
      <c r="N41" s="249"/>
      <c r="O41" s="249"/>
      <c r="P41" s="249"/>
      <c r="Q41" s="249"/>
      <c r="R41" s="249"/>
      <c r="S41" s="249"/>
      <c r="T41" s="249"/>
      <c r="U41" s="249"/>
    </row>
    <row r="42" spans="1:21" ht="28.8">
      <c r="A42" s="249"/>
      <c r="B42" s="257" t="s">
        <v>12</v>
      </c>
      <c r="C42" s="256" t="s">
        <v>114</v>
      </c>
      <c r="D42" s="259" t="s">
        <v>66</v>
      </c>
      <c r="E42" s="258">
        <f>Déchets!D10</f>
        <v>0.25994141718532393</v>
      </c>
      <c r="F42" s="250"/>
      <c r="G42" s="249"/>
      <c r="H42" s="249"/>
      <c r="I42" s="249"/>
      <c r="J42" s="249"/>
      <c r="K42" s="249"/>
      <c r="L42" s="249"/>
      <c r="M42" s="249"/>
      <c r="N42" s="249"/>
      <c r="O42" s="249"/>
      <c r="P42" s="249"/>
      <c r="Q42" s="249"/>
      <c r="R42" s="249"/>
      <c r="S42" s="249"/>
      <c r="T42" s="249"/>
      <c r="U42" s="249"/>
    </row>
    <row r="43" spans="1:21" ht="28.8">
      <c r="A43" s="249"/>
      <c r="B43" s="257" t="s">
        <v>12</v>
      </c>
      <c r="C43" s="256" t="s">
        <v>114</v>
      </c>
      <c r="D43" s="256" t="s">
        <v>67</v>
      </c>
      <c r="E43" s="258">
        <f>Déchets!D14</f>
        <v>0.3492901742193053</v>
      </c>
      <c r="F43" s="250"/>
      <c r="G43" s="249"/>
      <c r="H43" s="249"/>
      <c r="I43" s="249"/>
      <c r="J43" s="249"/>
      <c r="K43" s="249"/>
      <c r="L43" s="249"/>
      <c r="M43" s="249"/>
      <c r="N43" s="249"/>
      <c r="O43" s="249"/>
      <c r="P43" s="249"/>
      <c r="Q43" s="249"/>
      <c r="R43" s="249"/>
      <c r="S43" s="249"/>
      <c r="T43" s="249"/>
      <c r="U43" s="249"/>
    </row>
    <row r="44" spans="1:21" ht="28.8">
      <c r="A44" s="249"/>
      <c r="B44" s="257" t="s">
        <v>12</v>
      </c>
      <c r="C44" s="256" t="s">
        <v>114</v>
      </c>
      <c r="D44" s="256" t="s">
        <v>68</v>
      </c>
      <c r="E44" s="363">
        <f>Déchets!D18</f>
        <v>3.458171733762927E-2</v>
      </c>
      <c r="F44" s="252" t="s">
        <v>587</v>
      </c>
      <c r="G44" s="249"/>
      <c r="H44" s="249"/>
      <c r="I44" s="249"/>
      <c r="J44" s="249"/>
      <c r="K44" s="249"/>
      <c r="L44" s="249"/>
      <c r="M44" s="249"/>
      <c r="N44" s="249"/>
      <c r="O44" s="249"/>
      <c r="P44" s="249"/>
      <c r="Q44" s="249"/>
      <c r="R44" s="249"/>
      <c r="S44" s="249"/>
      <c r="T44" s="249"/>
      <c r="U44" s="249"/>
    </row>
    <row r="45" spans="1:21" ht="28.8">
      <c r="A45" s="249"/>
      <c r="B45" s="257" t="s">
        <v>12</v>
      </c>
      <c r="C45" s="256" t="s">
        <v>114</v>
      </c>
      <c r="D45" s="256" t="s">
        <v>69</v>
      </c>
      <c r="E45" s="364">
        <f>Déchets!D22</f>
        <v>5.2260247706849783E-2</v>
      </c>
      <c r="F45" s="252" t="s">
        <v>587</v>
      </c>
      <c r="G45" s="249"/>
      <c r="H45" s="249"/>
      <c r="I45" s="249"/>
      <c r="J45" s="249"/>
      <c r="K45" s="249"/>
      <c r="L45" s="249"/>
      <c r="M45" s="249"/>
      <c r="N45" s="249"/>
      <c r="O45" s="249"/>
      <c r="P45" s="249"/>
      <c r="Q45" s="249"/>
      <c r="R45" s="249"/>
      <c r="S45" s="249"/>
      <c r="T45" s="249"/>
      <c r="U45" s="249"/>
    </row>
    <row r="46" spans="1:21" ht="28.8">
      <c r="A46" s="249"/>
      <c r="B46" s="257" t="s">
        <v>115</v>
      </c>
      <c r="C46" s="259" t="s">
        <v>99</v>
      </c>
      <c r="D46" s="256" t="s">
        <v>101</v>
      </c>
      <c r="E46" s="258">
        <f>Industrie!D30</f>
        <v>0.51052415352922065</v>
      </c>
      <c r="F46" s="250"/>
      <c r="G46" s="249"/>
      <c r="H46" s="249"/>
      <c r="I46" s="249"/>
      <c r="J46" s="249"/>
      <c r="K46" s="249"/>
      <c r="L46" s="249"/>
      <c r="M46" s="249"/>
      <c r="N46" s="249"/>
      <c r="O46" s="249"/>
      <c r="P46" s="249"/>
      <c r="Q46" s="249"/>
      <c r="R46" s="249"/>
      <c r="S46" s="249"/>
      <c r="T46" s="249"/>
      <c r="U46" s="249"/>
    </row>
    <row r="47" spans="1:21" ht="28.8">
      <c r="A47" s="249"/>
      <c r="B47" s="257" t="s">
        <v>115</v>
      </c>
      <c r="C47" s="259" t="s">
        <v>99</v>
      </c>
      <c r="D47" s="256" t="s">
        <v>34</v>
      </c>
      <c r="E47" s="258">
        <f>Industrie!D66</f>
        <v>0.60284999332368583</v>
      </c>
      <c r="F47" s="245"/>
      <c r="G47" s="249"/>
      <c r="H47" s="249"/>
      <c r="I47" s="249"/>
      <c r="J47" s="249"/>
      <c r="K47" s="249"/>
      <c r="L47" s="249"/>
      <c r="M47" s="249"/>
      <c r="N47" s="249"/>
      <c r="O47" s="249"/>
      <c r="P47" s="249"/>
      <c r="Q47" s="249"/>
      <c r="R47" s="249"/>
      <c r="S47" s="249"/>
      <c r="T47" s="249"/>
      <c r="U47" s="249"/>
    </row>
    <row r="48" spans="1:21" ht="28.8">
      <c r="A48" s="249"/>
      <c r="B48" s="257" t="s">
        <v>115</v>
      </c>
      <c r="C48" s="256" t="s">
        <v>116</v>
      </c>
      <c r="D48" s="256" t="s">
        <v>42</v>
      </c>
      <c r="E48" s="258">
        <f>Transport!D20</f>
        <v>0.34946144764437437</v>
      </c>
      <c r="F48" s="250"/>
      <c r="G48" s="249"/>
      <c r="H48" s="249"/>
      <c r="I48" s="249"/>
      <c r="J48" s="249"/>
      <c r="K48" s="249"/>
      <c r="L48" s="249"/>
      <c r="M48" s="249"/>
      <c r="N48" s="249"/>
      <c r="O48" s="249"/>
      <c r="P48" s="249"/>
      <c r="Q48" s="249"/>
      <c r="R48" s="249"/>
      <c r="S48" s="249"/>
      <c r="T48" s="249"/>
      <c r="U48" s="249"/>
    </row>
    <row r="49" spans="1:21" ht="28.8">
      <c r="A49" s="249"/>
      <c r="B49" s="257" t="s">
        <v>115</v>
      </c>
      <c r="C49" s="256" t="s">
        <v>116</v>
      </c>
      <c r="D49" s="256" t="s">
        <v>45</v>
      </c>
      <c r="E49" s="258">
        <f>Transport!D63</f>
        <v>0.13997223571468664</v>
      </c>
      <c r="F49" s="250"/>
      <c r="G49" s="249"/>
      <c r="H49" s="249"/>
      <c r="I49" s="249"/>
      <c r="J49" s="249"/>
      <c r="K49" s="249"/>
      <c r="L49" s="249"/>
      <c r="M49" s="249"/>
      <c r="N49" s="249"/>
      <c r="O49" s="249"/>
      <c r="P49" s="249"/>
      <c r="Q49" s="249"/>
      <c r="R49" s="249"/>
      <c r="S49" s="249"/>
      <c r="T49" s="249"/>
      <c r="U49" s="249"/>
    </row>
    <row r="50" spans="1:21" ht="28.8">
      <c r="A50" s="249"/>
      <c r="B50" s="257" t="s">
        <v>115</v>
      </c>
      <c r="C50" s="256" t="s">
        <v>117</v>
      </c>
      <c r="D50" s="256" t="s">
        <v>42</v>
      </c>
      <c r="E50" s="258">
        <f>Transport!D20</f>
        <v>0.34946144764437437</v>
      </c>
      <c r="F50" s="250"/>
      <c r="G50" s="249"/>
      <c r="H50" s="249"/>
      <c r="I50" s="249"/>
      <c r="J50" s="249"/>
      <c r="K50" s="249"/>
      <c r="L50" s="249"/>
      <c r="M50" s="249"/>
      <c r="N50" s="249"/>
      <c r="O50" s="249"/>
      <c r="P50" s="249"/>
      <c r="Q50" s="249"/>
      <c r="R50" s="249"/>
      <c r="S50" s="249"/>
      <c r="T50" s="249"/>
      <c r="U50" s="249"/>
    </row>
    <row r="51" spans="1:21" ht="28.8">
      <c r="A51" s="249"/>
      <c r="B51" s="257" t="s">
        <v>115</v>
      </c>
      <c r="C51" s="256" t="s">
        <v>117</v>
      </c>
      <c r="D51" s="256" t="s">
        <v>45</v>
      </c>
      <c r="E51" s="258">
        <f>Transport!D63</f>
        <v>0.13997223571468664</v>
      </c>
      <c r="F51" s="250"/>
      <c r="G51" s="249"/>
      <c r="H51" s="249"/>
      <c r="I51" s="249"/>
      <c r="J51" s="249"/>
      <c r="K51" s="249"/>
      <c r="L51" s="249"/>
      <c r="M51" s="249"/>
      <c r="N51" s="249"/>
      <c r="O51" s="249"/>
      <c r="P51" s="249"/>
      <c r="Q51" s="249"/>
      <c r="R51" s="249"/>
      <c r="S51" s="249"/>
      <c r="T51" s="249"/>
      <c r="U51" s="249"/>
    </row>
    <row r="52" spans="1:21" ht="28.8">
      <c r="A52" s="249"/>
      <c r="B52" s="257" t="s">
        <v>115</v>
      </c>
      <c r="C52" s="256" t="s">
        <v>117</v>
      </c>
      <c r="D52" s="256" t="s">
        <v>46</v>
      </c>
      <c r="E52" s="258">
        <f>Transport!D36</f>
        <v>6.4256115769875111E-2</v>
      </c>
      <c r="F52" s="250"/>
      <c r="G52" s="249"/>
      <c r="H52" s="249"/>
      <c r="I52" s="249"/>
      <c r="J52" s="249"/>
      <c r="K52" s="249"/>
      <c r="L52" s="249"/>
      <c r="M52" s="249"/>
      <c r="N52" s="249"/>
      <c r="O52" s="249"/>
      <c r="P52" s="249"/>
      <c r="Q52" s="249"/>
      <c r="R52" s="249"/>
      <c r="S52" s="249"/>
      <c r="T52" s="249"/>
      <c r="U52" s="249"/>
    </row>
    <row r="53" spans="1:21" ht="28.8">
      <c r="A53" s="249"/>
      <c r="B53" s="257" t="s">
        <v>115</v>
      </c>
      <c r="C53" s="256" t="s">
        <v>118</v>
      </c>
      <c r="D53" s="256" t="s">
        <v>42</v>
      </c>
      <c r="E53" s="258">
        <f>Transport!D20</f>
        <v>0.34946144764437437</v>
      </c>
      <c r="F53" s="250"/>
      <c r="G53" s="249"/>
      <c r="H53" s="249"/>
      <c r="I53" s="249"/>
      <c r="J53" s="249"/>
      <c r="K53" s="249"/>
      <c r="L53" s="249"/>
      <c r="M53" s="249"/>
      <c r="N53" s="249"/>
      <c r="O53" s="249"/>
      <c r="P53" s="249"/>
      <c r="Q53" s="249"/>
      <c r="R53" s="249"/>
      <c r="S53" s="249"/>
      <c r="T53" s="249"/>
      <c r="U53" s="249"/>
    </row>
    <row r="54" spans="1:21" ht="28.8">
      <c r="A54" s="249"/>
      <c r="B54" s="257" t="s">
        <v>115</v>
      </c>
      <c r="C54" s="256" t="s">
        <v>118</v>
      </c>
      <c r="D54" s="256" t="s">
        <v>45</v>
      </c>
      <c r="E54" s="258">
        <f>Transport!D63</f>
        <v>0.13997223571468664</v>
      </c>
      <c r="F54" s="250"/>
      <c r="G54" s="249"/>
      <c r="H54" s="249"/>
      <c r="I54" s="249"/>
      <c r="J54" s="249"/>
      <c r="K54" s="249"/>
      <c r="L54" s="249"/>
      <c r="M54" s="249"/>
      <c r="N54" s="249"/>
      <c r="O54" s="249"/>
      <c r="P54" s="249"/>
      <c r="Q54" s="249"/>
      <c r="R54" s="249"/>
      <c r="S54" s="249"/>
      <c r="T54" s="249"/>
      <c r="U54" s="249"/>
    </row>
    <row r="55" spans="1:21" ht="28.8">
      <c r="A55" s="249"/>
      <c r="B55" s="257" t="s">
        <v>115</v>
      </c>
      <c r="C55" s="256" t="s">
        <v>118</v>
      </c>
      <c r="D55" s="256" t="s">
        <v>46</v>
      </c>
      <c r="E55" s="258">
        <f>Transport!D36</f>
        <v>6.4256115769875111E-2</v>
      </c>
      <c r="F55" s="250"/>
      <c r="G55" s="249"/>
      <c r="H55" s="249"/>
      <c r="I55" s="249"/>
      <c r="J55" s="249"/>
      <c r="K55" s="249"/>
      <c r="L55" s="249"/>
      <c r="M55" s="249"/>
      <c r="N55" s="249"/>
      <c r="O55" s="249"/>
      <c r="P55" s="249"/>
      <c r="Q55" s="249"/>
      <c r="R55" s="249"/>
      <c r="S55" s="249"/>
      <c r="T55" s="249"/>
      <c r="U55" s="249"/>
    </row>
    <row r="56" spans="1:21" ht="28.8">
      <c r="A56" s="249"/>
      <c r="B56" s="257" t="s">
        <v>115</v>
      </c>
      <c r="C56" s="256" t="s">
        <v>118</v>
      </c>
      <c r="D56" s="256" t="str">
        <f>Transport!B38</f>
        <v>Transport aérien français</v>
      </c>
      <c r="E56" s="258">
        <f>Transport!D40</f>
        <v>0.18239141109410129</v>
      </c>
      <c r="F56" s="250"/>
      <c r="G56" s="249"/>
      <c r="H56" s="249"/>
      <c r="I56" s="249"/>
      <c r="J56" s="249"/>
      <c r="K56" s="249"/>
      <c r="L56" s="249"/>
      <c r="M56" s="249"/>
      <c r="N56" s="249"/>
      <c r="O56" s="249"/>
      <c r="P56" s="249"/>
      <c r="Q56" s="249"/>
      <c r="R56" s="249"/>
      <c r="S56" s="249"/>
      <c r="T56" s="249"/>
      <c r="U56" s="249"/>
    </row>
    <row r="57" spans="1:21" ht="28.8">
      <c r="A57" s="249"/>
      <c r="B57" s="257" t="s">
        <v>115</v>
      </c>
      <c r="C57" s="256" t="s">
        <v>118</v>
      </c>
      <c r="D57" s="256" t="str">
        <f>Transport!B42</f>
        <v>Soutes internationales (aérien)</v>
      </c>
      <c r="E57" s="258">
        <f>Transport!D44</f>
        <v>3.3463362604147284E-2</v>
      </c>
      <c r="F57" s="250"/>
      <c r="G57" s="249"/>
      <c r="H57" s="249"/>
      <c r="I57" s="249"/>
      <c r="J57" s="249"/>
      <c r="K57" s="249"/>
      <c r="L57" s="249"/>
      <c r="M57" s="249"/>
      <c r="N57" s="249"/>
      <c r="O57" s="249"/>
      <c r="P57" s="249"/>
      <c r="Q57" s="249"/>
      <c r="R57" s="249"/>
      <c r="S57" s="249"/>
      <c r="T57" s="249"/>
      <c r="U57" s="249"/>
    </row>
    <row r="58" spans="1:21" ht="28.8">
      <c r="A58" s="249"/>
      <c r="B58" s="257" t="s">
        <v>115</v>
      </c>
      <c r="C58" s="256" t="s">
        <v>119</v>
      </c>
      <c r="D58" s="259" t="s">
        <v>66</v>
      </c>
      <c r="E58" s="258">
        <f>Déchets!D10</f>
        <v>0.25994141718532393</v>
      </c>
      <c r="F58" s="250"/>
      <c r="G58" s="249"/>
      <c r="H58" s="249"/>
      <c r="I58" s="249"/>
      <c r="J58" s="249"/>
      <c r="K58" s="249"/>
      <c r="L58" s="249"/>
      <c r="M58" s="249"/>
      <c r="N58" s="249"/>
      <c r="O58" s="249"/>
      <c r="P58" s="249"/>
      <c r="Q58" s="249"/>
      <c r="R58" s="249"/>
      <c r="S58" s="249"/>
      <c r="T58" s="249"/>
      <c r="U58" s="249"/>
    </row>
    <row r="59" spans="1:21" ht="28.8">
      <c r="A59" s="249"/>
      <c r="B59" s="257" t="s">
        <v>115</v>
      </c>
      <c r="C59" s="256" t="s">
        <v>119</v>
      </c>
      <c r="D59" s="256" t="s">
        <v>67</v>
      </c>
      <c r="E59" s="258">
        <f>Déchets!D14</f>
        <v>0.3492901742193053</v>
      </c>
      <c r="F59" s="250"/>
      <c r="G59" s="249"/>
      <c r="H59" s="249"/>
      <c r="I59" s="249"/>
      <c r="J59" s="249"/>
      <c r="K59" s="249"/>
      <c r="L59" s="249"/>
      <c r="M59" s="249"/>
      <c r="N59" s="249"/>
      <c r="O59" s="249"/>
      <c r="P59" s="249"/>
      <c r="Q59" s="249"/>
      <c r="R59" s="249"/>
      <c r="S59" s="249"/>
      <c r="T59" s="249"/>
      <c r="U59" s="249"/>
    </row>
    <row r="60" spans="1:21" ht="28.8">
      <c r="A60" s="249"/>
      <c r="B60" s="257" t="s">
        <v>115</v>
      </c>
      <c r="C60" s="256" t="s">
        <v>119</v>
      </c>
      <c r="D60" s="256" t="s">
        <v>68</v>
      </c>
      <c r="E60" s="363">
        <f>Déchets!D18</f>
        <v>3.458171733762927E-2</v>
      </c>
      <c r="F60" s="252" t="s">
        <v>587</v>
      </c>
      <c r="G60" s="249"/>
      <c r="H60" s="249"/>
      <c r="I60" s="249"/>
      <c r="J60" s="249"/>
      <c r="K60" s="249"/>
      <c r="L60" s="249"/>
      <c r="M60" s="249"/>
      <c r="N60" s="249"/>
      <c r="O60" s="249"/>
      <c r="P60" s="249"/>
      <c r="Q60" s="249"/>
      <c r="R60" s="249"/>
      <c r="S60" s="249"/>
      <c r="T60" s="249"/>
      <c r="U60" s="249"/>
    </row>
    <row r="61" spans="1:21" ht="28.8">
      <c r="A61" s="249"/>
      <c r="B61" s="257" t="s">
        <v>115</v>
      </c>
      <c r="C61" s="256" t="s">
        <v>119</v>
      </c>
      <c r="D61" s="256" t="s">
        <v>69</v>
      </c>
      <c r="E61" s="364">
        <f>Déchets!D22</f>
        <v>5.2260247706849783E-2</v>
      </c>
      <c r="F61" s="252" t="s">
        <v>587</v>
      </c>
      <c r="G61" s="249"/>
      <c r="H61" s="249"/>
      <c r="I61" s="249"/>
      <c r="J61" s="249"/>
      <c r="K61" s="249"/>
      <c r="L61" s="249"/>
      <c r="M61" s="249"/>
      <c r="N61" s="249"/>
      <c r="O61" s="249"/>
      <c r="P61" s="249"/>
      <c r="Q61" s="249"/>
      <c r="R61" s="249"/>
      <c r="S61" s="249"/>
      <c r="T61" s="249"/>
      <c r="U61" s="249"/>
    </row>
    <row r="62" spans="1:21" ht="28.8">
      <c r="A62" s="249"/>
      <c r="B62" s="257" t="s">
        <v>115</v>
      </c>
      <c r="C62" s="256" t="s">
        <v>119</v>
      </c>
      <c r="D62" s="256" t="s">
        <v>70</v>
      </c>
      <c r="E62" s="255">
        <f>Déchets!D26</f>
        <v>2.39843684441301E-2</v>
      </c>
      <c r="F62" s="250"/>
      <c r="G62" s="249"/>
      <c r="H62" s="249"/>
      <c r="I62" s="249"/>
      <c r="J62" s="249"/>
      <c r="K62" s="249"/>
      <c r="L62" s="249"/>
      <c r="M62" s="249"/>
      <c r="N62" s="249"/>
      <c r="O62" s="249"/>
      <c r="P62" s="249"/>
      <c r="Q62" s="249"/>
      <c r="R62" s="249"/>
      <c r="S62" s="249"/>
      <c r="T62" s="249"/>
      <c r="U62" s="249"/>
    </row>
    <row r="63" spans="1:21" ht="28.8">
      <c r="A63" s="249"/>
      <c r="B63" s="257" t="s">
        <v>391</v>
      </c>
      <c r="C63" s="256" t="s">
        <v>120</v>
      </c>
      <c r="D63" s="259" t="s">
        <v>121</v>
      </c>
      <c r="E63" s="258">
        <f>Industrie!D26</f>
        <v>0.65822216768988984</v>
      </c>
      <c r="F63" s="250"/>
      <c r="G63" s="249"/>
      <c r="H63" s="249"/>
      <c r="I63" s="249"/>
      <c r="J63" s="249"/>
      <c r="K63" s="249"/>
      <c r="L63" s="249"/>
      <c r="M63" s="249"/>
      <c r="N63" s="249"/>
      <c r="O63" s="249"/>
      <c r="P63" s="249"/>
      <c r="Q63" s="249"/>
      <c r="R63" s="249"/>
      <c r="S63" s="249"/>
      <c r="T63" s="249"/>
      <c r="U63" s="249"/>
    </row>
    <row r="64" spans="1:21">
      <c r="A64" s="249"/>
      <c r="B64" s="257" t="s">
        <v>391</v>
      </c>
      <c r="C64" s="256" t="s">
        <v>122</v>
      </c>
      <c r="D64" s="259" t="s">
        <v>121</v>
      </c>
      <c r="E64" s="258">
        <f>Industrie!D26</f>
        <v>0.65822216768988984</v>
      </c>
      <c r="F64" s="250"/>
      <c r="G64" s="249"/>
      <c r="H64" s="249"/>
      <c r="I64" s="249"/>
      <c r="J64" s="249"/>
      <c r="K64" s="249"/>
      <c r="L64" s="249"/>
      <c r="M64" s="249"/>
      <c r="N64" s="249"/>
      <c r="O64" s="249"/>
      <c r="P64" s="249"/>
      <c r="Q64" s="249"/>
      <c r="R64" s="249"/>
      <c r="S64" s="249"/>
      <c r="T64" s="249"/>
      <c r="U64" s="249"/>
    </row>
    <row r="65" spans="1:21" ht="43.2">
      <c r="A65" s="249"/>
      <c r="B65" s="257" t="s">
        <v>391</v>
      </c>
      <c r="C65" s="256" t="s">
        <v>109</v>
      </c>
      <c r="D65" s="259" t="s">
        <v>38</v>
      </c>
      <c r="E65" s="258">
        <f>Bâtiment!D12</f>
        <v>0.50900669158031397</v>
      </c>
      <c r="F65" s="250"/>
      <c r="G65" s="249"/>
      <c r="H65" s="249"/>
      <c r="I65" s="249"/>
      <c r="J65" s="249"/>
      <c r="K65" s="249"/>
      <c r="L65" s="249"/>
      <c r="M65" s="249"/>
      <c r="N65" s="249"/>
      <c r="O65" s="249"/>
      <c r="P65" s="249"/>
      <c r="Q65" s="249"/>
      <c r="R65" s="249"/>
      <c r="S65" s="249"/>
      <c r="T65" s="249"/>
      <c r="U65" s="249"/>
    </row>
    <row r="66" spans="1:21" ht="28.8">
      <c r="A66" s="249"/>
      <c r="B66" s="257" t="s">
        <v>391</v>
      </c>
      <c r="C66" s="256" t="s">
        <v>109</v>
      </c>
      <c r="D66" s="256" t="s">
        <v>123</v>
      </c>
      <c r="E66" s="258">
        <f>Bâtiment!D20</f>
        <v>0.53739765657054817</v>
      </c>
      <c r="F66" s="250"/>
      <c r="G66" s="249"/>
      <c r="H66" s="249"/>
      <c r="I66" s="249"/>
      <c r="J66" s="249"/>
      <c r="K66" s="249"/>
      <c r="L66" s="249"/>
      <c r="M66" s="249"/>
      <c r="N66" s="249"/>
      <c r="O66" s="249"/>
      <c r="P66" s="249"/>
      <c r="Q66" s="249"/>
      <c r="R66" s="249"/>
      <c r="S66" s="249"/>
      <c r="T66" s="249"/>
      <c r="U66" s="249"/>
    </row>
    <row r="67" spans="1:21" ht="28.8">
      <c r="A67" s="249"/>
      <c r="B67" s="257" t="s">
        <v>391</v>
      </c>
      <c r="C67" s="256" t="s">
        <v>109</v>
      </c>
      <c r="D67" s="256" t="s">
        <v>113</v>
      </c>
      <c r="E67" s="258">
        <f>Bâtiment!D44</f>
        <v>0.4845302269323476</v>
      </c>
      <c r="F67" s="250"/>
      <c r="G67" s="249"/>
      <c r="H67" s="249"/>
      <c r="I67" s="249"/>
      <c r="J67" s="249"/>
      <c r="K67" s="249"/>
      <c r="L67" s="249"/>
      <c r="M67" s="249"/>
      <c r="N67" s="249"/>
      <c r="O67" s="249"/>
      <c r="P67" s="249"/>
      <c r="Q67" s="249"/>
      <c r="R67" s="249"/>
      <c r="S67" s="249"/>
      <c r="T67" s="249"/>
      <c r="U67" s="249"/>
    </row>
    <row r="68" spans="1:21" ht="28.8">
      <c r="A68" s="249"/>
      <c r="B68" s="257" t="s">
        <v>391</v>
      </c>
      <c r="C68" s="256" t="s">
        <v>109</v>
      </c>
      <c r="D68" s="256" t="s">
        <v>124</v>
      </c>
      <c r="E68" s="258">
        <f>Bâtiment!D71</f>
        <v>0.3472540054559986</v>
      </c>
      <c r="F68" s="250"/>
      <c r="G68" s="249"/>
      <c r="H68" s="249"/>
      <c r="I68" s="249"/>
      <c r="J68" s="249"/>
      <c r="K68" s="249"/>
      <c r="L68" s="249"/>
      <c r="M68" s="249"/>
      <c r="N68" s="249"/>
      <c r="O68" s="249"/>
      <c r="P68" s="249"/>
      <c r="Q68" s="249"/>
      <c r="R68" s="249"/>
      <c r="S68" s="249"/>
      <c r="T68" s="249"/>
      <c r="U68" s="249"/>
    </row>
    <row r="69" spans="1:21" ht="28.8">
      <c r="A69" s="249"/>
      <c r="B69" s="257" t="s">
        <v>125</v>
      </c>
      <c r="C69" s="256" t="s">
        <v>97</v>
      </c>
      <c r="D69" s="256" t="s">
        <v>48</v>
      </c>
      <c r="E69" s="258">
        <f>Transport!D51</f>
        <v>0.29179468516278451</v>
      </c>
      <c r="F69" s="250"/>
      <c r="G69" s="249"/>
      <c r="H69" s="249"/>
      <c r="I69" s="249"/>
      <c r="J69" s="249"/>
      <c r="K69" s="249"/>
      <c r="L69" s="249"/>
      <c r="M69" s="249"/>
      <c r="N69" s="249"/>
      <c r="O69" s="249"/>
      <c r="P69" s="249"/>
      <c r="Q69" s="249"/>
      <c r="R69" s="249"/>
      <c r="S69" s="249"/>
      <c r="T69" s="249"/>
      <c r="U69" s="249"/>
    </row>
    <row r="70" spans="1:21" ht="28.8">
      <c r="A70" s="249"/>
      <c r="B70" s="257" t="s">
        <v>125</v>
      </c>
      <c r="C70" s="256" t="s">
        <v>97</v>
      </c>
      <c r="D70" s="256" t="s">
        <v>49</v>
      </c>
      <c r="E70" s="258">
        <f>Transport!D55</f>
        <v>0.34858644733659616</v>
      </c>
      <c r="F70" s="250"/>
      <c r="G70" s="249"/>
      <c r="H70" s="249"/>
      <c r="I70" s="249"/>
      <c r="J70" s="249"/>
      <c r="K70" s="249"/>
      <c r="L70" s="249"/>
      <c r="M70" s="249"/>
      <c r="N70" s="249"/>
      <c r="O70" s="249"/>
      <c r="P70" s="249"/>
      <c r="Q70" s="249"/>
      <c r="R70" s="249"/>
      <c r="S70" s="249"/>
      <c r="T70" s="249"/>
      <c r="U70" s="249"/>
    </row>
    <row r="71" spans="1:21" ht="28.8">
      <c r="A71" s="249"/>
      <c r="B71" s="257" t="s">
        <v>125</v>
      </c>
      <c r="C71" s="256" t="s">
        <v>97</v>
      </c>
      <c r="D71" s="256" t="s">
        <v>50</v>
      </c>
      <c r="E71" s="266">
        <f>Transport!D59</f>
        <v>0.23832499955756214</v>
      </c>
      <c r="F71" s="250"/>
      <c r="G71" s="249"/>
      <c r="H71" s="249"/>
      <c r="I71" s="249"/>
      <c r="J71" s="249"/>
      <c r="K71" s="249"/>
      <c r="L71" s="249"/>
      <c r="M71" s="249"/>
      <c r="N71" s="249"/>
      <c r="O71" s="249"/>
      <c r="P71" s="249"/>
      <c r="Q71" s="249"/>
      <c r="R71" s="249"/>
      <c r="S71" s="249"/>
      <c r="T71" s="249"/>
      <c r="U71" s="249"/>
    </row>
    <row r="72" spans="1:21" ht="28.8">
      <c r="A72" s="249"/>
      <c r="B72" s="257" t="s">
        <v>125</v>
      </c>
      <c r="C72" s="256" t="s">
        <v>97</v>
      </c>
      <c r="D72" s="256" t="s">
        <v>51</v>
      </c>
      <c r="E72" s="255">
        <f>Transport!D67</f>
        <v>0.35889626278578779</v>
      </c>
      <c r="F72" s="250"/>
      <c r="G72" s="249"/>
      <c r="H72" s="249"/>
      <c r="I72" s="249"/>
      <c r="J72" s="249"/>
      <c r="K72" s="249"/>
      <c r="L72" s="249"/>
      <c r="M72" s="249"/>
      <c r="N72" s="249"/>
      <c r="O72" s="249"/>
      <c r="P72" s="249"/>
      <c r="Q72" s="249"/>
      <c r="R72" s="249"/>
      <c r="S72" s="249"/>
      <c r="T72" s="249"/>
      <c r="U72" s="249"/>
    </row>
    <row r="73" spans="1:21" ht="28.8">
      <c r="A73" s="249"/>
      <c r="B73" s="257" t="s">
        <v>125</v>
      </c>
      <c r="C73" s="256" t="s">
        <v>98</v>
      </c>
      <c r="D73" s="256" t="s">
        <v>48</v>
      </c>
      <c r="E73" s="258">
        <f>Transport!D51</f>
        <v>0.29179468516278451</v>
      </c>
      <c r="F73" s="250"/>
      <c r="G73" s="249"/>
      <c r="H73" s="249"/>
      <c r="I73" s="249"/>
      <c r="J73" s="249"/>
      <c r="K73" s="249"/>
      <c r="L73" s="249"/>
      <c r="M73" s="249"/>
      <c r="N73" s="249"/>
      <c r="O73" s="249"/>
      <c r="P73" s="249"/>
      <c r="Q73" s="249"/>
      <c r="R73" s="249"/>
      <c r="S73" s="249"/>
      <c r="T73" s="249"/>
      <c r="U73" s="249"/>
    </row>
    <row r="74" spans="1:21" ht="28.8">
      <c r="A74" s="249"/>
      <c r="B74" s="257" t="s">
        <v>125</v>
      </c>
      <c r="C74" s="256" t="s">
        <v>98</v>
      </c>
      <c r="D74" s="256" t="s">
        <v>49</v>
      </c>
      <c r="E74" s="258">
        <f>Transport!D55</f>
        <v>0.34858644733659616</v>
      </c>
      <c r="F74" s="250"/>
      <c r="G74" s="249"/>
      <c r="H74" s="249"/>
      <c r="I74" s="249"/>
      <c r="J74" s="249"/>
      <c r="K74" s="249"/>
      <c r="L74" s="249"/>
      <c r="M74" s="249"/>
      <c r="N74" s="249"/>
      <c r="O74" s="249"/>
      <c r="P74" s="249"/>
      <c r="Q74" s="249"/>
      <c r="R74" s="249"/>
      <c r="S74" s="249"/>
      <c r="T74" s="249"/>
      <c r="U74" s="249"/>
    </row>
    <row r="75" spans="1:21" ht="28.8">
      <c r="A75" s="249"/>
      <c r="B75" s="257" t="s">
        <v>125</v>
      </c>
      <c r="C75" s="256" t="s">
        <v>98</v>
      </c>
      <c r="D75" s="256" t="s">
        <v>50</v>
      </c>
      <c r="E75" s="266">
        <f>Transport!D59</f>
        <v>0.23832499955756214</v>
      </c>
      <c r="F75" s="250"/>
      <c r="G75" s="249"/>
      <c r="H75" s="249"/>
      <c r="I75" s="249"/>
      <c r="J75" s="249"/>
      <c r="K75" s="249"/>
      <c r="L75" s="249"/>
      <c r="M75" s="249"/>
      <c r="N75" s="249"/>
      <c r="O75" s="249"/>
      <c r="P75" s="249"/>
      <c r="Q75" s="249"/>
      <c r="R75" s="249"/>
      <c r="S75" s="249"/>
      <c r="T75" s="249"/>
      <c r="U75" s="249"/>
    </row>
    <row r="76" spans="1:21" ht="28.8">
      <c r="A76" s="249"/>
      <c r="B76" s="257" t="s">
        <v>125</v>
      </c>
      <c r="C76" s="256" t="s">
        <v>98</v>
      </c>
      <c r="D76" s="256" t="s">
        <v>51</v>
      </c>
      <c r="E76" s="255">
        <f>Transport!D67</f>
        <v>0.35889626278578779</v>
      </c>
      <c r="F76" s="250"/>
      <c r="G76" s="249"/>
      <c r="H76" s="249"/>
      <c r="I76" s="249"/>
      <c r="J76" s="249"/>
      <c r="K76" s="249"/>
      <c r="L76" s="249"/>
      <c r="M76" s="249"/>
      <c r="N76" s="249"/>
      <c r="O76" s="249"/>
      <c r="P76" s="249"/>
      <c r="Q76" s="249"/>
      <c r="R76" s="249"/>
      <c r="S76" s="249"/>
      <c r="T76" s="249"/>
      <c r="U76" s="249"/>
    </row>
    <row r="77" spans="1:21" ht="28.8">
      <c r="A77" s="249"/>
      <c r="B77" s="257" t="s">
        <v>125</v>
      </c>
      <c r="C77" s="256" t="s">
        <v>99</v>
      </c>
      <c r="D77" s="256" t="s">
        <v>34</v>
      </c>
      <c r="E77" s="258">
        <f>Industrie!D66</f>
        <v>0.60284999332368583</v>
      </c>
      <c r="F77" s="250"/>
      <c r="G77" s="249"/>
      <c r="H77" s="249"/>
      <c r="I77" s="249"/>
      <c r="J77" s="249"/>
      <c r="K77" s="249"/>
      <c r="L77" s="249"/>
      <c r="M77" s="249"/>
      <c r="N77" s="249"/>
      <c r="O77" s="249"/>
      <c r="P77" s="249"/>
      <c r="Q77" s="249"/>
      <c r="R77" s="249"/>
      <c r="S77" s="249"/>
      <c r="T77" s="249"/>
      <c r="U77" s="249"/>
    </row>
    <row r="78" spans="1:21" ht="28.8">
      <c r="A78" s="249"/>
      <c r="B78" s="257" t="s">
        <v>125</v>
      </c>
      <c r="C78" s="256" t="s">
        <v>99</v>
      </c>
      <c r="D78" s="265" t="s">
        <v>126</v>
      </c>
      <c r="E78" s="261">
        <f>Agriculture!D10</f>
        <v>0.17445964909002531</v>
      </c>
      <c r="F78" s="250"/>
      <c r="G78" s="249"/>
      <c r="H78" s="249"/>
      <c r="I78" s="249"/>
      <c r="J78" s="249"/>
      <c r="K78" s="249"/>
      <c r="L78" s="249"/>
      <c r="M78" s="249"/>
      <c r="N78" s="249"/>
      <c r="O78" s="249"/>
      <c r="P78" s="249"/>
      <c r="Q78" s="249"/>
      <c r="R78" s="249"/>
      <c r="S78" s="249"/>
      <c r="T78" s="249"/>
      <c r="U78" s="249"/>
    </row>
    <row r="79" spans="1:21" ht="28.8">
      <c r="A79" s="249"/>
      <c r="B79" s="257" t="s">
        <v>125</v>
      </c>
      <c r="C79" s="256" t="s">
        <v>99</v>
      </c>
      <c r="D79" s="256" t="s">
        <v>127</v>
      </c>
      <c r="E79" s="258">
        <f>Agriculture!D39</f>
        <v>0.21999605695591051</v>
      </c>
      <c r="F79" s="250"/>
      <c r="G79" s="249"/>
      <c r="H79" s="249"/>
      <c r="I79" s="249"/>
      <c r="J79" s="249"/>
      <c r="K79" s="249"/>
      <c r="L79" s="249"/>
      <c r="M79" s="249"/>
      <c r="N79" s="249"/>
      <c r="O79" s="249"/>
      <c r="P79" s="249"/>
      <c r="Q79" s="249"/>
      <c r="R79" s="249"/>
      <c r="S79" s="249"/>
      <c r="T79" s="249"/>
      <c r="U79" s="249"/>
    </row>
    <row r="80" spans="1:21" ht="28.8">
      <c r="A80" s="249"/>
      <c r="B80" s="257" t="s">
        <v>125</v>
      </c>
      <c r="C80" s="256" t="s">
        <v>99</v>
      </c>
      <c r="D80" s="263" t="s">
        <v>59</v>
      </c>
      <c r="E80" s="261">
        <f>Agriculture!D17</f>
        <v>0.15742377349555403</v>
      </c>
      <c r="F80" s="250"/>
      <c r="G80" s="249"/>
      <c r="H80" s="249"/>
      <c r="I80" s="249"/>
      <c r="J80" s="249"/>
      <c r="K80" s="249"/>
      <c r="L80" s="249"/>
      <c r="M80" s="249"/>
      <c r="N80" s="249"/>
      <c r="O80" s="249"/>
      <c r="P80" s="249"/>
      <c r="Q80" s="249"/>
      <c r="R80" s="249"/>
      <c r="S80" s="249"/>
      <c r="T80" s="249"/>
      <c r="U80" s="249"/>
    </row>
    <row r="81" spans="1:21" ht="28.8">
      <c r="A81" s="249"/>
      <c r="B81" s="257" t="s">
        <v>125</v>
      </c>
      <c r="C81" s="256" t="s">
        <v>99</v>
      </c>
      <c r="D81" s="263" t="s">
        <v>60</v>
      </c>
      <c r="E81" s="261">
        <f>Agriculture!D21</f>
        <v>0.16505196894280016</v>
      </c>
      <c r="F81" s="250"/>
      <c r="G81" s="249"/>
      <c r="H81" s="249"/>
      <c r="I81" s="249"/>
      <c r="J81" s="249"/>
      <c r="K81" s="249"/>
      <c r="L81" s="249"/>
      <c r="M81" s="249"/>
      <c r="N81" s="249"/>
      <c r="O81" s="249"/>
      <c r="P81" s="249"/>
      <c r="Q81" s="249"/>
      <c r="R81" s="249"/>
      <c r="S81" s="249"/>
      <c r="T81" s="249"/>
      <c r="U81" s="249"/>
    </row>
    <row r="82" spans="1:21" ht="28.8">
      <c r="A82" s="249"/>
      <c r="B82" s="257" t="s">
        <v>125</v>
      </c>
      <c r="C82" s="256" t="s">
        <v>99</v>
      </c>
      <c r="D82" s="263" t="s">
        <v>62</v>
      </c>
      <c r="E82" s="264">
        <f>Agriculture!D25</f>
        <v>0.19715072644447851</v>
      </c>
      <c r="F82" s="250"/>
      <c r="G82" s="249"/>
      <c r="H82" s="249"/>
      <c r="I82" s="249"/>
      <c r="J82" s="249"/>
      <c r="K82" s="249"/>
      <c r="L82" s="249"/>
      <c r="M82" s="249"/>
      <c r="N82" s="249"/>
      <c r="O82" s="249"/>
      <c r="P82" s="249"/>
      <c r="Q82" s="249"/>
      <c r="R82" s="249"/>
      <c r="S82" s="249"/>
      <c r="T82" s="249"/>
      <c r="U82" s="249"/>
    </row>
    <row r="83" spans="1:21" ht="28.8">
      <c r="A83" s="249"/>
      <c r="B83" s="257" t="s">
        <v>125</v>
      </c>
      <c r="C83" s="256" t="s">
        <v>99</v>
      </c>
      <c r="D83" s="263" t="s">
        <v>63</v>
      </c>
      <c r="E83" s="365">
        <f>Agriculture!D29</f>
        <v>-7.968295378190815E-2</v>
      </c>
      <c r="F83" s="252" t="s">
        <v>587</v>
      </c>
      <c r="G83" s="249"/>
      <c r="H83" s="249"/>
      <c r="I83" s="249"/>
      <c r="J83" s="249"/>
      <c r="K83" s="249"/>
      <c r="L83" s="249"/>
      <c r="M83" s="249"/>
      <c r="N83" s="249"/>
      <c r="O83" s="249"/>
      <c r="P83" s="249"/>
      <c r="Q83" s="249"/>
      <c r="R83" s="249"/>
      <c r="S83" s="249"/>
      <c r="T83" s="249"/>
      <c r="U83" s="249"/>
    </row>
    <row r="84" spans="1:21" ht="28.8">
      <c r="A84" s="249"/>
      <c r="B84" s="257" t="s">
        <v>125</v>
      </c>
      <c r="C84" s="256" t="s">
        <v>114</v>
      </c>
      <c r="D84" s="259" t="s">
        <v>66</v>
      </c>
      <c r="E84" s="258">
        <f>Déchets!D10</f>
        <v>0.25994141718532393</v>
      </c>
      <c r="F84" s="250"/>
      <c r="G84" s="249"/>
      <c r="H84" s="249"/>
      <c r="I84" s="249"/>
      <c r="J84" s="249"/>
      <c r="K84" s="249"/>
      <c r="L84" s="249"/>
      <c r="M84" s="249"/>
      <c r="N84" s="249"/>
      <c r="O84" s="249"/>
      <c r="P84" s="249"/>
      <c r="Q84" s="249"/>
      <c r="R84" s="249"/>
      <c r="S84" s="249"/>
      <c r="T84" s="249"/>
      <c r="U84" s="249"/>
    </row>
    <row r="85" spans="1:21" ht="28.8">
      <c r="A85" s="249"/>
      <c r="B85" s="257" t="s">
        <v>65</v>
      </c>
      <c r="C85" s="256" t="s">
        <v>97</v>
      </c>
      <c r="D85" s="256" t="s">
        <v>49</v>
      </c>
      <c r="E85" s="258">
        <f>Transport!D55</f>
        <v>0.34858644733659616</v>
      </c>
      <c r="F85" s="250"/>
      <c r="G85" s="249"/>
      <c r="H85" s="249"/>
      <c r="I85" s="249"/>
      <c r="J85" s="249"/>
      <c r="K85" s="249"/>
      <c r="L85" s="249"/>
      <c r="M85" s="249"/>
      <c r="N85" s="249"/>
      <c r="O85" s="249"/>
      <c r="P85" s="249"/>
      <c r="Q85" s="249"/>
      <c r="R85" s="249"/>
      <c r="S85" s="249"/>
      <c r="T85" s="249"/>
      <c r="U85" s="249"/>
    </row>
    <row r="86" spans="1:21" ht="43.2">
      <c r="A86" s="249"/>
      <c r="B86" s="257" t="s">
        <v>73</v>
      </c>
      <c r="C86" s="256" t="s">
        <v>109</v>
      </c>
      <c r="D86" s="256" t="s">
        <v>74</v>
      </c>
      <c r="E86" s="261">
        <f>Energie!D14</f>
        <v>0.72258629407079755</v>
      </c>
      <c r="F86" s="250"/>
      <c r="G86" s="249"/>
      <c r="H86" s="249"/>
      <c r="I86" s="249"/>
      <c r="J86" s="249"/>
      <c r="K86" s="249"/>
      <c r="L86" s="249"/>
      <c r="M86" s="249"/>
      <c r="N86" s="249"/>
      <c r="O86" s="249"/>
      <c r="P86" s="249"/>
      <c r="Q86" s="249"/>
      <c r="R86" s="249"/>
      <c r="S86" s="249"/>
      <c r="T86" s="249"/>
      <c r="U86" s="249"/>
    </row>
    <row r="87" spans="1:21" ht="28.8">
      <c r="A87" s="249"/>
      <c r="B87" s="257" t="s">
        <v>128</v>
      </c>
      <c r="C87" s="259" t="s">
        <v>97</v>
      </c>
      <c r="D87" s="256" t="s">
        <v>49</v>
      </c>
      <c r="E87" s="260">
        <f>Transport!D55</f>
        <v>0.34858644733659616</v>
      </c>
      <c r="F87" s="250"/>
      <c r="G87" s="249"/>
      <c r="H87" s="249"/>
      <c r="I87" s="249"/>
      <c r="J87" s="249"/>
      <c r="K87" s="249"/>
      <c r="L87" s="249"/>
      <c r="M87" s="249"/>
      <c r="N87" s="249"/>
      <c r="O87" s="249"/>
      <c r="P87" s="249"/>
      <c r="Q87" s="249"/>
      <c r="R87" s="249"/>
      <c r="S87" s="249"/>
      <c r="T87" s="249"/>
      <c r="U87" s="249"/>
    </row>
    <row r="88" spans="1:21" ht="43.2">
      <c r="A88" s="249"/>
      <c r="B88" s="257" t="s">
        <v>128</v>
      </c>
      <c r="C88" s="256" t="s">
        <v>109</v>
      </c>
      <c r="D88" s="259" t="s">
        <v>38</v>
      </c>
      <c r="E88" s="258">
        <f>Bâtiment!D12</f>
        <v>0.50900669158031397</v>
      </c>
      <c r="F88" s="250"/>
      <c r="G88" s="249"/>
      <c r="H88" s="249"/>
      <c r="I88" s="249"/>
      <c r="J88" s="249"/>
      <c r="K88" s="249"/>
      <c r="L88" s="249"/>
      <c r="M88" s="249"/>
      <c r="N88" s="249"/>
      <c r="O88" s="249"/>
      <c r="P88" s="249"/>
      <c r="Q88" s="249"/>
      <c r="R88" s="249"/>
      <c r="S88" s="249"/>
      <c r="T88" s="249"/>
      <c r="U88" s="249"/>
    </row>
    <row r="89" spans="1:21" ht="28.8">
      <c r="A89" s="249"/>
      <c r="B89" s="257" t="s">
        <v>128</v>
      </c>
      <c r="C89" s="256" t="s">
        <v>109</v>
      </c>
      <c r="D89" s="256" t="s">
        <v>123</v>
      </c>
      <c r="E89" s="258">
        <f>Bâtiment!D20</f>
        <v>0.53739765657054817</v>
      </c>
      <c r="F89" s="250"/>
      <c r="G89" s="249"/>
      <c r="H89" s="249"/>
      <c r="I89" s="249"/>
      <c r="J89" s="249"/>
      <c r="K89" s="249"/>
      <c r="L89" s="249"/>
      <c r="M89" s="249"/>
      <c r="N89" s="249"/>
      <c r="O89" s="249"/>
      <c r="P89" s="249"/>
      <c r="Q89" s="249"/>
      <c r="R89" s="249"/>
      <c r="S89" s="249"/>
      <c r="T89" s="249"/>
      <c r="U89" s="249"/>
    </row>
    <row r="90" spans="1:21" ht="28.8">
      <c r="A90" s="249"/>
      <c r="B90" s="257" t="s">
        <v>128</v>
      </c>
      <c r="C90" s="256" t="s">
        <v>109</v>
      </c>
      <c r="D90" s="256" t="s">
        <v>113</v>
      </c>
      <c r="E90" s="258">
        <f>Bâtiment!D44</f>
        <v>0.4845302269323476</v>
      </c>
      <c r="F90" s="250"/>
      <c r="G90" s="249"/>
      <c r="H90" s="249"/>
      <c r="I90" s="249"/>
      <c r="J90" s="249"/>
      <c r="K90" s="249"/>
      <c r="L90" s="249"/>
      <c r="M90" s="249"/>
      <c r="N90" s="249"/>
      <c r="O90" s="249"/>
      <c r="P90" s="249"/>
      <c r="Q90" s="249"/>
      <c r="R90" s="249"/>
      <c r="S90" s="249"/>
      <c r="T90" s="249"/>
      <c r="U90" s="249"/>
    </row>
    <row r="91" spans="1:21" ht="28.8">
      <c r="A91" s="249"/>
      <c r="B91" s="257" t="s">
        <v>128</v>
      </c>
      <c r="C91" s="256" t="s">
        <v>109</v>
      </c>
      <c r="D91" s="256" t="s">
        <v>124</v>
      </c>
      <c r="E91" s="258">
        <f>Bâtiment!D71</f>
        <v>0.3472540054559986</v>
      </c>
      <c r="F91" s="250"/>
      <c r="G91" s="249"/>
      <c r="H91" s="249"/>
      <c r="I91" s="249"/>
      <c r="J91" s="249"/>
      <c r="K91" s="249"/>
      <c r="L91" s="249"/>
      <c r="M91" s="249"/>
      <c r="N91" s="249"/>
      <c r="O91" s="249"/>
      <c r="P91" s="249"/>
      <c r="Q91" s="249"/>
      <c r="R91" s="249"/>
      <c r="S91" s="249"/>
      <c r="T91" s="249"/>
      <c r="U91" s="249"/>
    </row>
    <row r="92" spans="1:21" ht="28.8">
      <c r="A92" s="249"/>
      <c r="B92" s="257" t="s">
        <v>128</v>
      </c>
      <c r="C92" s="256" t="s">
        <v>65</v>
      </c>
      <c r="D92" s="259" t="s">
        <v>66</v>
      </c>
      <c r="E92" s="258">
        <f>Déchets!D10</f>
        <v>0.25994141718532393</v>
      </c>
      <c r="F92" s="250"/>
      <c r="G92" s="249"/>
      <c r="H92" s="249"/>
      <c r="I92" s="249"/>
      <c r="J92" s="249"/>
      <c r="K92" s="249"/>
      <c r="L92" s="249"/>
      <c r="M92" s="249"/>
      <c r="N92" s="249"/>
      <c r="O92" s="249"/>
      <c r="P92" s="249"/>
      <c r="Q92" s="249"/>
      <c r="R92" s="249"/>
      <c r="S92" s="249"/>
      <c r="T92" s="249"/>
      <c r="U92" s="249"/>
    </row>
    <row r="93" spans="1:21" ht="28.8">
      <c r="A93" s="249"/>
      <c r="B93" s="257" t="s">
        <v>128</v>
      </c>
      <c r="C93" s="256" t="s">
        <v>65</v>
      </c>
      <c r="D93" s="256" t="s">
        <v>67</v>
      </c>
      <c r="E93" s="258">
        <f>Déchets!D14</f>
        <v>0.3492901742193053</v>
      </c>
      <c r="F93" s="250"/>
      <c r="G93" s="249"/>
      <c r="H93" s="249"/>
      <c r="I93" s="249"/>
      <c r="J93" s="249"/>
      <c r="K93" s="249"/>
      <c r="L93" s="249"/>
      <c r="M93" s="249"/>
      <c r="N93" s="249"/>
      <c r="O93" s="249"/>
      <c r="P93" s="249"/>
      <c r="Q93" s="249"/>
      <c r="R93" s="249"/>
      <c r="S93" s="249"/>
      <c r="T93" s="249"/>
      <c r="U93" s="249"/>
    </row>
    <row r="94" spans="1:21" ht="28.8">
      <c r="A94" s="249"/>
      <c r="B94" s="257" t="s">
        <v>128</v>
      </c>
      <c r="C94" s="256" t="s">
        <v>65</v>
      </c>
      <c r="D94" s="256" t="s">
        <v>69</v>
      </c>
      <c r="E94" s="255">
        <f>Déchets!D22</f>
        <v>5.2260247706849783E-2</v>
      </c>
      <c r="F94" s="252" t="s">
        <v>587</v>
      </c>
      <c r="G94" s="249"/>
      <c r="H94" s="249"/>
      <c r="I94" s="249"/>
      <c r="J94" s="249"/>
      <c r="K94" s="249"/>
      <c r="L94" s="249"/>
      <c r="M94" s="249"/>
      <c r="N94" s="249"/>
      <c r="O94" s="249"/>
      <c r="P94" s="249"/>
      <c r="Q94" s="249"/>
      <c r="R94" s="249"/>
      <c r="S94" s="249"/>
      <c r="T94" s="249"/>
      <c r="U94" s="249"/>
    </row>
    <row r="95" spans="1:21" ht="115.2">
      <c r="A95" s="249"/>
      <c r="B95" s="320" t="s">
        <v>519</v>
      </c>
      <c r="C95" s="321" t="s">
        <v>505</v>
      </c>
      <c r="D95" s="321" t="s">
        <v>503</v>
      </c>
      <c r="E95" s="322">
        <f>Empreinte!D38</f>
        <v>0.17155696099327844</v>
      </c>
      <c r="F95" s="405" t="s">
        <v>651</v>
      </c>
      <c r="G95" s="249"/>
      <c r="H95" s="249"/>
      <c r="I95" s="249"/>
      <c r="J95" s="249"/>
      <c r="K95" s="249"/>
      <c r="L95" s="249"/>
      <c r="M95" s="249"/>
      <c r="N95" s="249"/>
      <c r="O95" s="249"/>
      <c r="P95" s="249"/>
      <c r="Q95" s="249"/>
      <c r="R95" s="249"/>
      <c r="S95" s="249"/>
      <c r="T95" s="249"/>
      <c r="U95" s="249"/>
    </row>
    <row r="96" spans="1:21" ht="100.8">
      <c r="A96" s="249"/>
      <c r="B96" s="320" t="s">
        <v>519</v>
      </c>
      <c r="C96" s="321" t="s">
        <v>505</v>
      </c>
      <c r="D96" s="321" t="s">
        <v>359</v>
      </c>
      <c r="E96" s="322">
        <f>Empreinte!D42</f>
        <v>0.33046675372986223</v>
      </c>
      <c r="F96" s="252" t="s">
        <v>516</v>
      </c>
      <c r="G96" s="249"/>
      <c r="H96" s="249"/>
      <c r="I96" s="249"/>
      <c r="J96" s="249"/>
      <c r="K96" s="249"/>
      <c r="L96" s="249"/>
      <c r="M96" s="249"/>
      <c r="N96" s="249"/>
      <c r="O96" s="249"/>
      <c r="P96" s="249"/>
      <c r="Q96" s="249"/>
      <c r="R96" s="249"/>
      <c r="S96" s="249"/>
      <c r="T96" s="249"/>
      <c r="U96" s="249"/>
    </row>
    <row r="97" spans="1:21" ht="86.4">
      <c r="A97" s="249"/>
      <c r="B97" s="320" t="s">
        <v>519</v>
      </c>
      <c r="C97" s="321" t="s">
        <v>504</v>
      </c>
      <c r="D97" s="321" t="s">
        <v>360</v>
      </c>
      <c r="E97" s="322">
        <f>Empreinte!D46</f>
        <v>0.14622972872789985</v>
      </c>
      <c r="F97" s="252" t="s">
        <v>515</v>
      </c>
      <c r="G97" s="249"/>
      <c r="H97" s="249"/>
      <c r="I97" s="249"/>
      <c r="J97" s="249"/>
      <c r="K97" s="249"/>
      <c r="L97" s="249"/>
      <c r="M97" s="249"/>
      <c r="N97" s="249"/>
      <c r="O97" s="249"/>
      <c r="P97" s="249"/>
      <c r="Q97" s="249"/>
      <c r="R97" s="249"/>
      <c r="S97" s="249"/>
      <c r="T97" s="249"/>
      <c r="U97" s="249"/>
    </row>
    <row r="98" spans="1:21" ht="72">
      <c r="A98" s="249"/>
      <c r="B98" s="320" t="s">
        <v>519</v>
      </c>
      <c r="C98" s="321" t="s">
        <v>505</v>
      </c>
      <c r="D98" s="321" t="s">
        <v>382</v>
      </c>
      <c r="E98" s="322">
        <f>Empreinte!D50</f>
        <v>0.21350389291486127</v>
      </c>
      <c r="F98" s="252" t="s">
        <v>517</v>
      </c>
      <c r="G98" s="249"/>
      <c r="H98" s="249"/>
      <c r="I98" s="249"/>
      <c r="J98" s="249"/>
      <c r="K98" s="249"/>
      <c r="L98" s="249"/>
      <c r="M98" s="249"/>
      <c r="N98" s="249"/>
      <c r="O98" s="249"/>
      <c r="P98" s="249"/>
      <c r="Q98" s="249"/>
      <c r="R98" s="249"/>
      <c r="S98" s="249"/>
      <c r="T98" s="249"/>
      <c r="U98" s="249"/>
    </row>
    <row r="99" spans="1:21" ht="86.4">
      <c r="A99" s="249"/>
      <c r="B99" s="320" t="s">
        <v>519</v>
      </c>
      <c r="C99" s="321" t="s">
        <v>506</v>
      </c>
      <c r="D99" s="321" t="s">
        <v>379</v>
      </c>
      <c r="E99" s="322">
        <f>Empreinte!D54</f>
        <v>0.10245042451310815</v>
      </c>
      <c r="F99" s="252" t="s">
        <v>518</v>
      </c>
      <c r="G99" s="252"/>
      <c r="H99" s="249"/>
      <c r="I99" s="249"/>
      <c r="J99" s="249"/>
      <c r="K99" s="249"/>
      <c r="L99" s="249"/>
      <c r="M99" s="249"/>
      <c r="N99" s="249"/>
      <c r="O99" s="249"/>
      <c r="P99" s="249"/>
      <c r="Q99" s="249"/>
      <c r="R99" s="249"/>
      <c r="S99" s="249"/>
      <c r="T99" s="249"/>
      <c r="U99" s="249"/>
    </row>
    <row r="100" spans="1:21" ht="43.2">
      <c r="A100" s="249"/>
      <c r="B100" s="320" t="s">
        <v>519</v>
      </c>
      <c r="C100" s="321" t="s">
        <v>505</v>
      </c>
      <c r="D100" s="321" t="s">
        <v>514</v>
      </c>
      <c r="E100" s="322">
        <f>Empreinte!D34</f>
        <v>0.18621209101464864</v>
      </c>
      <c r="F100" s="250"/>
      <c r="G100" s="252"/>
      <c r="H100" s="249"/>
      <c r="I100" s="249"/>
      <c r="J100" s="249"/>
      <c r="K100" s="249"/>
      <c r="L100" s="249"/>
      <c r="M100" s="249"/>
      <c r="N100" s="249"/>
      <c r="O100" s="249"/>
      <c r="P100" s="249"/>
      <c r="Q100" s="249"/>
      <c r="R100" s="249"/>
      <c r="S100" s="249"/>
      <c r="T100" s="249"/>
      <c r="U100" s="249"/>
    </row>
    <row r="101" spans="1:21">
      <c r="A101" s="249"/>
      <c r="B101" s="249"/>
      <c r="C101" s="249"/>
      <c r="D101" s="249"/>
      <c r="E101" s="249"/>
      <c r="F101" s="250"/>
      <c r="G101" s="250"/>
      <c r="H101" s="249"/>
      <c r="I101" s="249"/>
      <c r="J101" s="251"/>
      <c r="K101" s="249"/>
      <c r="L101" s="249"/>
      <c r="M101" s="249"/>
      <c r="N101" s="249"/>
      <c r="O101" s="249"/>
      <c r="P101" s="249"/>
      <c r="Q101" s="249"/>
      <c r="R101" s="249"/>
      <c r="S101" s="249"/>
      <c r="T101" s="249"/>
      <c r="U101" s="249"/>
    </row>
    <row r="102" spans="1:21">
      <c r="A102" s="249"/>
      <c r="B102" s="249"/>
      <c r="C102" s="249"/>
      <c r="D102" s="249"/>
      <c r="E102" s="249"/>
      <c r="F102" s="250"/>
      <c r="G102" s="249"/>
      <c r="H102" s="249"/>
      <c r="I102" s="249"/>
      <c r="J102" s="249"/>
      <c r="K102" s="249"/>
      <c r="L102" s="249"/>
      <c r="M102" s="249"/>
      <c r="N102" s="249"/>
      <c r="O102" s="249"/>
      <c r="P102" s="249"/>
      <c r="Q102" s="249"/>
      <c r="R102" s="249"/>
      <c r="S102" s="249"/>
      <c r="T102" s="249"/>
      <c r="U102" s="249"/>
    </row>
    <row r="103" spans="1:21">
      <c r="A103" s="249"/>
      <c r="B103" s="249"/>
      <c r="C103" s="249"/>
      <c r="D103" s="249"/>
      <c r="E103" s="249"/>
      <c r="F103" s="250"/>
      <c r="G103" s="249"/>
      <c r="H103" s="249"/>
      <c r="I103" s="249"/>
      <c r="J103" s="249"/>
      <c r="K103" s="249"/>
      <c r="L103" s="249"/>
      <c r="M103" s="249"/>
      <c r="N103" s="249"/>
      <c r="O103" s="249"/>
      <c r="P103" s="249"/>
      <c r="Q103" s="249"/>
      <c r="R103" s="249"/>
      <c r="S103" s="249"/>
      <c r="T103" s="249"/>
      <c r="U103" s="249"/>
    </row>
    <row r="104" spans="1:21">
      <c r="A104" s="249"/>
      <c r="B104" s="249"/>
      <c r="C104" s="249"/>
      <c r="D104" s="249"/>
      <c r="E104" s="249"/>
      <c r="F104" s="250"/>
      <c r="G104" s="249"/>
      <c r="H104" s="249"/>
      <c r="I104" s="249"/>
      <c r="J104" s="249"/>
      <c r="K104" s="249"/>
      <c r="L104" s="249"/>
      <c r="M104" s="249"/>
      <c r="N104" s="249"/>
      <c r="O104" s="249"/>
      <c r="P104" s="249"/>
      <c r="Q104" s="249"/>
      <c r="R104" s="249"/>
      <c r="S104" s="249"/>
      <c r="T104" s="249"/>
      <c r="U104" s="249"/>
    </row>
    <row r="105" spans="1:21">
      <c r="A105" s="249"/>
      <c r="B105" s="249"/>
      <c r="C105" s="249"/>
      <c r="D105" s="249"/>
      <c r="E105" s="249"/>
      <c r="F105" s="250"/>
      <c r="G105" s="249"/>
      <c r="H105" s="249"/>
      <c r="I105" s="249"/>
      <c r="J105" s="249"/>
      <c r="K105" s="249"/>
      <c r="L105" s="249"/>
      <c r="M105" s="249"/>
      <c r="N105" s="249"/>
      <c r="O105" s="249"/>
      <c r="P105" s="249"/>
      <c r="Q105" s="249"/>
      <c r="R105" s="249"/>
      <c r="S105" s="249"/>
      <c r="T105" s="249"/>
      <c r="U105" s="249"/>
    </row>
    <row r="106" spans="1:21">
      <c r="A106" s="249"/>
      <c r="B106" s="249"/>
      <c r="C106" s="249"/>
      <c r="D106" s="249"/>
      <c r="E106" s="249"/>
      <c r="F106" s="250"/>
      <c r="G106" s="249"/>
      <c r="H106" s="249"/>
      <c r="I106" s="249"/>
      <c r="J106" s="249"/>
      <c r="K106" s="249"/>
      <c r="L106" s="249"/>
      <c r="M106" s="249"/>
      <c r="N106" s="249"/>
      <c r="O106" s="249"/>
      <c r="P106" s="249"/>
      <c r="Q106" s="249"/>
      <c r="R106" s="249"/>
      <c r="S106" s="249"/>
      <c r="T106" s="249"/>
      <c r="U106" s="249"/>
    </row>
    <row r="107" spans="1:21">
      <c r="A107" s="249"/>
      <c r="B107" s="249"/>
      <c r="C107" s="249"/>
      <c r="D107" s="249"/>
      <c r="E107" s="249"/>
      <c r="F107" s="250"/>
      <c r="G107" s="249"/>
      <c r="H107" s="249"/>
      <c r="I107" s="249"/>
      <c r="J107" s="249"/>
      <c r="K107" s="249"/>
      <c r="L107" s="249"/>
      <c r="M107" s="249"/>
      <c r="N107" s="249"/>
      <c r="O107" s="249"/>
      <c r="P107" s="249"/>
      <c r="Q107" s="249"/>
      <c r="R107" s="249"/>
      <c r="S107" s="249"/>
      <c r="T107" s="249"/>
      <c r="U107" s="249"/>
    </row>
    <row r="108" spans="1:21">
      <c r="A108" s="249"/>
      <c r="B108" s="249"/>
      <c r="C108" s="249"/>
      <c r="D108" s="249"/>
      <c r="E108" s="249"/>
      <c r="F108" s="250"/>
      <c r="G108" s="249"/>
      <c r="H108" s="249"/>
      <c r="I108" s="249"/>
      <c r="J108" s="249"/>
      <c r="K108" s="249"/>
      <c r="L108" s="249"/>
      <c r="M108" s="249"/>
      <c r="N108" s="249"/>
      <c r="O108" s="249"/>
      <c r="P108" s="249"/>
      <c r="Q108" s="249"/>
      <c r="R108" s="249"/>
      <c r="S108" s="249"/>
      <c r="T108" s="249"/>
      <c r="U108" s="249"/>
    </row>
    <row r="109" spans="1:21">
      <c r="A109" s="249"/>
      <c r="B109" s="249"/>
      <c r="C109" s="249"/>
      <c r="D109" s="249"/>
      <c r="E109" s="249"/>
      <c r="F109" s="250"/>
      <c r="G109" s="249"/>
      <c r="H109" s="249"/>
      <c r="I109" s="249"/>
      <c r="J109" s="249"/>
      <c r="K109" s="249"/>
      <c r="L109" s="249"/>
      <c r="M109" s="249"/>
      <c r="N109" s="249"/>
      <c r="O109" s="249"/>
      <c r="P109" s="249"/>
      <c r="Q109" s="249"/>
      <c r="R109" s="249"/>
      <c r="S109" s="249"/>
      <c r="T109" s="249"/>
      <c r="U109" s="249"/>
    </row>
    <row r="110" spans="1:21">
      <c r="A110" s="249"/>
      <c r="B110" s="249"/>
      <c r="C110" s="249"/>
      <c r="D110" s="249"/>
      <c r="E110" s="249"/>
      <c r="F110" s="250"/>
      <c r="G110" s="249"/>
      <c r="H110" s="249"/>
      <c r="I110" s="249"/>
      <c r="J110" s="249"/>
      <c r="K110" s="249"/>
      <c r="L110" s="249"/>
      <c r="M110" s="249"/>
      <c r="N110" s="249"/>
      <c r="O110" s="249"/>
      <c r="P110" s="249"/>
      <c r="Q110" s="249"/>
      <c r="R110" s="249"/>
      <c r="S110" s="249"/>
      <c r="T110" s="249"/>
      <c r="U110" s="249"/>
    </row>
    <row r="111" spans="1:21">
      <c r="A111" s="249"/>
      <c r="B111" s="249"/>
      <c r="C111" s="249"/>
      <c r="D111" s="249"/>
      <c r="E111" s="249"/>
      <c r="F111" s="250"/>
      <c r="G111" s="249"/>
      <c r="H111" s="249"/>
      <c r="I111" s="249"/>
      <c r="J111" s="249"/>
      <c r="K111" s="249"/>
      <c r="L111" s="249"/>
      <c r="M111" s="249"/>
      <c r="N111" s="249"/>
      <c r="O111" s="249"/>
      <c r="P111" s="249"/>
      <c r="Q111" s="249"/>
      <c r="R111" s="249"/>
      <c r="S111" s="249"/>
      <c r="T111" s="249"/>
      <c r="U111" s="249"/>
    </row>
    <row r="112" spans="1:21">
      <c r="A112" s="249"/>
      <c r="B112" s="249"/>
      <c r="C112" s="249"/>
      <c r="D112" s="249"/>
      <c r="E112" s="249"/>
      <c r="F112" s="250"/>
      <c r="G112" s="249"/>
      <c r="H112" s="249"/>
      <c r="I112" s="249"/>
      <c r="J112" s="249"/>
      <c r="K112" s="249"/>
      <c r="L112" s="249"/>
      <c r="M112" s="249"/>
      <c r="N112" s="249"/>
      <c r="O112" s="249"/>
      <c r="P112" s="249"/>
      <c r="Q112" s="249"/>
      <c r="R112" s="249"/>
      <c r="S112" s="249"/>
      <c r="T112" s="249"/>
      <c r="U112" s="249"/>
    </row>
    <row r="113" spans="1:21">
      <c r="A113" s="249"/>
      <c r="B113" s="249"/>
      <c r="C113" s="249"/>
      <c r="D113" s="249"/>
      <c r="E113" s="249"/>
      <c r="F113" s="250"/>
      <c r="G113" s="249"/>
      <c r="H113" s="249"/>
      <c r="I113" s="249"/>
      <c r="J113" s="249"/>
      <c r="K113" s="249"/>
      <c r="L113" s="249"/>
      <c r="M113" s="249"/>
      <c r="N113" s="249"/>
      <c r="O113" s="249"/>
      <c r="P113" s="249"/>
      <c r="Q113" s="249"/>
      <c r="R113" s="249"/>
      <c r="S113" s="249"/>
      <c r="T113" s="249"/>
      <c r="U113" s="249"/>
    </row>
    <row r="114" spans="1:21">
      <c r="A114" s="249"/>
      <c r="B114" s="249"/>
      <c r="C114" s="249"/>
      <c r="D114" s="249"/>
      <c r="E114" s="249"/>
      <c r="F114" s="250"/>
      <c r="G114" s="249"/>
      <c r="H114" s="249"/>
      <c r="I114" s="249"/>
      <c r="J114" s="249"/>
      <c r="K114" s="249"/>
      <c r="L114" s="249"/>
      <c r="M114" s="249"/>
      <c r="N114" s="249"/>
      <c r="O114" s="249"/>
      <c r="P114" s="249"/>
      <c r="Q114" s="249"/>
      <c r="R114" s="249"/>
      <c r="S114" s="249"/>
      <c r="T114" s="249"/>
      <c r="U114" s="249"/>
    </row>
    <row r="115" spans="1:21">
      <c r="A115" s="249"/>
      <c r="B115" s="249"/>
      <c r="C115" s="249"/>
      <c r="D115" s="249"/>
      <c r="E115" s="249"/>
      <c r="F115" s="250"/>
      <c r="G115" s="249"/>
      <c r="H115" s="249"/>
      <c r="I115" s="249"/>
      <c r="J115" s="249"/>
      <c r="K115" s="249"/>
      <c r="L115" s="249"/>
      <c r="M115" s="249"/>
      <c r="N115" s="249"/>
      <c r="O115" s="249"/>
      <c r="P115" s="249"/>
      <c r="Q115" s="249"/>
      <c r="R115" s="249"/>
      <c r="S115" s="249"/>
      <c r="T115" s="249"/>
      <c r="U115" s="249"/>
    </row>
    <row r="116" spans="1:21">
      <c r="A116" s="249"/>
      <c r="B116" s="249"/>
      <c r="C116" s="249"/>
      <c r="D116" s="249"/>
      <c r="E116" s="249"/>
      <c r="F116" s="250"/>
      <c r="G116" s="249"/>
      <c r="H116" s="249"/>
      <c r="I116" s="249"/>
      <c r="J116" s="249"/>
      <c r="K116" s="249"/>
      <c r="L116" s="249"/>
      <c r="M116" s="249"/>
      <c r="N116" s="249"/>
      <c r="O116" s="249"/>
      <c r="P116" s="249"/>
      <c r="Q116" s="249"/>
      <c r="R116" s="249"/>
      <c r="S116" s="249"/>
      <c r="T116" s="249"/>
      <c r="U116" s="249"/>
    </row>
    <row r="117" spans="1:21">
      <c r="A117" s="249"/>
      <c r="B117" s="249"/>
      <c r="C117" s="249"/>
      <c r="D117" s="249"/>
      <c r="E117" s="249"/>
      <c r="F117" s="250"/>
      <c r="G117" s="249"/>
      <c r="H117" s="249"/>
      <c r="I117" s="249"/>
      <c r="J117" s="249"/>
      <c r="K117" s="249"/>
      <c r="L117" s="249"/>
      <c r="M117" s="249"/>
      <c r="N117" s="249"/>
      <c r="O117" s="249"/>
      <c r="P117" s="249"/>
      <c r="Q117" s="249"/>
      <c r="R117" s="249"/>
      <c r="S117" s="249"/>
      <c r="T117" s="249"/>
      <c r="U117" s="249"/>
    </row>
    <row r="118" spans="1:21">
      <c r="A118" s="249"/>
      <c r="B118" s="249"/>
      <c r="C118" s="249"/>
      <c r="D118" s="249"/>
      <c r="E118" s="249"/>
      <c r="F118" s="250"/>
      <c r="G118" s="249"/>
      <c r="H118" s="249"/>
      <c r="I118" s="249"/>
      <c r="J118" s="249"/>
      <c r="K118" s="249"/>
      <c r="L118" s="249"/>
      <c r="M118" s="249"/>
      <c r="N118" s="249"/>
      <c r="O118" s="249"/>
      <c r="P118" s="249"/>
      <c r="Q118" s="249"/>
      <c r="R118" s="249"/>
      <c r="S118" s="249"/>
      <c r="T118" s="249"/>
      <c r="U118" s="249"/>
    </row>
    <row r="119" spans="1:21">
      <c r="A119" s="249"/>
      <c r="B119" s="249"/>
      <c r="C119" s="249"/>
      <c r="D119" s="249"/>
      <c r="E119" s="249"/>
      <c r="F119" s="250"/>
      <c r="G119" s="249"/>
      <c r="H119" s="249"/>
      <c r="I119" s="249"/>
      <c r="J119" s="249"/>
      <c r="K119" s="249"/>
      <c r="L119" s="249"/>
      <c r="M119" s="249"/>
      <c r="N119" s="249"/>
      <c r="O119" s="249"/>
      <c r="P119" s="249"/>
      <c r="Q119" s="249"/>
      <c r="R119" s="249"/>
      <c r="S119" s="249"/>
      <c r="T119" s="249"/>
      <c r="U119" s="249"/>
    </row>
    <row r="120" spans="1:21">
      <c r="A120" s="249"/>
      <c r="B120" s="249"/>
      <c r="C120" s="249"/>
      <c r="D120" s="249"/>
      <c r="E120" s="249"/>
      <c r="F120" s="250"/>
      <c r="G120" s="249"/>
      <c r="H120" s="249"/>
      <c r="I120" s="249"/>
      <c r="J120" s="249"/>
      <c r="K120" s="249"/>
      <c r="L120" s="249"/>
      <c r="M120" s="249"/>
      <c r="N120" s="249"/>
      <c r="O120" s="249"/>
      <c r="P120" s="249"/>
      <c r="Q120" s="249"/>
      <c r="R120" s="249"/>
      <c r="S120" s="249"/>
      <c r="T120" s="249"/>
      <c r="U120" s="249"/>
    </row>
    <row r="121" spans="1:21">
      <c r="A121" s="249"/>
      <c r="B121" s="249"/>
      <c r="C121" s="249"/>
      <c r="D121" s="249"/>
      <c r="E121" s="249"/>
      <c r="F121" s="250"/>
      <c r="G121" s="249"/>
      <c r="H121" s="249"/>
      <c r="I121" s="249"/>
      <c r="J121" s="249"/>
      <c r="K121" s="249"/>
      <c r="L121" s="249"/>
      <c r="M121" s="249"/>
      <c r="N121" s="249"/>
      <c r="O121" s="249"/>
      <c r="P121" s="249"/>
      <c r="Q121" s="249"/>
      <c r="R121" s="249"/>
      <c r="S121" s="249"/>
      <c r="T121" s="249"/>
      <c r="U121" s="249"/>
    </row>
    <row r="122" spans="1:21">
      <c r="A122" s="249"/>
      <c r="B122" s="249"/>
      <c r="C122" s="249"/>
      <c r="D122" s="249"/>
      <c r="E122" s="249"/>
      <c r="F122" s="250"/>
      <c r="G122" s="249"/>
      <c r="H122" s="249"/>
      <c r="I122" s="249"/>
      <c r="J122" s="249"/>
      <c r="K122" s="249"/>
      <c r="L122" s="249"/>
      <c r="M122" s="249"/>
      <c r="N122" s="249"/>
      <c r="O122" s="249"/>
      <c r="P122" s="249"/>
      <c r="Q122" s="249"/>
      <c r="R122" s="249"/>
      <c r="S122" s="249"/>
      <c r="T122" s="249"/>
      <c r="U122" s="249"/>
    </row>
    <row r="123" spans="1:21">
      <c r="A123" s="249"/>
      <c r="B123" s="249"/>
      <c r="C123" s="249"/>
      <c r="D123" s="249"/>
      <c r="E123" s="249"/>
      <c r="F123" s="250"/>
      <c r="G123" s="249"/>
      <c r="H123" s="249"/>
      <c r="I123" s="249"/>
      <c r="J123" s="249"/>
      <c r="K123" s="249"/>
      <c r="L123" s="249"/>
      <c r="M123" s="249"/>
      <c r="N123" s="249"/>
      <c r="O123" s="249"/>
      <c r="P123" s="249"/>
      <c r="Q123" s="249"/>
      <c r="R123" s="249"/>
      <c r="S123" s="249"/>
      <c r="T123" s="249"/>
      <c r="U123" s="249"/>
    </row>
    <row r="124" spans="1:21">
      <c r="A124" s="249"/>
      <c r="B124" s="249"/>
      <c r="C124" s="249"/>
      <c r="D124" s="249"/>
      <c r="E124" s="249"/>
      <c r="F124" s="250"/>
      <c r="G124" s="249"/>
      <c r="H124" s="249"/>
      <c r="I124" s="249"/>
      <c r="J124" s="249"/>
      <c r="K124" s="249"/>
      <c r="L124" s="249"/>
      <c r="M124" s="249"/>
      <c r="N124" s="249"/>
      <c r="O124" s="249"/>
      <c r="P124" s="249"/>
      <c r="Q124" s="249"/>
      <c r="R124" s="249"/>
      <c r="S124" s="249"/>
      <c r="T124" s="249"/>
      <c r="U124" s="249"/>
    </row>
    <row r="125" spans="1:21">
      <c r="A125" s="249"/>
      <c r="B125" s="249"/>
      <c r="C125" s="249"/>
      <c r="D125" s="249"/>
      <c r="E125" s="249"/>
      <c r="F125" s="250"/>
      <c r="G125" s="249"/>
      <c r="H125" s="249"/>
      <c r="I125" s="249"/>
      <c r="J125" s="249"/>
      <c r="K125" s="249"/>
      <c r="L125" s="249"/>
      <c r="M125" s="249"/>
      <c r="N125" s="249"/>
      <c r="O125" s="249"/>
      <c r="P125" s="249"/>
      <c r="Q125" s="249"/>
      <c r="R125" s="249"/>
      <c r="S125" s="249"/>
      <c r="T125" s="249"/>
      <c r="U125" s="249"/>
    </row>
    <row r="126" spans="1:21">
      <c r="A126" s="249"/>
      <c r="B126" s="249"/>
      <c r="C126" s="249"/>
      <c r="D126" s="249"/>
      <c r="E126" s="249"/>
      <c r="F126" s="250"/>
      <c r="G126" s="249"/>
      <c r="H126" s="249"/>
      <c r="I126" s="249"/>
      <c r="J126" s="249"/>
      <c r="K126" s="249"/>
      <c r="L126" s="249"/>
      <c r="M126" s="249"/>
      <c r="N126" s="249"/>
      <c r="O126" s="249"/>
      <c r="P126" s="249"/>
      <c r="Q126" s="249"/>
      <c r="R126" s="249"/>
      <c r="S126" s="249"/>
      <c r="T126" s="249"/>
      <c r="U126" s="249"/>
    </row>
    <row r="127" spans="1:21">
      <c r="A127" s="249"/>
      <c r="B127" s="249"/>
      <c r="C127" s="249"/>
      <c r="D127" s="249"/>
      <c r="E127" s="249"/>
      <c r="F127" s="250"/>
      <c r="G127" s="249"/>
      <c r="H127" s="249"/>
      <c r="I127" s="249"/>
      <c r="J127" s="249"/>
      <c r="K127" s="249"/>
      <c r="L127" s="249"/>
      <c r="M127" s="249"/>
      <c r="N127" s="249"/>
      <c r="O127" s="249"/>
      <c r="P127" s="249"/>
      <c r="Q127" s="249"/>
      <c r="R127" s="249"/>
      <c r="S127" s="249"/>
      <c r="T127" s="249"/>
      <c r="U127" s="249"/>
    </row>
    <row r="128" spans="1:21">
      <c r="A128" s="249"/>
      <c r="B128" s="249"/>
      <c r="C128" s="249"/>
      <c r="D128" s="249"/>
      <c r="E128" s="249"/>
      <c r="F128" s="250"/>
      <c r="G128" s="249"/>
      <c r="H128" s="249"/>
      <c r="I128" s="249"/>
      <c r="J128" s="249"/>
      <c r="K128" s="249"/>
      <c r="L128" s="249"/>
      <c r="M128" s="249"/>
      <c r="N128" s="249"/>
      <c r="O128" s="249"/>
      <c r="P128" s="249"/>
      <c r="Q128" s="249"/>
      <c r="R128" s="249"/>
      <c r="S128" s="249"/>
      <c r="T128" s="249"/>
      <c r="U128" s="249"/>
    </row>
    <row r="129" spans="1:21">
      <c r="A129" s="249"/>
      <c r="B129" s="249"/>
      <c r="C129" s="249"/>
      <c r="D129" s="249"/>
      <c r="E129" s="249"/>
      <c r="F129" s="250"/>
      <c r="G129" s="249"/>
      <c r="H129" s="249"/>
      <c r="I129" s="249"/>
      <c r="J129" s="249"/>
      <c r="K129" s="249"/>
      <c r="L129" s="249"/>
      <c r="M129" s="249"/>
      <c r="N129" s="249"/>
      <c r="O129" s="249"/>
      <c r="P129" s="249"/>
      <c r="Q129" s="249"/>
      <c r="R129" s="249"/>
      <c r="S129" s="249"/>
      <c r="T129" s="249"/>
      <c r="U129" s="249"/>
    </row>
    <row r="130" spans="1:21">
      <c r="A130" s="249"/>
      <c r="B130" s="249"/>
      <c r="C130" s="249"/>
      <c r="D130" s="249"/>
      <c r="E130" s="249"/>
      <c r="F130" s="250"/>
      <c r="G130" s="249"/>
      <c r="H130" s="249"/>
      <c r="I130" s="249"/>
      <c r="J130" s="249"/>
      <c r="K130" s="249"/>
      <c r="L130" s="249"/>
      <c r="M130" s="249"/>
      <c r="N130" s="249"/>
      <c r="O130" s="249"/>
      <c r="P130" s="249"/>
      <c r="Q130" s="249"/>
      <c r="R130" s="249"/>
      <c r="S130" s="249"/>
      <c r="T130" s="249"/>
      <c r="U130" s="249"/>
    </row>
    <row r="131" spans="1:21">
      <c r="A131" s="249"/>
      <c r="B131" s="249"/>
      <c r="C131" s="249"/>
      <c r="D131" s="249"/>
      <c r="E131" s="249"/>
      <c r="F131" s="250"/>
      <c r="G131" s="249"/>
      <c r="H131" s="249"/>
      <c r="I131" s="249"/>
      <c r="J131" s="249"/>
      <c r="K131" s="249"/>
      <c r="L131" s="249"/>
      <c r="M131" s="249"/>
      <c r="N131" s="249"/>
      <c r="O131" s="249"/>
      <c r="P131" s="249"/>
      <c r="Q131" s="249"/>
      <c r="R131" s="249"/>
      <c r="S131" s="249"/>
      <c r="T131" s="249"/>
      <c r="U131" s="249"/>
    </row>
    <row r="132" spans="1:21">
      <c r="A132" s="249"/>
      <c r="B132" s="249"/>
      <c r="C132" s="249"/>
      <c r="D132" s="249"/>
      <c r="E132" s="249"/>
      <c r="F132" s="250"/>
      <c r="G132" s="249"/>
      <c r="H132" s="249"/>
      <c r="I132" s="249"/>
      <c r="J132" s="249"/>
      <c r="K132" s="249"/>
      <c r="L132" s="249"/>
      <c r="M132" s="249"/>
      <c r="N132" s="249"/>
      <c r="O132" s="249"/>
      <c r="P132" s="249"/>
      <c r="Q132" s="249"/>
      <c r="R132" s="249"/>
      <c r="S132" s="249"/>
      <c r="T132" s="249"/>
      <c r="U132" s="249"/>
    </row>
    <row r="133" spans="1:21">
      <c r="A133" s="249"/>
      <c r="B133" s="249"/>
      <c r="C133" s="249"/>
      <c r="D133" s="249"/>
      <c r="E133" s="249"/>
      <c r="F133" s="250"/>
      <c r="G133" s="249"/>
      <c r="H133" s="249"/>
      <c r="I133" s="249"/>
      <c r="J133" s="249"/>
      <c r="K133" s="249"/>
      <c r="L133" s="249"/>
      <c r="M133" s="249"/>
      <c r="N133" s="249"/>
      <c r="O133" s="249"/>
      <c r="P133" s="249"/>
      <c r="Q133" s="249"/>
      <c r="R133" s="249"/>
      <c r="S133" s="249"/>
      <c r="T133" s="249"/>
      <c r="U133" s="249"/>
    </row>
    <row r="134" spans="1:21">
      <c r="A134" s="249"/>
      <c r="B134" s="249"/>
      <c r="C134" s="249"/>
      <c r="D134" s="249"/>
      <c r="E134" s="249"/>
      <c r="F134" s="250"/>
      <c r="G134" s="249"/>
      <c r="H134" s="249"/>
      <c r="I134" s="249"/>
      <c r="J134" s="249"/>
      <c r="K134" s="249"/>
      <c r="L134" s="249"/>
      <c r="M134" s="249"/>
      <c r="N134" s="249"/>
      <c r="O134" s="249"/>
      <c r="P134" s="249"/>
      <c r="Q134" s="249"/>
      <c r="R134" s="249"/>
      <c r="S134" s="249"/>
      <c r="T134" s="249"/>
      <c r="U134" s="249"/>
    </row>
    <row r="135" spans="1:21">
      <c r="A135" s="249"/>
      <c r="B135" s="249"/>
      <c r="C135" s="249"/>
      <c r="D135" s="249"/>
      <c r="E135" s="249"/>
      <c r="F135" s="250"/>
      <c r="G135" s="249"/>
      <c r="H135" s="249"/>
      <c r="I135" s="249"/>
      <c r="J135" s="249"/>
      <c r="K135" s="249"/>
      <c r="L135" s="249"/>
      <c r="M135" s="249"/>
      <c r="N135" s="249"/>
      <c r="O135" s="249"/>
      <c r="P135" s="249"/>
      <c r="Q135" s="249"/>
      <c r="R135" s="249"/>
      <c r="S135" s="249"/>
      <c r="T135" s="249"/>
      <c r="U135" s="249"/>
    </row>
    <row r="136" spans="1:21">
      <c r="A136" s="249"/>
      <c r="B136" s="249"/>
      <c r="C136" s="249"/>
      <c r="D136" s="249"/>
      <c r="E136" s="249"/>
      <c r="F136" s="250"/>
      <c r="G136" s="249"/>
      <c r="H136" s="249"/>
      <c r="I136" s="249"/>
      <c r="J136" s="249"/>
      <c r="K136" s="249"/>
      <c r="L136" s="249"/>
      <c r="M136" s="249"/>
      <c r="N136" s="249"/>
      <c r="O136" s="249"/>
      <c r="P136" s="249"/>
      <c r="Q136" s="249"/>
      <c r="R136" s="249"/>
      <c r="S136" s="249"/>
      <c r="T136" s="249"/>
      <c r="U136" s="249"/>
    </row>
    <row r="137" spans="1:21">
      <c r="A137" s="249"/>
      <c r="B137" s="249"/>
      <c r="C137" s="249"/>
      <c r="D137" s="249"/>
      <c r="E137" s="249"/>
      <c r="F137" s="250"/>
      <c r="G137" s="249"/>
      <c r="H137" s="249"/>
      <c r="I137" s="249"/>
      <c r="J137" s="249"/>
      <c r="K137" s="249"/>
      <c r="L137" s="249"/>
      <c r="M137" s="249"/>
      <c r="N137" s="249"/>
      <c r="O137" s="249"/>
      <c r="P137" s="249"/>
      <c r="Q137" s="249"/>
      <c r="R137" s="249"/>
      <c r="S137" s="249"/>
      <c r="T137" s="249"/>
      <c r="U137" s="249"/>
    </row>
    <row r="138" spans="1:21">
      <c r="A138" s="249"/>
      <c r="B138" s="249"/>
      <c r="C138" s="249"/>
      <c r="D138" s="249"/>
      <c r="E138" s="249"/>
      <c r="F138" s="250"/>
      <c r="G138" s="249"/>
      <c r="H138" s="249"/>
      <c r="I138" s="249"/>
      <c r="J138" s="249"/>
      <c r="K138" s="249"/>
      <c r="L138" s="249"/>
      <c r="M138" s="249"/>
      <c r="N138" s="249"/>
      <c r="O138" s="249"/>
      <c r="P138" s="249"/>
      <c r="Q138" s="249"/>
      <c r="R138" s="249"/>
      <c r="S138" s="249"/>
      <c r="T138" s="249"/>
      <c r="U138" s="249"/>
    </row>
    <row r="139" spans="1:21">
      <c r="A139" s="249"/>
      <c r="B139" s="249"/>
      <c r="C139" s="249"/>
      <c r="D139" s="249"/>
      <c r="E139" s="249"/>
      <c r="F139" s="250"/>
      <c r="G139" s="249"/>
      <c r="H139" s="249"/>
      <c r="I139" s="249"/>
      <c r="J139" s="249"/>
      <c r="K139" s="249"/>
      <c r="L139" s="249"/>
      <c r="M139" s="249"/>
      <c r="N139" s="249"/>
      <c r="O139" s="249"/>
      <c r="P139" s="249"/>
      <c r="Q139" s="249"/>
      <c r="R139" s="249"/>
      <c r="S139" s="249"/>
      <c r="T139" s="249"/>
      <c r="U139" s="249"/>
    </row>
    <row r="140" spans="1:21">
      <c r="A140" s="249"/>
      <c r="B140" s="249"/>
      <c r="C140" s="249"/>
      <c r="D140" s="249"/>
      <c r="E140" s="249"/>
      <c r="F140" s="250"/>
      <c r="G140" s="249"/>
      <c r="H140" s="249"/>
      <c r="I140" s="249"/>
      <c r="J140" s="249"/>
      <c r="K140" s="249"/>
      <c r="L140" s="249"/>
      <c r="M140" s="249"/>
      <c r="N140" s="249"/>
      <c r="O140" s="249"/>
      <c r="P140" s="249"/>
      <c r="Q140" s="249"/>
      <c r="R140" s="249"/>
      <c r="S140" s="249"/>
      <c r="T140" s="249"/>
      <c r="U140" s="249"/>
    </row>
    <row r="141" spans="1:21">
      <c r="A141" s="249"/>
      <c r="B141" s="249"/>
      <c r="C141" s="249"/>
      <c r="D141" s="249"/>
      <c r="E141" s="249"/>
      <c r="F141" s="250"/>
      <c r="G141" s="249"/>
      <c r="H141" s="249"/>
      <c r="I141" s="249"/>
      <c r="J141" s="249"/>
      <c r="K141" s="249"/>
      <c r="L141" s="249"/>
      <c r="M141" s="249"/>
      <c r="N141" s="249"/>
      <c r="O141" s="249"/>
      <c r="P141" s="249"/>
      <c r="Q141" s="249"/>
      <c r="R141" s="249"/>
      <c r="S141" s="249"/>
      <c r="T141" s="249"/>
      <c r="U141" s="249"/>
    </row>
    <row r="142" spans="1:21">
      <c r="A142" s="249"/>
      <c r="B142" s="249"/>
      <c r="C142" s="249"/>
      <c r="D142" s="249"/>
      <c r="E142" s="249"/>
      <c r="F142" s="250"/>
      <c r="G142" s="249"/>
      <c r="H142" s="249"/>
      <c r="I142" s="249"/>
      <c r="J142" s="249"/>
      <c r="K142" s="249"/>
      <c r="L142" s="249"/>
      <c r="M142" s="249"/>
      <c r="N142" s="249"/>
      <c r="O142" s="249"/>
      <c r="P142" s="249"/>
      <c r="Q142" s="249"/>
      <c r="R142" s="249"/>
      <c r="S142" s="249"/>
      <c r="T142" s="249"/>
      <c r="U142" s="249"/>
    </row>
    <row r="143" spans="1:21">
      <c r="A143" s="249"/>
      <c r="B143" s="249"/>
      <c r="C143" s="249"/>
      <c r="D143" s="249"/>
      <c r="E143" s="249"/>
      <c r="F143" s="250"/>
      <c r="G143" s="249"/>
      <c r="H143" s="249"/>
      <c r="I143" s="249"/>
      <c r="J143" s="249"/>
      <c r="K143" s="249"/>
      <c r="L143" s="249"/>
      <c r="M143" s="249"/>
      <c r="N143" s="249"/>
      <c r="O143" s="249"/>
      <c r="P143" s="249"/>
      <c r="Q143" s="249"/>
      <c r="R143" s="249"/>
      <c r="S143" s="249"/>
      <c r="T143" s="249"/>
      <c r="U143" s="249"/>
    </row>
    <row r="144" spans="1:21">
      <c r="A144" s="249"/>
      <c r="B144" s="249"/>
      <c r="C144" s="249"/>
      <c r="D144" s="249"/>
      <c r="E144" s="249"/>
      <c r="F144" s="250"/>
      <c r="G144" s="249"/>
      <c r="H144" s="249"/>
      <c r="I144" s="249"/>
      <c r="J144" s="249"/>
      <c r="K144" s="249"/>
      <c r="L144" s="249"/>
      <c r="M144" s="249"/>
      <c r="N144" s="249"/>
      <c r="O144" s="249"/>
      <c r="P144" s="249"/>
      <c r="Q144" s="249"/>
      <c r="R144" s="249"/>
      <c r="S144" s="249"/>
      <c r="T144" s="249"/>
      <c r="U144" s="249"/>
    </row>
    <row r="145" spans="1:21">
      <c r="A145" s="249"/>
      <c r="B145" s="249"/>
      <c r="C145" s="249"/>
      <c r="D145" s="249"/>
      <c r="E145" s="249"/>
      <c r="F145" s="250"/>
      <c r="G145" s="249"/>
      <c r="H145" s="249"/>
      <c r="I145" s="249"/>
      <c r="J145" s="249"/>
      <c r="K145" s="249"/>
      <c r="L145" s="249"/>
      <c r="M145" s="249"/>
      <c r="N145" s="249"/>
      <c r="O145" s="249"/>
      <c r="P145" s="249"/>
      <c r="Q145" s="249"/>
      <c r="R145" s="249"/>
      <c r="S145" s="249"/>
      <c r="T145" s="249"/>
      <c r="U145" s="249"/>
    </row>
    <row r="146" spans="1:21">
      <c r="A146" s="249"/>
      <c r="B146" s="249"/>
      <c r="C146" s="249"/>
      <c r="D146" s="249"/>
      <c r="E146" s="249"/>
      <c r="F146" s="250"/>
      <c r="G146" s="249"/>
      <c r="H146" s="249"/>
      <c r="I146" s="249"/>
      <c r="J146" s="249"/>
      <c r="K146" s="249"/>
      <c r="L146" s="249"/>
      <c r="M146" s="249"/>
      <c r="N146" s="249"/>
      <c r="O146" s="249"/>
      <c r="P146" s="249"/>
      <c r="Q146" s="249"/>
      <c r="R146" s="249"/>
      <c r="S146" s="249"/>
      <c r="T146" s="249"/>
      <c r="U146" s="249"/>
    </row>
    <row r="147" spans="1:21">
      <c r="A147" s="249"/>
      <c r="B147" s="249"/>
      <c r="C147" s="249"/>
      <c r="D147" s="249"/>
      <c r="E147" s="249"/>
      <c r="F147" s="250"/>
      <c r="G147" s="249"/>
      <c r="H147" s="249"/>
      <c r="I147" s="249"/>
      <c r="J147" s="249"/>
      <c r="K147" s="249"/>
      <c r="L147" s="249"/>
      <c r="M147" s="249"/>
      <c r="N147" s="249"/>
      <c r="O147" s="249"/>
      <c r="P147" s="249"/>
      <c r="Q147" s="249"/>
      <c r="R147" s="249"/>
      <c r="S147" s="249"/>
      <c r="T147" s="249"/>
      <c r="U147" s="249"/>
    </row>
    <row r="148" spans="1:21">
      <c r="A148" s="249"/>
      <c r="B148" s="249"/>
      <c r="C148" s="249"/>
      <c r="D148" s="249"/>
      <c r="E148" s="249"/>
      <c r="F148" s="250"/>
      <c r="G148" s="249"/>
      <c r="H148" s="249"/>
      <c r="I148" s="249"/>
      <c r="J148" s="249"/>
      <c r="K148" s="249"/>
      <c r="L148" s="249"/>
      <c r="M148" s="249"/>
      <c r="N148" s="249"/>
      <c r="O148" s="249"/>
      <c r="P148" s="249"/>
      <c r="Q148" s="249"/>
      <c r="R148" s="249"/>
      <c r="S148" s="249"/>
      <c r="T148" s="249"/>
      <c r="U148" s="249"/>
    </row>
    <row r="149" spans="1:21">
      <c r="A149" s="249"/>
      <c r="B149" s="249"/>
      <c r="C149" s="249"/>
      <c r="D149" s="249"/>
      <c r="E149" s="249"/>
      <c r="F149" s="250"/>
      <c r="G149" s="249"/>
      <c r="H149" s="249"/>
      <c r="I149" s="249"/>
      <c r="J149" s="249"/>
      <c r="K149" s="249"/>
      <c r="L149" s="249"/>
      <c r="M149" s="249"/>
      <c r="N149" s="249"/>
      <c r="O149" s="249"/>
      <c r="P149" s="249"/>
      <c r="Q149" s="249"/>
      <c r="R149" s="249"/>
      <c r="S149" s="249"/>
      <c r="T149" s="249"/>
      <c r="U149" s="249"/>
    </row>
    <row r="150" spans="1:21">
      <c r="A150" s="249"/>
      <c r="B150" s="249"/>
      <c r="C150" s="249"/>
      <c r="D150" s="249"/>
      <c r="E150" s="249"/>
      <c r="F150" s="250"/>
      <c r="G150" s="249"/>
      <c r="H150" s="249"/>
      <c r="I150" s="249"/>
      <c r="J150" s="249"/>
      <c r="K150" s="249"/>
      <c r="L150" s="249"/>
      <c r="M150" s="249"/>
      <c r="N150" s="249"/>
      <c r="O150" s="249"/>
      <c r="P150" s="249"/>
      <c r="Q150" s="249"/>
      <c r="R150" s="249"/>
      <c r="S150" s="249"/>
      <c r="T150" s="249"/>
      <c r="U150" s="249"/>
    </row>
    <row r="151" spans="1:21">
      <c r="A151" s="249"/>
      <c r="B151" s="249"/>
      <c r="C151" s="249"/>
      <c r="D151" s="249"/>
      <c r="E151" s="249"/>
      <c r="F151" s="250"/>
      <c r="G151" s="249"/>
      <c r="H151" s="249"/>
      <c r="I151" s="249"/>
      <c r="J151" s="249"/>
      <c r="K151" s="249"/>
      <c r="L151" s="249"/>
      <c r="M151" s="249"/>
      <c r="N151" s="249"/>
      <c r="O151" s="249"/>
      <c r="P151" s="249"/>
      <c r="Q151" s="249"/>
      <c r="R151" s="249"/>
      <c r="S151" s="249"/>
      <c r="T151" s="249"/>
      <c r="U151" s="249"/>
    </row>
    <row r="152" spans="1:21">
      <c r="A152" s="249"/>
      <c r="B152" s="249"/>
      <c r="C152" s="249"/>
      <c r="D152" s="249"/>
      <c r="E152" s="249"/>
      <c r="F152" s="250"/>
      <c r="G152" s="249"/>
      <c r="H152" s="249"/>
      <c r="I152" s="249"/>
      <c r="J152" s="249"/>
      <c r="K152" s="249"/>
      <c r="L152" s="249"/>
      <c r="M152" s="249"/>
      <c r="N152" s="249"/>
      <c r="O152" s="249"/>
      <c r="P152" s="249"/>
      <c r="Q152" s="249"/>
      <c r="R152" s="249"/>
      <c r="S152" s="249"/>
      <c r="T152" s="249"/>
      <c r="U152" s="249"/>
    </row>
    <row r="153" spans="1:21">
      <c r="A153" s="249"/>
      <c r="B153" s="249"/>
      <c r="C153" s="249"/>
      <c r="D153" s="249"/>
      <c r="E153" s="249"/>
      <c r="F153" s="250"/>
      <c r="G153" s="249"/>
      <c r="H153" s="249"/>
      <c r="I153" s="249"/>
      <c r="J153" s="249"/>
      <c r="K153" s="249"/>
      <c r="L153" s="249"/>
      <c r="M153" s="249"/>
      <c r="N153" s="249"/>
      <c r="O153" s="249"/>
      <c r="P153" s="249"/>
      <c r="Q153" s="249"/>
      <c r="R153" s="249"/>
      <c r="S153" s="249"/>
      <c r="T153" s="249"/>
      <c r="U153" s="249"/>
    </row>
    <row r="154" spans="1:21">
      <c r="A154" s="249"/>
      <c r="B154" s="249"/>
      <c r="C154" s="249"/>
      <c r="D154" s="249"/>
      <c r="E154" s="249"/>
      <c r="F154" s="250"/>
      <c r="G154" s="249"/>
      <c r="H154" s="249"/>
      <c r="I154" s="249"/>
      <c r="J154" s="249"/>
      <c r="K154" s="249"/>
      <c r="L154" s="249"/>
      <c r="M154" s="249"/>
      <c r="N154" s="249"/>
      <c r="O154" s="249"/>
      <c r="P154" s="249"/>
      <c r="Q154" s="249"/>
      <c r="R154" s="249"/>
      <c r="S154" s="249"/>
      <c r="T154" s="249"/>
      <c r="U154" s="249"/>
    </row>
    <row r="155" spans="1:21">
      <c r="A155" s="249"/>
      <c r="B155" s="249"/>
      <c r="C155" s="249"/>
      <c r="D155" s="249"/>
      <c r="E155" s="249"/>
      <c r="F155" s="250"/>
      <c r="G155" s="249"/>
      <c r="H155" s="249"/>
      <c r="I155" s="249"/>
      <c r="J155" s="249"/>
      <c r="K155" s="249"/>
      <c r="L155" s="249"/>
      <c r="M155" s="249"/>
      <c r="N155" s="249"/>
      <c r="O155" s="249"/>
      <c r="P155" s="249"/>
      <c r="Q155" s="249"/>
      <c r="R155" s="249"/>
      <c r="S155" s="249"/>
      <c r="T155" s="249"/>
      <c r="U155" s="249"/>
    </row>
    <row r="156" spans="1:21">
      <c r="A156" s="249"/>
      <c r="B156" s="249"/>
      <c r="C156" s="249"/>
      <c r="D156" s="249"/>
      <c r="E156" s="249"/>
      <c r="F156" s="250"/>
      <c r="G156" s="249"/>
      <c r="H156" s="249"/>
      <c r="I156" s="249"/>
      <c r="J156" s="249"/>
      <c r="K156" s="249"/>
      <c r="L156" s="249"/>
      <c r="M156" s="249"/>
      <c r="N156" s="249"/>
      <c r="O156" s="249"/>
      <c r="P156" s="249"/>
      <c r="Q156" s="249"/>
      <c r="R156" s="249"/>
      <c r="S156" s="249"/>
      <c r="T156" s="249"/>
      <c r="U156" s="249"/>
    </row>
    <row r="157" spans="1:21">
      <c r="A157" s="249"/>
      <c r="B157" s="249"/>
      <c r="C157" s="249"/>
      <c r="D157" s="249"/>
      <c r="E157" s="249"/>
      <c r="F157" s="250"/>
      <c r="G157" s="249"/>
      <c r="H157" s="249"/>
      <c r="I157" s="249"/>
      <c r="J157" s="249"/>
      <c r="K157" s="249"/>
      <c r="L157" s="249"/>
      <c r="M157" s="249"/>
      <c r="N157" s="249"/>
      <c r="O157" s="249"/>
      <c r="P157" s="249"/>
      <c r="Q157" s="249"/>
      <c r="R157" s="249"/>
      <c r="S157" s="249"/>
      <c r="T157" s="249"/>
      <c r="U157" s="249"/>
    </row>
    <row r="158" spans="1:21">
      <c r="A158" s="249"/>
      <c r="B158" s="249"/>
      <c r="C158" s="249"/>
      <c r="D158" s="249"/>
      <c r="E158" s="249"/>
      <c r="F158" s="250"/>
      <c r="G158" s="249"/>
      <c r="H158" s="249"/>
      <c r="I158" s="249"/>
      <c r="J158" s="249"/>
      <c r="K158" s="249"/>
      <c r="L158" s="249"/>
      <c r="M158" s="249"/>
      <c r="N158" s="249"/>
      <c r="O158" s="249"/>
      <c r="P158" s="249"/>
      <c r="Q158" s="249"/>
      <c r="R158" s="249"/>
      <c r="S158" s="249"/>
      <c r="T158" s="249"/>
      <c r="U158" s="249"/>
    </row>
    <row r="159" spans="1:21">
      <c r="A159" s="249"/>
      <c r="B159" s="249"/>
      <c r="C159" s="249"/>
      <c r="D159" s="249"/>
      <c r="E159" s="249"/>
      <c r="F159" s="250"/>
      <c r="G159" s="249"/>
      <c r="H159" s="249"/>
      <c r="I159" s="249"/>
      <c r="J159" s="249"/>
      <c r="K159" s="249"/>
      <c r="L159" s="249"/>
      <c r="M159" s="249"/>
      <c r="N159" s="249"/>
      <c r="O159" s="249"/>
      <c r="P159" s="249"/>
      <c r="Q159" s="249"/>
      <c r="R159" s="249"/>
      <c r="S159" s="249"/>
      <c r="T159" s="249"/>
      <c r="U159" s="249"/>
    </row>
    <row r="160" spans="1:21">
      <c r="A160" s="249"/>
      <c r="B160" s="249"/>
      <c r="C160" s="249"/>
      <c r="D160" s="249"/>
      <c r="E160" s="249"/>
      <c r="F160" s="250"/>
      <c r="G160" s="249"/>
      <c r="H160" s="249"/>
      <c r="I160" s="249"/>
      <c r="J160" s="249"/>
      <c r="K160" s="249"/>
      <c r="L160" s="249"/>
      <c r="M160" s="249"/>
      <c r="N160" s="249"/>
      <c r="O160" s="249"/>
      <c r="P160" s="249"/>
      <c r="Q160" s="249"/>
      <c r="R160" s="249"/>
      <c r="S160" s="249"/>
      <c r="T160" s="249"/>
      <c r="U160" s="249"/>
    </row>
    <row r="161" spans="1:21">
      <c r="A161" s="249"/>
      <c r="B161" s="249"/>
      <c r="C161" s="249"/>
      <c r="D161" s="249"/>
      <c r="E161" s="249"/>
      <c r="F161" s="250"/>
      <c r="G161" s="249"/>
      <c r="H161" s="249"/>
      <c r="I161" s="249"/>
      <c r="J161" s="249"/>
      <c r="K161" s="249"/>
      <c r="L161" s="249"/>
      <c r="M161" s="249"/>
      <c r="N161" s="249"/>
      <c r="O161" s="249"/>
      <c r="P161" s="249"/>
      <c r="Q161" s="249"/>
      <c r="R161" s="249"/>
      <c r="S161" s="249"/>
      <c r="T161" s="249"/>
      <c r="U161" s="249"/>
    </row>
    <row r="162" spans="1:21">
      <c r="A162" s="249"/>
      <c r="B162" s="249"/>
      <c r="C162" s="249"/>
      <c r="D162" s="249"/>
      <c r="E162" s="249"/>
      <c r="F162" s="250"/>
      <c r="G162" s="249"/>
      <c r="H162" s="249"/>
      <c r="I162" s="249"/>
      <c r="J162" s="249"/>
      <c r="K162" s="249"/>
      <c r="L162" s="249"/>
      <c r="M162" s="249"/>
      <c r="N162" s="249"/>
      <c r="O162" s="249"/>
      <c r="P162" s="249"/>
      <c r="Q162" s="249"/>
      <c r="R162" s="249"/>
      <c r="S162" s="249"/>
      <c r="T162" s="249"/>
      <c r="U162" s="249"/>
    </row>
    <row r="163" spans="1:21">
      <c r="A163" s="249"/>
      <c r="F163" s="250"/>
      <c r="G163" s="249"/>
      <c r="H163" s="249"/>
      <c r="I163" s="249"/>
      <c r="J163" s="249"/>
      <c r="K163" s="249"/>
      <c r="L163" s="249"/>
      <c r="M163" s="249"/>
      <c r="N163" s="249"/>
      <c r="O163" s="249"/>
      <c r="P163" s="249"/>
      <c r="Q163" s="249"/>
      <c r="R163" s="249"/>
      <c r="S163" s="249"/>
      <c r="T163" s="249"/>
      <c r="U163" s="249"/>
    </row>
    <row r="164" spans="1:21">
      <c r="A164" s="249"/>
      <c r="F164" s="250"/>
      <c r="G164" s="249"/>
      <c r="H164" s="249"/>
      <c r="I164" s="249"/>
      <c r="J164" s="249"/>
      <c r="K164" s="249"/>
      <c r="L164" s="249"/>
      <c r="M164" s="249"/>
      <c r="N164" s="249"/>
      <c r="O164" s="249"/>
      <c r="P164" s="249"/>
      <c r="Q164" s="249"/>
      <c r="R164" s="249"/>
      <c r="S164" s="249"/>
      <c r="T164" s="249"/>
      <c r="U164" s="249"/>
    </row>
    <row r="165" spans="1:21">
      <c r="A165" s="249"/>
      <c r="F165" s="250"/>
      <c r="G165" s="249"/>
      <c r="H165" s="249"/>
      <c r="I165" s="249"/>
      <c r="J165" s="249"/>
      <c r="K165" s="249"/>
      <c r="L165" s="249"/>
      <c r="M165" s="249"/>
      <c r="N165" s="249"/>
      <c r="O165" s="249"/>
      <c r="P165" s="249"/>
      <c r="Q165" s="249"/>
      <c r="R165" s="249"/>
    </row>
    <row r="166" spans="1:21">
      <c r="A166" s="249"/>
      <c r="F166" s="250"/>
      <c r="G166" s="249"/>
      <c r="H166" s="249"/>
      <c r="I166" s="249"/>
      <c r="J166" s="249"/>
      <c r="K166" s="249"/>
      <c r="L166" s="249"/>
      <c r="M166" s="249"/>
      <c r="N166" s="249"/>
      <c r="O166" s="249"/>
      <c r="P166" s="249"/>
      <c r="Q166" s="249"/>
      <c r="R166" s="249"/>
    </row>
    <row r="167" spans="1:21">
      <c r="A167" s="249"/>
      <c r="F167" s="250"/>
      <c r="G167" s="249"/>
      <c r="H167" s="249"/>
      <c r="I167" s="249"/>
      <c r="J167" s="249"/>
      <c r="K167" s="249"/>
      <c r="L167" s="249"/>
      <c r="M167" s="249"/>
      <c r="N167" s="249"/>
      <c r="O167" s="249"/>
      <c r="P167" s="249"/>
      <c r="Q167" s="249"/>
      <c r="R167" s="249"/>
    </row>
    <row r="168" spans="1:21">
      <c r="A168" s="249"/>
      <c r="F168" s="250"/>
      <c r="G168" s="249"/>
      <c r="H168" s="249"/>
      <c r="I168" s="249"/>
      <c r="J168" s="249"/>
      <c r="K168" s="249"/>
      <c r="L168" s="249"/>
      <c r="M168" s="249"/>
      <c r="N168" s="249"/>
      <c r="O168" s="249"/>
      <c r="P168" s="249"/>
      <c r="Q168" s="249"/>
      <c r="R168" s="249"/>
    </row>
    <row r="169" spans="1:21">
      <c r="A169" s="249"/>
    </row>
  </sheetData>
  <mergeCells count="2">
    <mergeCell ref="G2:H2"/>
    <mergeCell ref="B1:D1"/>
  </mergeCell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64"/>
  <sheetViews>
    <sheetView workbookViewId="0"/>
  </sheetViews>
  <sheetFormatPr baseColWidth="10" defaultColWidth="11.5546875" defaultRowHeight="14.4"/>
  <cols>
    <col min="1" max="1" width="11.5546875" style="1"/>
    <col min="2" max="2" width="18.33203125" style="1" customWidth="1"/>
    <col min="3" max="3" width="31.33203125" style="1" customWidth="1"/>
    <col min="4" max="4" width="55.6640625" style="1" customWidth="1"/>
    <col min="5" max="6" width="11.5546875" style="1"/>
    <col min="7" max="7" width="19.6640625" style="1" customWidth="1"/>
    <col min="8" max="16384" width="11.5546875" style="1"/>
  </cols>
  <sheetData>
    <row r="1" spans="1:17" ht="34.200000000000003" customHeight="1">
      <c r="A1" s="164"/>
      <c r="B1" s="443" t="s">
        <v>645</v>
      </c>
      <c r="C1" s="443"/>
      <c r="D1" s="443"/>
      <c r="E1" s="164"/>
      <c r="F1" s="164"/>
      <c r="G1" s="164"/>
      <c r="H1" s="164"/>
      <c r="I1" s="164"/>
      <c r="J1" s="164"/>
      <c r="K1" s="164"/>
      <c r="L1" s="164"/>
      <c r="M1" s="164"/>
      <c r="N1" s="164"/>
      <c r="O1" s="164"/>
      <c r="P1" s="164"/>
      <c r="Q1" s="164"/>
    </row>
    <row r="2" spans="1:17" ht="56.4" customHeight="1">
      <c r="A2" s="164"/>
      <c r="B2" s="350" t="s">
        <v>131</v>
      </c>
      <c r="C2" s="350" t="s">
        <v>132</v>
      </c>
      <c r="D2" s="350" t="s">
        <v>133</v>
      </c>
      <c r="E2" s="164"/>
      <c r="F2" s="430" t="s">
        <v>599</v>
      </c>
      <c r="G2" s="431"/>
      <c r="H2" s="164"/>
      <c r="I2" s="164"/>
      <c r="J2" s="164"/>
      <c r="K2" s="164"/>
      <c r="L2" s="164"/>
      <c r="M2" s="164"/>
      <c r="N2" s="164"/>
      <c r="O2" s="164"/>
      <c r="P2" s="164"/>
      <c r="Q2" s="164"/>
    </row>
    <row r="3" spans="1:17" ht="90.6" customHeight="1">
      <c r="A3" s="164"/>
      <c r="B3" s="16" t="s">
        <v>12</v>
      </c>
      <c r="C3" s="16" t="s">
        <v>134</v>
      </c>
      <c r="D3" s="17" t="str">
        <f>Industrie!C78</f>
        <v xml:space="preserve">Le secteur engage des travaux d’électrification, notamment via l’installation de pompes à chaleur (pour les basses températures), de chaudières électriques (par exemple pour la chimie ou l’agroalimentaire pour produire de la chaleur) ou encore de fours électriques (notamment pour la métallurgie et le verre). </v>
      </c>
      <c r="E3" s="164"/>
      <c r="F3" s="164"/>
      <c r="G3" s="164"/>
      <c r="H3" s="164"/>
      <c r="I3" s="164"/>
      <c r="J3" s="164"/>
      <c r="K3" s="164"/>
      <c r="L3" s="164"/>
      <c r="M3" s="164"/>
      <c r="N3" s="164"/>
      <c r="O3" s="164"/>
      <c r="P3" s="164"/>
      <c r="Q3" s="164"/>
    </row>
    <row r="4" spans="1:17" ht="34.799999999999997" customHeight="1">
      <c r="A4" s="164"/>
      <c r="B4" s="16" t="s">
        <v>12</v>
      </c>
      <c r="C4" s="16" t="s">
        <v>134</v>
      </c>
      <c r="D4" s="359" t="str">
        <f>Industrie!C79</f>
        <v>La part de l’électricité dans le mix énergétique de l’industrie augmente ainsi de 36 % en 2023 à 45 % en 2030 et 58 % en 2050.</v>
      </c>
      <c r="E4" s="164"/>
      <c r="F4" s="164"/>
      <c r="G4" s="164"/>
      <c r="H4" s="164"/>
      <c r="I4" s="164"/>
      <c r="J4" s="164"/>
      <c r="K4" s="164"/>
      <c r="L4" s="164"/>
      <c r="M4" s="164"/>
      <c r="N4" s="164"/>
      <c r="O4" s="164"/>
      <c r="P4" s="164"/>
      <c r="Q4" s="164"/>
    </row>
    <row r="5" spans="1:17" ht="49.2" customHeight="1">
      <c r="A5" s="164"/>
      <c r="B5" s="16" t="s">
        <v>17</v>
      </c>
      <c r="C5" s="16" t="s">
        <v>135</v>
      </c>
      <c r="D5" s="359" t="str">
        <f>Industrie!C80</f>
        <v>Atteindre l'objectif du projet de la PPE 3 d'environ 10 TWh de chaleur produite par des CSR en 2030, en substitution du charbon, des produits pétroliers et du gaz fossile</v>
      </c>
      <c r="E5" s="164"/>
      <c r="F5" s="164"/>
      <c r="G5" s="164"/>
      <c r="H5" s="164"/>
      <c r="I5" s="164"/>
      <c r="J5" s="164"/>
      <c r="K5" s="164"/>
      <c r="L5" s="164"/>
      <c r="M5" s="164"/>
      <c r="N5" s="164"/>
      <c r="O5" s="164"/>
      <c r="P5" s="164"/>
      <c r="Q5" s="164"/>
    </row>
    <row r="6" spans="1:17" ht="73.8" customHeight="1">
      <c r="A6" s="164"/>
      <c r="B6" s="16" t="s">
        <v>12</v>
      </c>
      <c r="C6" s="16" t="s">
        <v>135</v>
      </c>
      <c r="D6" s="359" t="str">
        <f>Industrie!C81</f>
        <v>Augmenter significativement la consommation de biomasse solide par rapport à 2023, en substitution du charbon, des produits pétroliers et du gaz fossile, pour les usages industriels en cohérence avec la hiérarchisation des usages de la biomasse (pour les usages hautes températures, difficiles à électrifier)</v>
      </c>
      <c r="E6" s="164"/>
      <c r="F6" s="164"/>
      <c r="G6" s="164"/>
      <c r="H6" s="164"/>
      <c r="I6" s="164"/>
      <c r="J6" s="164"/>
      <c r="K6" s="164"/>
      <c r="L6" s="164"/>
      <c r="M6" s="164"/>
      <c r="N6" s="164"/>
      <c r="O6" s="164"/>
      <c r="P6" s="164"/>
      <c r="Q6" s="164"/>
    </row>
    <row r="7" spans="1:17" ht="62.4" customHeight="1">
      <c r="A7" s="164"/>
      <c r="B7" s="16" t="s">
        <v>12</v>
      </c>
      <c r="C7" s="16" t="s">
        <v>546</v>
      </c>
      <c r="D7" s="359" t="str">
        <f>Industrie!C82</f>
        <v>Atteindre environ 5 TWh de consommation (énergétique et non énergétique) d’H2 électrolytique à horizon 2030 dans l’industrie, et environ 20 TWh à horizon 2050.</v>
      </c>
      <c r="E7" s="164"/>
      <c r="F7" s="164"/>
      <c r="G7" s="164"/>
      <c r="H7" s="164"/>
      <c r="I7" s="164"/>
      <c r="J7" s="164"/>
      <c r="K7" s="164"/>
      <c r="L7" s="164"/>
      <c r="M7" s="164"/>
      <c r="N7" s="164"/>
      <c r="O7" s="164"/>
      <c r="P7" s="164"/>
      <c r="Q7" s="164"/>
    </row>
    <row r="8" spans="1:17" ht="31.2" customHeight="1">
      <c r="A8" s="164"/>
      <c r="B8" s="16" t="s">
        <v>12</v>
      </c>
      <c r="C8" s="16" t="s">
        <v>546</v>
      </c>
      <c r="D8" s="359" t="str">
        <f>Industrie!C83</f>
        <v xml:space="preserve">Atteindre 6 Mt d'acier produit par réduction directe du minerai de fer (DRI) en 2050. </v>
      </c>
      <c r="E8" s="164"/>
      <c r="F8" s="164"/>
      <c r="G8" s="164"/>
      <c r="H8" s="164"/>
      <c r="I8" s="164"/>
      <c r="J8" s="164"/>
      <c r="K8" s="164"/>
      <c r="L8" s="164"/>
      <c r="M8" s="164"/>
      <c r="N8" s="164"/>
      <c r="O8" s="164"/>
      <c r="P8" s="164"/>
      <c r="Q8" s="164"/>
    </row>
    <row r="9" spans="1:17" ht="104.4" customHeight="1">
      <c r="A9" s="164"/>
      <c r="B9" s="16" t="s">
        <v>12</v>
      </c>
      <c r="C9" s="16" t="s">
        <v>546</v>
      </c>
      <c r="D9" s="359" t="str">
        <f>Industrie!C84</f>
        <v xml:space="preserve">L’hydrogène décarboné produit par électrolyse de l’eau est utilisé en substitution d’intrants matières fossiles et en substitution d’énergies fossiles, lorsqu’aucune alternative n’est possible. Dans la chimie, il est progressivement utilisé en substitution de l’hydrogène produit par vaporeformage du méthane (notamment dans les secteurs de l’ammoniac et de la pétrochimie). </v>
      </c>
      <c r="E9" s="164"/>
      <c r="F9" s="164"/>
      <c r="G9" s="164"/>
      <c r="H9" s="164"/>
      <c r="I9" s="164"/>
      <c r="J9" s="164"/>
      <c r="K9" s="164"/>
      <c r="L9" s="164"/>
      <c r="M9" s="164"/>
      <c r="N9" s="164"/>
      <c r="O9" s="164"/>
      <c r="P9" s="164"/>
      <c r="Q9" s="164"/>
    </row>
    <row r="10" spans="1:17" ht="54" customHeight="1">
      <c r="A10" s="164"/>
      <c r="B10" s="16" t="s">
        <v>12</v>
      </c>
      <c r="C10" s="16" t="s">
        <v>136</v>
      </c>
      <c r="D10" s="17" t="str">
        <f>Industrie!C85</f>
        <v xml:space="preserve">La quasi-totalité de la chaleur fatale est réutilisée sur site, par exemple pour le préchauffage, et ensuite pour alimenter des réseaux de chaleurs industriels ou résidentiels. </v>
      </c>
      <c r="E10" s="164"/>
      <c r="F10" s="164"/>
      <c r="G10" s="164"/>
      <c r="H10" s="164"/>
      <c r="I10" s="164"/>
      <c r="J10" s="164"/>
      <c r="K10" s="164"/>
      <c r="L10" s="164"/>
      <c r="M10" s="164"/>
      <c r="N10" s="164"/>
      <c r="O10" s="164"/>
      <c r="P10" s="164"/>
      <c r="Q10" s="164"/>
    </row>
    <row r="11" spans="1:17" ht="70.2" customHeight="1">
      <c r="A11" s="164"/>
      <c r="B11" s="16" t="s">
        <v>12</v>
      </c>
      <c r="C11" s="16" t="s">
        <v>136</v>
      </c>
      <c r="D11" s="17" t="str">
        <f>Industrie!C86</f>
        <v>Les gains d’efficacité énergétique déjà réalisés ces dernières années se poursuivent. Ils sont très variables selon les secteurs industriels et atteignent en moyenne 8 % de gain en 2030 par branche industrielle par rapport à 2023, et 19 % en 2050</v>
      </c>
      <c r="E11" s="164"/>
      <c r="F11" s="164"/>
      <c r="G11" s="164"/>
      <c r="H11" s="164"/>
      <c r="I11" s="164"/>
      <c r="J11" s="164"/>
      <c r="K11" s="164"/>
      <c r="L11" s="164"/>
      <c r="M11" s="164"/>
      <c r="N11" s="164"/>
      <c r="O11" s="164"/>
      <c r="P11" s="164"/>
      <c r="Q11" s="164"/>
    </row>
    <row r="12" spans="1:17" ht="77.400000000000006" customHeight="1">
      <c r="A12" s="164"/>
      <c r="B12" s="16" t="s">
        <v>12</v>
      </c>
      <c r="C12" s="16" t="s">
        <v>137</v>
      </c>
      <c r="D12" s="17" t="str">
        <f>Industrie!C87</f>
        <v xml:space="preserve">L’industrie poursuit ses efforts en matière d’abattement des gaz fluorés (notamment dans l’agroalimentaire) et de protoxyde d’azote (notamment dans la chimie) en adaptant ses procédés de production (par exemple, l’utilisation de fluides frigorigènes non fluorés ou en utilisant des catalyseurs pour le N2O). </v>
      </c>
      <c r="E12" s="164"/>
      <c r="F12" s="164"/>
      <c r="G12" s="164"/>
      <c r="H12" s="164"/>
      <c r="I12" s="164"/>
      <c r="J12" s="164"/>
      <c r="K12" s="164"/>
      <c r="L12" s="164"/>
      <c r="M12" s="164"/>
      <c r="N12" s="164"/>
      <c r="O12" s="164"/>
      <c r="P12" s="164"/>
      <c r="Q12" s="164"/>
    </row>
    <row r="13" spans="1:17" ht="57" customHeight="1">
      <c r="A13" s="164"/>
      <c r="B13" s="16" t="s">
        <v>12</v>
      </c>
      <c r="C13" s="16" t="s">
        <v>138</v>
      </c>
      <c r="D13" s="17" t="str">
        <f>Industrie!C88</f>
        <v xml:space="preserve">Les taux d'incorporation de matières premières recyclées dans les secteurs de l’acier, de l’aluminium, de la pétrochimie, du verre et du papier augmentent en moyenne de 13 points de pourcentage par branche en 2030 et de 19 points en 2050 (par rapport à 2021). </v>
      </c>
      <c r="E13" s="164"/>
      <c r="F13" s="164"/>
      <c r="G13" s="164"/>
      <c r="H13" s="164"/>
      <c r="I13" s="164"/>
      <c r="J13" s="164"/>
      <c r="K13" s="164"/>
      <c r="L13" s="164"/>
      <c r="M13" s="164"/>
      <c r="N13" s="164"/>
      <c r="O13" s="164"/>
      <c r="P13" s="164"/>
      <c r="Q13" s="164"/>
    </row>
    <row r="14" spans="1:17" ht="38.4" customHeight="1">
      <c r="A14" s="164"/>
      <c r="B14" s="16" t="s">
        <v>12</v>
      </c>
      <c r="C14" s="16" t="s">
        <v>138</v>
      </c>
      <c r="D14" s="17" t="str">
        <f>Industrie!C89</f>
        <v>Le taux de clinker par tonne de ciment produit est réduit de 5 % de 2019 à 2030 et de 9 % à horizon 2050.</v>
      </c>
      <c r="E14" s="164"/>
      <c r="F14" s="164"/>
      <c r="G14" s="164"/>
      <c r="H14" s="164"/>
      <c r="I14" s="164"/>
      <c r="J14" s="164"/>
      <c r="K14" s="164"/>
      <c r="L14" s="164"/>
      <c r="M14" s="164"/>
      <c r="N14" s="164"/>
      <c r="O14" s="164"/>
      <c r="P14" s="164"/>
      <c r="Q14" s="164"/>
    </row>
    <row r="15" spans="1:17" ht="91.8" customHeight="1">
      <c r="A15" s="164"/>
      <c r="B15" s="16" t="s">
        <v>12</v>
      </c>
      <c r="C15" s="16" t="s">
        <v>138</v>
      </c>
      <c r="D15" s="359" t="str">
        <f>Industrie!C90</f>
        <v xml:space="preserve">Taux d'incorporation des matières recyclées en 2030 : 
Sidérurgie : 54 % 
Aluminium : 60 %
Plastique : 35 %
Verre : 77 % 
Papier-pâtes : 78 % </v>
      </c>
      <c r="E15" s="164"/>
      <c r="F15" s="164"/>
      <c r="G15" s="164"/>
      <c r="H15" s="164"/>
      <c r="I15" s="164"/>
      <c r="J15" s="164"/>
      <c r="K15" s="164"/>
      <c r="L15" s="164"/>
      <c r="M15" s="164"/>
      <c r="N15" s="164"/>
      <c r="O15" s="164"/>
      <c r="P15" s="164"/>
      <c r="Q15" s="164"/>
    </row>
    <row r="16" spans="1:17" ht="92.4" customHeight="1">
      <c r="A16" s="164"/>
      <c r="B16" s="16" t="s">
        <v>12</v>
      </c>
      <c r="C16" s="16" t="s">
        <v>138</v>
      </c>
      <c r="D16" s="359" t="str">
        <f>Industrie!C91</f>
        <v xml:space="preserve">Taux d'incorporation des matières recyclées en 2050 : 
Sidérurgie : 60 % 
Aluminium : 70 %
Plastique : 35 %
Verre : 85 % 
Papier-pâtes : 87 % </v>
      </c>
      <c r="E16" s="164"/>
      <c r="F16" s="164"/>
      <c r="G16" s="164"/>
      <c r="H16" s="164"/>
      <c r="I16" s="164"/>
      <c r="J16" s="164"/>
      <c r="K16" s="164"/>
      <c r="L16" s="164"/>
      <c r="M16" s="164"/>
      <c r="N16" s="164"/>
      <c r="O16" s="164"/>
      <c r="P16" s="164"/>
      <c r="Q16" s="164"/>
    </row>
    <row r="17" spans="1:17" ht="51.6" customHeight="1">
      <c r="A17" s="164"/>
      <c r="B17" s="16" t="s">
        <v>12</v>
      </c>
      <c r="C17" s="16" t="s">
        <v>139</v>
      </c>
      <c r="D17" s="17" t="str">
        <f>Industrie!C92</f>
        <v>Capter 4 à 8 Mt CO2e par an dans l’industrie à horizon 2030.
Capter entre 20 et 30 Mt CO2e par an dans l’industrie à horizon 2050, dont environ 60 % d’origine biogénique.</v>
      </c>
      <c r="E17" s="164"/>
      <c r="F17" s="164"/>
      <c r="G17" s="164"/>
      <c r="H17" s="164"/>
      <c r="I17" s="164"/>
      <c r="J17" s="164"/>
      <c r="K17" s="164"/>
      <c r="L17" s="164"/>
      <c r="M17" s="164"/>
      <c r="N17" s="164"/>
      <c r="O17" s="164"/>
      <c r="P17" s="164"/>
      <c r="Q17" s="164"/>
    </row>
    <row r="18" spans="1:17" ht="30.6" customHeight="1">
      <c r="A18" s="164"/>
      <c r="B18" s="16" t="s">
        <v>570</v>
      </c>
      <c r="C18" s="16" t="s">
        <v>140</v>
      </c>
      <c r="D18" s="17" t="str">
        <f>Bâtiment!C97</f>
        <v xml:space="preserve">Eradiquer les passoires thermiques à l'horizon 2035-2040 </v>
      </c>
      <c r="E18" s="164"/>
      <c r="F18" s="164"/>
      <c r="G18" s="164"/>
      <c r="H18" s="164"/>
      <c r="I18" s="164"/>
      <c r="J18" s="164"/>
      <c r="K18" s="164"/>
      <c r="L18" s="164"/>
      <c r="M18" s="164"/>
      <c r="N18" s="164"/>
      <c r="O18" s="164"/>
      <c r="P18" s="164"/>
      <c r="Q18" s="164"/>
    </row>
    <row r="19" spans="1:17" ht="30.6" customHeight="1">
      <c r="A19" s="164"/>
      <c r="B19" s="16" t="s">
        <v>570</v>
      </c>
      <c r="C19" s="16" t="s">
        <v>576</v>
      </c>
      <c r="D19" s="361" t="str">
        <f>Bâtiment!C98</f>
        <v xml:space="preserve">Les logements possédant un DPE A ou B représentent 63 % du parc en 2050 (89 % avec les DPE C) . </v>
      </c>
      <c r="E19" s="164"/>
      <c r="F19" s="164"/>
      <c r="G19" s="164"/>
      <c r="H19" s="164"/>
      <c r="I19" s="164"/>
      <c r="J19" s="164"/>
      <c r="K19" s="164"/>
      <c r="L19" s="164"/>
      <c r="M19" s="164"/>
      <c r="N19" s="164"/>
      <c r="O19" s="164"/>
      <c r="P19" s="164"/>
      <c r="Q19" s="164"/>
    </row>
    <row r="20" spans="1:17" ht="59.4" customHeight="1">
      <c r="A20" s="164"/>
      <c r="B20" s="16" t="s">
        <v>570</v>
      </c>
      <c r="C20" s="16" t="s">
        <v>532</v>
      </c>
      <c r="D20" s="359" t="str">
        <f>Bâtiment!C99</f>
        <v xml:space="preserve">Installer massivement des pompes à chaleur dans les logements (environ 9 millions de PAC dans le parc en 2030 -  1 million d’installations annuelles en 2030 ; poursuite de la dynamique jusqu’en 2050). </v>
      </c>
      <c r="E20" s="164"/>
      <c r="F20" s="164"/>
      <c r="G20" s="164"/>
      <c r="H20" s="164"/>
      <c r="I20" s="164"/>
      <c r="J20" s="164"/>
      <c r="K20" s="164"/>
      <c r="L20" s="164"/>
      <c r="M20" s="164"/>
      <c r="N20" s="164"/>
      <c r="O20" s="164"/>
      <c r="P20" s="164"/>
      <c r="Q20" s="164"/>
    </row>
    <row r="21" spans="1:17" ht="48.6" customHeight="1">
      <c r="A21" s="164"/>
      <c r="B21" s="16" t="s">
        <v>570</v>
      </c>
      <c r="C21" s="16" t="s">
        <v>141</v>
      </c>
      <c r="D21" s="17" t="str">
        <f>Bâtiment!C100</f>
        <v>Diminuer d’au moins 60 % le parc de chaudières fioul dans les logements entre 2023 et 2030 (environ 250 000 foyers par an en moyenne) puis sortir des chaudières fioul.</v>
      </c>
      <c r="E21" s="164"/>
      <c r="F21" s="164"/>
      <c r="G21" s="164"/>
      <c r="H21" s="164"/>
      <c r="I21" s="164"/>
      <c r="J21" s="164"/>
      <c r="K21" s="164"/>
      <c r="L21" s="164"/>
      <c r="M21" s="164"/>
      <c r="N21" s="164"/>
      <c r="O21" s="164"/>
      <c r="P21" s="164"/>
      <c r="Q21" s="164"/>
    </row>
    <row r="22" spans="1:17" ht="60.6" customHeight="1">
      <c r="A22" s="164"/>
      <c r="B22" s="16" t="s">
        <v>570</v>
      </c>
      <c r="C22" s="16" t="s">
        <v>141</v>
      </c>
      <c r="D22" s="17" t="str">
        <f>Bâtiment!C101</f>
        <v>Diminuer d’au moins 20 % le parc de chaudières gaz dans les logements entre 2023 et 2030 (environ 350 000 foyers par an en moyenne), et remplacer la majorité des chaudières à gaz d’ici 2050 par des solutions décarbonées.</v>
      </c>
      <c r="E22" s="164"/>
      <c r="F22" s="164"/>
      <c r="G22" s="164"/>
      <c r="H22" s="164"/>
      <c r="I22" s="164"/>
      <c r="J22" s="164"/>
      <c r="K22" s="164"/>
      <c r="L22" s="164"/>
      <c r="M22" s="164"/>
      <c r="N22" s="164"/>
      <c r="O22" s="164"/>
      <c r="P22" s="164"/>
      <c r="Q22" s="164"/>
    </row>
    <row r="23" spans="1:17" ht="50.4" customHeight="1">
      <c r="A23" s="164"/>
      <c r="B23" s="16" t="s">
        <v>570</v>
      </c>
      <c r="C23" s="16" t="s">
        <v>607</v>
      </c>
      <c r="D23" s="368" t="str">
        <f>Bâtiment!C102</f>
        <v xml:space="preserve">Respect du règlement européen gaz F </v>
      </c>
      <c r="E23" s="164"/>
      <c r="F23" s="164"/>
      <c r="G23" s="164"/>
      <c r="H23" s="164"/>
      <c r="I23" s="164"/>
      <c r="J23" s="164"/>
      <c r="K23" s="164"/>
      <c r="L23" s="164"/>
      <c r="M23" s="164"/>
      <c r="N23" s="164"/>
      <c r="O23" s="164"/>
      <c r="P23" s="164"/>
      <c r="Q23" s="164"/>
    </row>
    <row r="24" spans="1:17" ht="40.799999999999997" customHeight="1">
      <c r="A24" s="164"/>
      <c r="B24" s="16" t="s">
        <v>570</v>
      </c>
      <c r="C24" s="16" t="s">
        <v>533</v>
      </c>
      <c r="D24" s="359" t="str">
        <f>Bâtiment!C103</f>
        <v>Atteindre 5,8 millions de logements raccordés en 2035 (325 000 raccordements par an en moyenne entre 2023 et 2030).</v>
      </c>
      <c r="E24" s="164"/>
      <c r="F24" s="164"/>
      <c r="G24" s="164"/>
      <c r="H24" s="164"/>
      <c r="I24" s="164"/>
      <c r="J24" s="164"/>
      <c r="K24" s="164"/>
      <c r="L24" s="164"/>
      <c r="M24" s="164"/>
      <c r="N24" s="164"/>
      <c r="O24" s="164"/>
      <c r="P24" s="164"/>
      <c r="Q24" s="164"/>
    </row>
    <row r="25" spans="1:17" ht="28.8">
      <c r="A25" s="164"/>
      <c r="B25" s="16" t="s">
        <v>570</v>
      </c>
      <c r="C25" s="16" t="s">
        <v>142</v>
      </c>
      <c r="D25" s="17" t="str">
        <f>Bâtiment!C104</f>
        <v>Réduire de 32 % la consommation finale d'énergie du secteur résidentiel entre 2050 et 2023 (hors chaleur environnement)</v>
      </c>
      <c r="E25" s="164"/>
      <c r="F25" s="164"/>
      <c r="G25" s="164"/>
      <c r="H25" s="164"/>
      <c r="I25" s="164"/>
      <c r="J25" s="164"/>
      <c r="K25" s="164"/>
      <c r="L25" s="164"/>
      <c r="M25" s="164"/>
      <c r="N25" s="164"/>
      <c r="O25" s="164"/>
      <c r="P25" s="164"/>
      <c r="Q25" s="164"/>
    </row>
    <row r="26" spans="1:17" ht="55.2" customHeight="1">
      <c r="A26" s="164"/>
      <c r="B26" s="16" t="s">
        <v>571</v>
      </c>
      <c r="C26" s="16" t="s">
        <v>143</v>
      </c>
      <c r="D26" s="17" t="str">
        <f>Bâtiment!C109</f>
        <v xml:space="preserve">Réduction de 40 % de la consommation d'énergie finale du bâtiment tertiaire en 2030 par rapport à une année de référence fixée entre 2010 et 2019 (décret tertiaire). 
Réduction de 50 % en 2040 et 60 % en 2050 </v>
      </c>
      <c r="E26" s="164"/>
      <c r="F26" s="164"/>
      <c r="G26" s="164"/>
      <c r="H26" s="164"/>
      <c r="I26" s="164"/>
      <c r="J26" s="164"/>
      <c r="K26" s="164"/>
      <c r="L26" s="164"/>
      <c r="M26" s="164"/>
      <c r="N26" s="164"/>
      <c r="O26" s="164"/>
      <c r="P26" s="164"/>
      <c r="Q26" s="164"/>
    </row>
    <row r="27" spans="1:17" ht="50.4" customHeight="1">
      <c r="A27" s="164"/>
      <c r="B27" s="16" t="s">
        <v>571</v>
      </c>
      <c r="C27" s="16" t="s">
        <v>190</v>
      </c>
      <c r="D27" s="17" t="str">
        <f>Bâtiment!C110</f>
        <v xml:space="preserve">Diminuer de 85 % des surfaces tertiaires chauffées au fioul entre 2020 et 2030. </v>
      </c>
      <c r="E27" s="164"/>
      <c r="F27" s="164"/>
      <c r="G27" s="164"/>
      <c r="H27" s="164"/>
      <c r="I27" s="164"/>
      <c r="J27" s="164"/>
      <c r="K27" s="164"/>
      <c r="L27" s="164"/>
      <c r="M27" s="164"/>
      <c r="N27" s="164"/>
      <c r="O27" s="164"/>
      <c r="P27" s="164"/>
      <c r="Q27" s="164"/>
    </row>
    <row r="28" spans="1:17" ht="82.8" customHeight="1">
      <c r="A28" s="164"/>
      <c r="B28" s="16" t="s">
        <v>571</v>
      </c>
      <c r="C28" s="16" t="s">
        <v>190</v>
      </c>
      <c r="D28" s="17" t="str">
        <f>Bâtiment!C111</f>
        <v>Baisse de 30 % de la consommation de gaz du tertiaire en 2030 vs 2019 (décret tertiaire) : 2 % du parc quitte le gaz chaque année, conduisant à environ 38 % du parc chauffé au gaz en 2030 versus 46 % en 2020. Les surfaces chauffées au gaz baissent de 85 % entre 2020 et 2050 et ne représentent plus que 7 % du parc en 2050.</v>
      </c>
      <c r="E28" s="164"/>
      <c r="F28" s="164"/>
      <c r="G28" s="164"/>
      <c r="H28" s="164"/>
      <c r="I28" s="164"/>
      <c r="J28" s="164"/>
      <c r="K28" s="164"/>
      <c r="L28" s="164"/>
      <c r="M28" s="164"/>
      <c r="N28" s="164"/>
      <c r="O28" s="164"/>
      <c r="P28" s="164"/>
      <c r="Q28" s="164"/>
    </row>
    <row r="29" spans="1:17" ht="46.95" customHeight="1">
      <c r="A29" s="164"/>
      <c r="B29" s="16" t="s">
        <v>571</v>
      </c>
      <c r="C29" s="16" t="s">
        <v>190</v>
      </c>
      <c r="D29" s="359" t="str">
        <f>Bâtiment!C112</f>
        <v xml:space="preserve">Diminuer de 17 % des surfaces tertiaires chauffées au gaz entre 2020 et 2030 et de 85 % entre 2020 et 2050. </v>
      </c>
      <c r="E29" s="164"/>
      <c r="F29" s="164"/>
      <c r="G29" s="164"/>
      <c r="H29" s="164"/>
      <c r="I29" s="164"/>
      <c r="J29" s="164"/>
      <c r="K29" s="164"/>
      <c r="L29" s="164"/>
      <c r="M29" s="164"/>
      <c r="N29" s="164"/>
      <c r="O29" s="164"/>
      <c r="P29" s="164"/>
      <c r="Q29" s="164"/>
    </row>
    <row r="30" spans="1:17" ht="51.6" customHeight="1">
      <c r="A30" s="164"/>
      <c r="B30" s="16" t="s">
        <v>571</v>
      </c>
      <c r="C30" s="16" t="s">
        <v>144</v>
      </c>
      <c r="D30" s="17" t="str">
        <f>Bâtiment!C113</f>
        <v>La part de surfaces tertiaires chauffées par des convecteurs électriques diminue fortement, remplacées par des pompes à chaleur air/air plus performantes.</v>
      </c>
      <c r="E30" s="164"/>
      <c r="F30" s="164"/>
      <c r="G30" s="164"/>
      <c r="H30" s="164"/>
      <c r="I30" s="164"/>
      <c r="J30" s="164"/>
      <c r="K30" s="164"/>
      <c r="L30" s="164"/>
      <c r="M30" s="164"/>
      <c r="N30" s="164"/>
      <c r="O30" s="164"/>
      <c r="P30" s="164"/>
      <c r="Q30" s="164"/>
    </row>
    <row r="31" spans="1:17" ht="67.8" customHeight="1">
      <c r="A31" s="164"/>
      <c r="B31" s="16" t="s">
        <v>571</v>
      </c>
      <c r="C31" s="16" t="s">
        <v>144</v>
      </c>
      <c r="D31" s="361" t="str">
        <f>Bâtiment!C114</f>
        <v xml:space="preserve">Déploiement de pompes à chaleur (23 % du parc en 2030 et 54 % en 2050), raccordement des surfaces au réseau de chaleur (19 % du parc en 2030 et 24 % en 2050), ainsi qu’une augmentation modérée des chaudières biomasse.  </v>
      </c>
      <c r="E31" s="164"/>
      <c r="F31" s="164"/>
      <c r="G31" s="164"/>
      <c r="H31" s="164"/>
      <c r="I31" s="164"/>
      <c r="J31" s="164"/>
      <c r="K31" s="164"/>
      <c r="L31" s="164"/>
      <c r="M31" s="164"/>
      <c r="N31" s="164"/>
      <c r="O31" s="164"/>
      <c r="P31" s="164"/>
      <c r="Q31" s="164"/>
    </row>
    <row r="32" spans="1:17" ht="49.95" customHeight="1">
      <c r="A32" s="164"/>
      <c r="B32" s="16" t="s">
        <v>571</v>
      </c>
      <c r="C32" s="16" t="s">
        <v>607</v>
      </c>
      <c r="D32" s="368" t="str">
        <f>Bâtiment!C115</f>
        <v xml:space="preserve">Respect du règlement européen gaz F </v>
      </c>
      <c r="E32" s="164"/>
      <c r="F32" s="164"/>
      <c r="G32" s="164"/>
      <c r="H32" s="164"/>
      <c r="I32" s="164"/>
      <c r="J32" s="164"/>
      <c r="K32" s="164"/>
      <c r="L32" s="164"/>
      <c r="M32" s="164"/>
      <c r="N32" s="164"/>
      <c r="O32" s="164"/>
      <c r="P32" s="164"/>
      <c r="Q32" s="164"/>
    </row>
    <row r="33" spans="1:17" ht="49.95" customHeight="1">
      <c r="A33" s="164"/>
      <c r="B33" s="16" t="s">
        <v>571</v>
      </c>
      <c r="C33" s="16" t="s">
        <v>142</v>
      </c>
      <c r="D33" s="359" t="str">
        <f>Bâtiment!C116</f>
        <v>Réduire de 10 % la consommation finale d'énergie du secteur tertiaire entre 2050 et 2023 (hors chaleur environnement)</v>
      </c>
      <c r="E33" s="164"/>
      <c r="F33" s="164"/>
      <c r="G33" s="164"/>
      <c r="H33" s="164"/>
      <c r="I33" s="164"/>
      <c r="J33" s="164"/>
      <c r="K33" s="164"/>
      <c r="L33" s="164"/>
      <c r="M33" s="164"/>
      <c r="N33" s="164"/>
      <c r="O33" s="164"/>
      <c r="P33" s="164"/>
      <c r="Q33" s="164"/>
    </row>
    <row r="34" spans="1:17" ht="57" customHeight="1">
      <c r="A34" s="164"/>
      <c r="B34" s="16" t="s">
        <v>145</v>
      </c>
      <c r="C34" s="16" t="s">
        <v>146</v>
      </c>
      <c r="D34" s="17" t="str">
        <f>Transport!C94</f>
        <v xml:space="preserve">Augmentation moyenne du trafic des transports en commun de 25 % d’ici 2030 (25 % pour les bus et cars, et 25 % pour les trains) et de 55 % d’ici 2050. </v>
      </c>
      <c r="E34" s="164"/>
      <c r="F34" s="164"/>
      <c r="G34" s="164"/>
      <c r="H34" s="164"/>
      <c r="I34" s="164"/>
      <c r="J34" s="164"/>
      <c r="K34" s="164"/>
      <c r="L34" s="164"/>
      <c r="M34" s="164"/>
      <c r="N34" s="164"/>
      <c r="O34" s="164"/>
      <c r="P34" s="164"/>
      <c r="Q34" s="164"/>
    </row>
    <row r="35" spans="1:17" ht="72" customHeight="1">
      <c r="A35" s="164"/>
      <c r="B35" s="16" t="s">
        <v>145</v>
      </c>
      <c r="C35" s="16" t="s">
        <v>147</v>
      </c>
      <c r="D35" s="359" t="str">
        <f>Transport!C95</f>
        <v xml:space="preserve"> Forte augmentation de l’usage du vélo (de 5,5 à 19 Mds voy-km de 2019 à 2030 ; multiplication par 8 d’ici à 2050).
Développement des infrastructures cyclables afin de doubler le réseau d’ici 2030 pour le porter à 100 000 kilomètres.</v>
      </c>
      <c r="E35" s="164"/>
      <c r="F35" s="164"/>
      <c r="G35" s="164"/>
      <c r="H35" s="164"/>
      <c r="I35" s="164"/>
      <c r="J35" s="164"/>
      <c r="K35" s="164"/>
      <c r="L35" s="164"/>
      <c r="M35" s="164"/>
      <c r="N35" s="164"/>
      <c r="O35" s="164"/>
      <c r="P35" s="164"/>
      <c r="Q35" s="164"/>
    </row>
    <row r="36" spans="1:17" ht="57" customHeight="1">
      <c r="A36" s="164"/>
      <c r="B36" s="16" t="s">
        <v>145</v>
      </c>
      <c r="C36" s="16" t="s">
        <v>148</v>
      </c>
      <c r="D36" s="359" t="str">
        <f>Transport!C96</f>
        <v>Triplement du nombre de trajets covoiturés en 2027 par rapport à 2019. Le nombre moyen de personnes par voiture passe de 1,43 à 1,51 d’ici 2030 pour les trajets courte distance.</v>
      </c>
      <c r="E36" s="164"/>
      <c r="F36" s="164"/>
      <c r="G36" s="164"/>
      <c r="H36" s="164"/>
      <c r="I36" s="164"/>
      <c r="J36" s="164"/>
      <c r="K36" s="164"/>
      <c r="L36" s="164"/>
      <c r="M36" s="164"/>
      <c r="N36" s="164"/>
      <c r="O36" s="164"/>
      <c r="P36" s="164"/>
      <c r="Q36" s="164"/>
    </row>
    <row r="37" spans="1:17" ht="57" customHeight="1">
      <c r="A37" s="164"/>
      <c r="B37" s="16" t="s">
        <v>145</v>
      </c>
      <c r="C37" s="16" t="s">
        <v>149</v>
      </c>
      <c r="D37" s="359" t="str">
        <f>Transport!C97</f>
        <v xml:space="preserve">66 % de véhicules électrifiés dans les ventes de véhicules particuliers neufs en 2030
100 % en 2050 </v>
      </c>
      <c r="E37" s="164"/>
      <c r="F37" s="164"/>
      <c r="G37" s="164"/>
      <c r="H37" s="164"/>
      <c r="I37" s="164"/>
      <c r="J37" s="164"/>
      <c r="K37" s="164"/>
      <c r="L37" s="164"/>
      <c r="M37" s="164"/>
      <c r="N37" s="164"/>
      <c r="O37" s="164"/>
      <c r="P37" s="164"/>
      <c r="Q37" s="164"/>
    </row>
    <row r="38" spans="1:17" ht="82.2" customHeight="1">
      <c r="A38" s="164"/>
      <c r="B38" s="16" t="s">
        <v>145</v>
      </c>
      <c r="C38" s="16" t="s">
        <v>149</v>
      </c>
      <c r="D38" s="359" t="str">
        <f>Transport!C98</f>
        <v>90 % des autobus, 30 % des autocars neufs vendus en 2030 sont électriques 
100 % des autobus vendus à partir de 2035 sont électriques 
A horizon 2050, 85 % des autocars neufs sont électriques et 5 % fonctionnent à l’hydrogène.</v>
      </c>
      <c r="E38" s="164"/>
      <c r="F38" s="164"/>
      <c r="G38" s="164"/>
      <c r="H38" s="164"/>
      <c r="I38" s="164"/>
      <c r="J38" s="164"/>
      <c r="K38" s="164"/>
      <c r="L38" s="164"/>
      <c r="M38" s="164"/>
      <c r="N38" s="164"/>
      <c r="O38" s="164"/>
      <c r="P38" s="164"/>
      <c r="Q38" s="164"/>
    </row>
    <row r="39" spans="1:17" ht="41.4" customHeight="1">
      <c r="A39" s="164"/>
      <c r="B39" s="16" t="s">
        <v>145</v>
      </c>
      <c r="C39" s="16" t="s">
        <v>149</v>
      </c>
      <c r="D39" s="335" t="str">
        <f>Transport!C99</f>
        <v>Objectif de développer environ 400 000 bornes publiques accessibles en 2030 (dont environ 50 000 en recharge rapide</v>
      </c>
      <c r="E39" s="164"/>
      <c r="F39" s="164"/>
      <c r="G39" s="164"/>
      <c r="H39" s="164"/>
      <c r="I39" s="164"/>
      <c r="J39" s="164"/>
      <c r="K39" s="164"/>
      <c r="L39" s="164"/>
      <c r="M39" s="164"/>
      <c r="N39" s="164"/>
      <c r="O39" s="164"/>
      <c r="P39" s="164"/>
      <c r="Q39" s="164"/>
    </row>
    <row r="40" spans="1:17" ht="86.4" customHeight="1">
      <c r="A40" s="164"/>
      <c r="B40" s="16" t="s">
        <v>145</v>
      </c>
      <c r="C40" s="16" t="s">
        <v>149</v>
      </c>
      <c r="D40" s="18" t="str">
        <f>Transport!C100</f>
        <v xml:space="preserve">Parc roulant électrique en 2030  : 
VP : 15 %, autobus 33 %, autocar 5 % 
En 2050 : 
VP : 100 %, autobus 99 %, autocar 78 % </v>
      </c>
      <c r="E40" s="164"/>
      <c r="F40" s="164"/>
      <c r="G40" s="164"/>
      <c r="H40" s="164"/>
      <c r="I40" s="164"/>
      <c r="J40" s="164"/>
      <c r="K40" s="164"/>
      <c r="L40" s="164"/>
      <c r="M40" s="164"/>
      <c r="N40" s="164"/>
      <c r="O40" s="164"/>
      <c r="P40" s="164"/>
      <c r="Q40" s="164"/>
    </row>
    <row r="41" spans="1:17" ht="48" customHeight="1">
      <c r="A41" s="164"/>
      <c r="B41" s="16" t="s">
        <v>145</v>
      </c>
      <c r="C41" s="16" t="s">
        <v>150</v>
      </c>
      <c r="D41" s="17" t="str">
        <f>Transport!C101</f>
        <v>La consommation moyenne des voitures particulières thermiques neuves diminue de 9 % d’ici 2030 par rapport à 2023</v>
      </c>
      <c r="E41" s="164"/>
      <c r="F41" s="164"/>
      <c r="G41" s="164"/>
      <c r="H41" s="164"/>
      <c r="I41" s="164"/>
      <c r="J41" s="164"/>
      <c r="K41" s="164"/>
      <c r="L41" s="164"/>
      <c r="M41" s="164"/>
      <c r="N41" s="164"/>
      <c r="O41" s="164"/>
      <c r="P41" s="164"/>
      <c r="Q41" s="164"/>
    </row>
    <row r="42" spans="1:17" ht="44.4" customHeight="1">
      <c r="A42" s="164"/>
      <c r="B42" s="16" t="s">
        <v>145</v>
      </c>
      <c r="C42" s="16" t="s">
        <v>151</v>
      </c>
      <c r="D42" s="173" t="str">
        <f>Transport!C102</f>
        <v xml:space="preserve"> Baisse de la consommation unitaire (par passager-km) de 14 % d’ici 2030 par rapport à 2019 et de 33 % d'ici à 2050.</v>
      </c>
      <c r="E42" s="164"/>
      <c r="F42" s="164"/>
      <c r="G42" s="164"/>
      <c r="H42" s="164"/>
      <c r="I42" s="164"/>
      <c r="J42" s="164"/>
      <c r="K42" s="164"/>
      <c r="L42" s="164"/>
      <c r="M42" s="164"/>
      <c r="N42" s="164"/>
      <c r="O42" s="164"/>
      <c r="P42" s="164"/>
      <c r="Q42" s="164"/>
    </row>
    <row r="43" spans="1:17" ht="64.8" customHeight="1">
      <c r="A43" s="164"/>
      <c r="B43" s="16" t="s">
        <v>145</v>
      </c>
      <c r="C43" s="16" t="s">
        <v>151</v>
      </c>
      <c r="D43" s="173" t="str">
        <f>Transport!C103</f>
        <v xml:space="preserve">Le recours aux carburants alternatifs durables (incluant les biocarburants et les carburants de synthèse dont ceux élaborés à partir d'hydrogène bas-carbone) dans l’aérien croît à 6 % en 2030, 20 % en 2035 et 85 %  en 2050 </v>
      </c>
      <c r="E43" s="164"/>
      <c r="F43" s="164"/>
      <c r="G43" s="164"/>
      <c r="H43" s="164"/>
      <c r="I43" s="164"/>
      <c r="J43" s="164"/>
      <c r="K43" s="164"/>
      <c r="L43" s="164"/>
      <c r="M43" s="164"/>
      <c r="N43" s="164"/>
      <c r="O43" s="164"/>
      <c r="P43" s="164"/>
      <c r="Q43" s="164"/>
    </row>
    <row r="44" spans="1:17" ht="53.4" customHeight="1">
      <c r="A44" s="164"/>
      <c r="B44" s="16" t="s">
        <v>145</v>
      </c>
      <c r="C44" s="16" t="s">
        <v>151</v>
      </c>
      <c r="D44" s="173" t="str">
        <f>Transport!C104</f>
        <v xml:space="preserve">Maîtrise de la demande de transport aérien domestique :  baisse de 24 % sur les vols intérieurs hexagone entre 2030 et 2019, et de 38 % entre 2050 et 2019  </v>
      </c>
      <c r="E44" s="164"/>
      <c r="F44" s="164"/>
      <c r="G44" s="164"/>
      <c r="H44" s="164"/>
      <c r="I44" s="164"/>
      <c r="J44" s="164"/>
      <c r="K44" s="164"/>
      <c r="L44" s="164"/>
      <c r="M44" s="164"/>
      <c r="N44" s="164"/>
      <c r="O44" s="164"/>
      <c r="P44" s="164"/>
      <c r="Q44" s="164"/>
    </row>
    <row r="45" spans="1:17" ht="48" customHeight="1">
      <c r="A45" s="164"/>
      <c r="B45" s="16" t="s">
        <v>145</v>
      </c>
      <c r="C45" s="16" t="s">
        <v>151</v>
      </c>
      <c r="D45" s="173" t="str">
        <f>Transport!C105</f>
        <v>Maîtrise de la demande de transport aérien international : croissance de 17 % pour le trafic international entre 2030 et 2019, de 20 % entre 2050 et 2019</v>
      </c>
      <c r="E45" s="164"/>
      <c r="F45" s="164"/>
      <c r="G45" s="164"/>
      <c r="H45" s="164"/>
      <c r="I45" s="164"/>
      <c r="J45" s="164"/>
      <c r="K45" s="164"/>
      <c r="L45" s="164"/>
      <c r="M45" s="164"/>
      <c r="N45" s="164"/>
      <c r="O45" s="164"/>
      <c r="P45" s="164"/>
      <c r="Q45" s="164"/>
    </row>
    <row r="46" spans="1:17" ht="80.400000000000006" customHeight="1">
      <c r="A46" s="164"/>
      <c r="B46" s="16" t="s">
        <v>152</v>
      </c>
      <c r="C46" s="16" t="s">
        <v>153</v>
      </c>
      <c r="D46" s="17" t="str">
        <f>Transport!C111</f>
        <v>La part modale du fret ferroviaire double entre 2019 et 2030 pour atteindre 18 %, puis croit jusqu’à 25 % à horizon 2050, en accord avec la stratégie nationale pour le fret ferroviaire. 
La part modale du fluvial passe de 2 % actuellement à 3 % en 2030 et 4 % en 2050.</v>
      </c>
      <c r="E46" s="164"/>
      <c r="F46" s="164"/>
      <c r="G46" s="164"/>
      <c r="H46" s="164"/>
      <c r="I46" s="164"/>
      <c r="J46" s="164"/>
      <c r="K46" s="164"/>
      <c r="L46" s="164"/>
      <c r="M46" s="164"/>
      <c r="N46" s="164"/>
      <c r="O46" s="164"/>
      <c r="P46" s="164"/>
      <c r="Q46" s="164"/>
    </row>
    <row r="47" spans="1:17" ht="45" customHeight="1">
      <c r="A47" s="164"/>
      <c r="B47" s="16" t="s">
        <v>152</v>
      </c>
      <c r="C47" s="16" t="s">
        <v>154</v>
      </c>
      <c r="D47" s="17" t="str">
        <f>Transport!C112</f>
        <v xml:space="preserve">Le chargement moyen des camions passe de 8 tonnes en 2019 à 8, 3 tonnes d’ici 2030 et à 8,9 tonnes d'ici 2050 </v>
      </c>
      <c r="E47" s="164"/>
      <c r="F47" s="164"/>
      <c r="G47" s="164"/>
      <c r="H47" s="164"/>
      <c r="I47" s="164"/>
      <c r="J47" s="164"/>
      <c r="K47" s="164"/>
      <c r="L47" s="164"/>
      <c r="M47" s="164"/>
      <c r="N47" s="164"/>
      <c r="O47" s="164"/>
      <c r="P47" s="164"/>
      <c r="Q47" s="164"/>
    </row>
    <row r="48" spans="1:17" ht="58.95" customHeight="1">
      <c r="A48" s="164"/>
      <c r="B48" s="16" t="s">
        <v>152</v>
      </c>
      <c r="C48" s="16" t="s">
        <v>155</v>
      </c>
      <c r="D48" s="17" t="str">
        <f>Transport!C113</f>
        <v xml:space="preserve">Ventes électriques en 2030 : poids lourds 50 %, VUL 51 %
En 2050 : VUL 99 % (1 % hydrogène), poids lourds 85 % (5 % hydrogène) </v>
      </c>
      <c r="E48" s="164"/>
      <c r="F48" s="164"/>
      <c r="G48" s="164"/>
      <c r="H48" s="164"/>
      <c r="I48" s="164"/>
      <c r="J48" s="164"/>
      <c r="K48" s="164"/>
      <c r="L48" s="164"/>
      <c r="M48" s="164"/>
      <c r="N48" s="164"/>
      <c r="O48" s="164"/>
      <c r="P48" s="164"/>
      <c r="Q48" s="164"/>
    </row>
    <row r="49" spans="1:17" ht="55.8" customHeight="1">
      <c r="A49" s="164"/>
      <c r="B49" s="16" t="s">
        <v>152</v>
      </c>
      <c r="C49" s="16" t="s">
        <v>155</v>
      </c>
      <c r="D49" s="17" t="str">
        <f>Transport!C114</f>
        <v>Part de l'électrique dans le parc roulant en 2030 : poids lourds 10 %, VUL 12 % 
En 2050 : 99 % VUL, 78 % poids lourds</v>
      </c>
      <c r="E49" s="164"/>
      <c r="F49" s="164"/>
      <c r="G49" s="164"/>
      <c r="H49" s="164"/>
      <c r="I49" s="164"/>
      <c r="J49" s="164"/>
      <c r="K49" s="164"/>
      <c r="L49" s="164"/>
      <c r="M49" s="164"/>
      <c r="N49" s="164"/>
      <c r="O49" s="164"/>
      <c r="P49" s="164"/>
      <c r="Q49" s="164"/>
    </row>
    <row r="50" spans="1:17" s="387" customFormat="1" ht="80.400000000000006" customHeight="1">
      <c r="A50" s="164"/>
      <c r="B50" s="16" t="s">
        <v>152</v>
      </c>
      <c r="C50" s="16" t="str">
        <f>Transport!B115</f>
        <v>GNV</v>
      </c>
      <c r="D50" s="378" t="str">
        <f>Transport!C115</f>
        <v>Le (bio-)GNV représente 3 % du parc roulant de poids lourds et 12 % du parc roulant d’autobus et autocars en 2030, mais décroit ensuite, compte-tenu du développement de l’électrification. Le bioGNL fait partie des carburants mobilisés pour la décarbonation du secteur maritime.</v>
      </c>
      <c r="E50" s="164"/>
      <c r="F50" s="164"/>
      <c r="G50" s="164"/>
      <c r="H50" s="164"/>
      <c r="I50" s="164"/>
      <c r="J50" s="164"/>
      <c r="K50" s="164"/>
      <c r="L50" s="164"/>
      <c r="M50" s="164"/>
      <c r="N50" s="164"/>
      <c r="O50" s="164"/>
      <c r="P50" s="164"/>
      <c r="Q50" s="164"/>
    </row>
    <row r="51" spans="1:17" ht="121.2" customHeight="1">
      <c r="A51" s="164"/>
      <c r="B51" s="16" t="s">
        <v>152</v>
      </c>
      <c r="C51" s="16" t="s">
        <v>136</v>
      </c>
      <c r="D51" s="17" t="str">
        <f>Transport!C116</f>
        <v>La consommation des VUL thermiques neufs diminue de 13 % d’ici 2030 par rapport à 2019 
La consommation des VUL électriques neufs baisse de 6 % en 2030 par rapport à 2019 et de 14 % d'ici 2050
La consommation des PL diesel neufs diminue de 26 % d’ici 2030 par rapport à 2019 et de 27 % d'ici 2050 
La consommation des PL électriques neufs baisse de 14 % en 2030 par rapport à 2019 et de 20 % d'ici 2050.  </v>
      </c>
      <c r="E51" s="164"/>
      <c r="F51" s="164"/>
      <c r="G51" s="164"/>
      <c r="H51" s="164"/>
      <c r="I51" s="164"/>
      <c r="J51" s="164"/>
      <c r="K51" s="164"/>
      <c r="L51" s="164"/>
      <c r="M51" s="164"/>
      <c r="N51" s="164"/>
      <c r="O51" s="164"/>
      <c r="P51" s="164"/>
      <c r="Q51" s="164"/>
    </row>
    <row r="52" spans="1:17" ht="142.80000000000001" customHeight="1">
      <c r="A52" s="164"/>
      <c r="B52" s="16" t="s">
        <v>152</v>
      </c>
      <c r="C52" s="16" t="s">
        <v>156</v>
      </c>
      <c r="D52" s="17" t="str">
        <f>Transport!C117</f>
        <v xml:space="preserve">Objectif d’incorporation minimum de 1,2 % de carburants renouvelables d’origine non biogénique dans le maritime et de réduction de 6 % de l’intensité carbone de l’énergie utilisée par les navires en 2030, (soit l’équivalent d’environ 9 % de taux d’incorporation de biocarburants). Objectif de 11 % de taux d’incorporation en biocarburants et de 5 % de e-fuels à horizon 2030. 
A horizon 2050, réduction de l’intensité carbone des carburants de 80 %, ce qui implique une quasi-décarbonation du secteur. </v>
      </c>
      <c r="E52" s="164"/>
      <c r="F52" s="164"/>
      <c r="G52" s="164"/>
      <c r="H52" s="164"/>
      <c r="I52" s="164"/>
      <c r="J52" s="164"/>
      <c r="K52" s="164"/>
      <c r="L52" s="164"/>
      <c r="M52" s="164"/>
      <c r="N52" s="164"/>
      <c r="O52" s="164"/>
      <c r="P52" s="164"/>
      <c r="Q52" s="164"/>
    </row>
    <row r="53" spans="1:17" ht="64.2" customHeight="1">
      <c r="A53" s="164"/>
      <c r="B53" s="16" t="s">
        <v>157</v>
      </c>
      <c r="C53" s="16" t="s">
        <v>158</v>
      </c>
      <c r="D53" s="17" t="str">
        <f>Agriculture!C72</f>
        <v>Multiplication par 2 de la consommation de légumineuses à horizon 2030 et par 4 à horizon 2050, par rapport à 2020.</v>
      </c>
      <c r="E53" s="164"/>
      <c r="F53" s="164"/>
      <c r="G53" s="164"/>
      <c r="H53" s="164"/>
      <c r="I53" s="164"/>
      <c r="J53" s="164"/>
      <c r="K53" s="164"/>
      <c r="L53" s="164"/>
      <c r="M53" s="164"/>
      <c r="N53" s="164"/>
      <c r="O53" s="164"/>
      <c r="P53" s="164"/>
      <c r="Q53" s="164"/>
    </row>
    <row r="54" spans="1:17" ht="78" customHeight="1">
      <c r="A54" s="164"/>
      <c r="B54" s="16" t="s">
        <v>157</v>
      </c>
      <c r="C54" s="16" t="s">
        <v>158</v>
      </c>
      <c r="D54" s="361" t="str">
        <f>Agriculture!C73</f>
        <v>25 % des bovins bénéficient d’ajustements de leurs rations en 2030 lors des périodes en bâtiment (contre une proportion proche de 0 % en 2020), afin de limiter la fermentation entérique. En 2050, environ 80 % du cheptel est concerné par l’ajout d’additifs dans les rations lors des périodes en bâtiment.</v>
      </c>
      <c r="E54" s="164"/>
      <c r="F54" s="164"/>
      <c r="G54" s="164"/>
      <c r="H54" s="164"/>
      <c r="I54" s="164"/>
      <c r="J54" s="164"/>
      <c r="K54" s="164"/>
      <c r="L54" s="164"/>
      <c r="M54" s="164"/>
      <c r="N54" s="164"/>
      <c r="O54" s="164"/>
      <c r="P54" s="164"/>
      <c r="Q54" s="164"/>
    </row>
    <row r="55" spans="1:17" ht="105" customHeight="1">
      <c r="A55" s="164"/>
      <c r="B55" s="16" t="s">
        <v>157</v>
      </c>
      <c r="C55" s="16" t="s">
        <v>158</v>
      </c>
      <c r="D55" s="17" t="str">
        <f>Agriculture!C74</f>
        <v>La part des élevages bovins lait en système de pâturage dominant passe de 28 % en 2020 à 45 % en 2030, puis 64 % en 2050 
Les poulets label et agriculture biologique (AB) évoluent de 32 % en 2020 à 39% en 2030 puis 60 % en 2050 
Les porcs label et AB évoluent de 4 % en 2020 à 7 % en 2030 et 16 % en 2050</v>
      </c>
      <c r="E55" s="164"/>
      <c r="F55" s="164"/>
      <c r="G55" s="164"/>
      <c r="H55" s="164"/>
      <c r="I55" s="164"/>
      <c r="J55" s="164"/>
      <c r="K55" s="164"/>
      <c r="L55" s="164"/>
      <c r="M55" s="164"/>
      <c r="N55" s="164"/>
      <c r="O55" s="164"/>
      <c r="P55" s="164"/>
      <c r="Q55" s="164"/>
    </row>
    <row r="56" spans="1:17" ht="57.6">
      <c r="A56" s="164"/>
      <c r="B56" s="16" t="s">
        <v>157</v>
      </c>
      <c r="C56" s="16" t="s">
        <v>158</v>
      </c>
      <c r="D56" s="17" t="str">
        <f>Agriculture!C75</f>
        <v>Réduire de 50 % les importations de soja à horizon 2030 par rapport à 2020.
Atteinte de l'autonomie protéique nationale en 2050.</v>
      </c>
      <c r="E56" s="164"/>
      <c r="F56" s="164"/>
      <c r="G56" s="164"/>
      <c r="H56" s="164"/>
      <c r="I56" s="164"/>
      <c r="J56" s="164"/>
      <c r="K56" s="164"/>
      <c r="L56" s="164"/>
      <c r="M56" s="164"/>
      <c r="N56" s="164"/>
      <c r="O56" s="164"/>
      <c r="P56" s="164"/>
      <c r="Q56" s="164"/>
    </row>
    <row r="57" spans="1:17" ht="60" customHeight="1">
      <c r="A57" s="164"/>
      <c r="B57" s="16" t="s">
        <v>157</v>
      </c>
      <c r="C57" s="16" t="s">
        <v>159</v>
      </c>
      <c r="D57" s="17" t="str">
        <f>Agriculture!C76</f>
        <v xml:space="preserve">La part d’engins agricoles fonctionnant avec des énergies non-fossiles (HVO100, électricité, H2, BioGNV) passe d’environ 0 % à 10 % du parc entre 2020 et 2030, 51% du parc en 2040, avant d’atteindre progressivement 100 % en 2050. </v>
      </c>
      <c r="E57" s="164"/>
      <c r="F57" s="164"/>
      <c r="G57" s="164"/>
      <c r="H57" s="164"/>
      <c r="I57" s="164"/>
      <c r="J57" s="164"/>
      <c r="K57" s="164"/>
      <c r="L57" s="164"/>
      <c r="M57" s="164"/>
      <c r="N57" s="164"/>
      <c r="O57" s="164"/>
      <c r="P57" s="164"/>
      <c r="Q57" s="164"/>
    </row>
    <row r="58" spans="1:17" s="387" customFormat="1" ht="60" customHeight="1">
      <c r="A58" s="164"/>
      <c r="B58" s="16" t="s">
        <v>157</v>
      </c>
      <c r="C58" s="16" t="s">
        <v>159</v>
      </c>
      <c r="D58" s="378" t="str">
        <f>Agriculture!C77</f>
        <v>Dans le cadre du plan d’électrification, soutenir 150 engins agricoles électriques fabriqués en Europe et atteindre 400 ha de serres maraîchères et horticoles équipées de PAC d’ici 2030</v>
      </c>
      <c r="E58" s="164"/>
      <c r="F58" s="164"/>
      <c r="G58" s="164"/>
      <c r="H58" s="164"/>
      <c r="I58" s="164"/>
      <c r="J58" s="164"/>
      <c r="K58" s="164"/>
      <c r="L58" s="164"/>
      <c r="M58" s="164"/>
      <c r="N58" s="164"/>
      <c r="O58" s="164"/>
      <c r="P58" s="164"/>
      <c r="Q58" s="164"/>
    </row>
    <row r="59" spans="1:17" ht="36.6" customHeight="1">
      <c r="A59" s="164"/>
      <c r="B59" s="16" t="s">
        <v>157</v>
      </c>
      <c r="C59" s="16" t="s">
        <v>160</v>
      </c>
      <c r="D59" s="17" t="str">
        <f>Agriculture!C78</f>
        <v>Réduire la consommation d’engrais minéraux azotés de 30 % en 2030 et de 54 % en 2050, par rapport à 2020</v>
      </c>
      <c r="E59" s="164"/>
      <c r="F59" s="164"/>
      <c r="G59" s="164"/>
      <c r="H59" s="164"/>
      <c r="I59" s="164"/>
      <c r="J59" s="164"/>
      <c r="K59" s="164"/>
      <c r="L59" s="164"/>
      <c r="M59" s="164"/>
      <c r="N59" s="164"/>
      <c r="O59" s="164"/>
      <c r="P59" s="164"/>
      <c r="Q59" s="164"/>
    </row>
    <row r="60" spans="1:17" ht="71.400000000000006" customHeight="1">
      <c r="A60" s="164"/>
      <c r="B60" s="16" t="s">
        <v>157</v>
      </c>
      <c r="C60" s="16" t="s">
        <v>160</v>
      </c>
      <c r="D60" s="17" t="str">
        <f>Agriculture!C79</f>
        <v>Développer les systèmes agroécologiques sur environ 36 % des surfaces en 2030 et 50 % en 2050, par rapport à 7,8 % en 2020. En particulier, développer l’agriculture biologique sur environ 21 % des surfaces en 2030 et 25 % en 2050, par rapport à 5,6 % en 2024.</v>
      </c>
      <c r="E60" s="164"/>
      <c r="F60" s="164"/>
      <c r="G60" s="164"/>
      <c r="H60" s="164"/>
      <c r="I60" s="164"/>
      <c r="J60" s="164"/>
      <c r="K60" s="164"/>
      <c r="L60" s="164"/>
      <c r="M60" s="164"/>
      <c r="N60" s="164"/>
      <c r="O60" s="164"/>
      <c r="P60" s="164"/>
      <c r="Q60" s="164"/>
    </row>
    <row r="61" spans="1:17" ht="47.4" customHeight="1">
      <c r="A61" s="164"/>
      <c r="B61" s="16" t="s">
        <v>157</v>
      </c>
      <c r="C61" s="16" t="s">
        <v>160</v>
      </c>
      <c r="D61" s="367" t="str">
        <f>Agriculture!C80</f>
        <v>Atteindre 10 % de la SAU cultivée en légumineuses d'ici au 1er janvier 2030.</v>
      </c>
      <c r="E61" s="164"/>
      <c r="F61" s="164"/>
      <c r="G61" s="164"/>
      <c r="H61" s="164"/>
      <c r="I61" s="164"/>
      <c r="J61" s="164"/>
      <c r="K61" s="164"/>
      <c r="L61" s="164"/>
      <c r="M61" s="164"/>
      <c r="N61" s="164"/>
      <c r="O61" s="164"/>
      <c r="P61" s="164"/>
      <c r="Q61" s="164"/>
    </row>
    <row r="62" spans="1:17" ht="40.200000000000003" customHeight="1">
      <c r="A62" s="164"/>
      <c r="B62" s="16" t="s">
        <v>157</v>
      </c>
      <c r="C62" s="16" t="s">
        <v>584</v>
      </c>
      <c r="D62" s="361" t="str">
        <f>Agriculture!C81</f>
        <v>Déployer les techniques d’agriculture de précision sur 15 % de surfaces en plus de celles des systèmes agroécologiques en 2030 et 25 % en 2050 (5 % en 2020).</v>
      </c>
      <c r="E62" s="164"/>
      <c r="F62" s="164"/>
      <c r="G62" s="164"/>
      <c r="H62" s="164"/>
      <c r="I62" s="164"/>
      <c r="J62" s="164"/>
      <c r="K62" s="164"/>
      <c r="L62" s="164"/>
      <c r="M62" s="164"/>
      <c r="N62" s="164"/>
      <c r="O62" s="164"/>
      <c r="P62" s="164"/>
      <c r="Q62" s="164"/>
    </row>
    <row r="63" spans="1:17" ht="44.4" customHeight="1">
      <c r="A63" s="164"/>
      <c r="B63" s="16" t="s">
        <v>157</v>
      </c>
      <c r="C63" s="16" t="s">
        <v>161</v>
      </c>
      <c r="D63" s="17" t="str">
        <f>Agriculture!C82</f>
        <v>Part croissante des déjections animales méthanisées pour atteindre 22 % en 2030 et 80 % en 2050</v>
      </c>
      <c r="E63" s="164"/>
      <c r="F63" s="164"/>
      <c r="G63" s="164"/>
      <c r="H63" s="164"/>
      <c r="I63" s="164"/>
      <c r="J63" s="164"/>
      <c r="K63" s="164"/>
      <c r="L63" s="164"/>
      <c r="M63" s="164"/>
      <c r="N63" s="164"/>
      <c r="O63" s="164"/>
      <c r="P63" s="164"/>
      <c r="Q63" s="164"/>
    </row>
    <row r="64" spans="1:17" ht="51.6" customHeight="1">
      <c r="A64" s="164"/>
      <c r="B64" s="16" t="s">
        <v>157</v>
      </c>
      <c r="C64" s="16" t="s">
        <v>161</v>
      </c>
      <c r="D64" s="17" t="str">
        <f>Agriculture!C83</f>
        <v xml:space="preserve">La part des cultures intermédiaires à vocation énergétique (CIVE) au sein des cultures intermédiaires progresse, d’environ 4 % en 2020 à 19 % en 2030, avant d’atteindre 30 % en 2050. </v>
      </c>
      <c r="E64" s="164"/>
      <c r="F64" s="164"/>
      <c r="G64" s="164"/>
      <c r="H64" s="164"/>
      <c r="I64" s="164"/>
      <c r="J64" s="164"/>
      <c r="K64" s="164"/>
      <c r="L64" s="164"/>
      <c r="M64" s="164"/>
      <c r="N64" s="164"/>
      <c r="O64" s="164"/>
      <c r="P64" s="164"/>
      <c r="Q64" s="164"/>
    </row>
    <row r="65" spans="1:17" ht="45.6" customHeight="1">
      <c r="A65" s="164"/>
      <c r="B65" s="16" t="s">
        <v>157</v>
      </c>
      <c r="C65" s="16" t="s">
        <v>162</v>
      </c>
      <c r="D65" s="17" t="str">
        <f>Agriculture!C84</f>
        <v xml:space="preserve"> 50 000 kilomètres linéaires nets de haies plantées entre 2020 et 2030, poursuite de la dynamique à horizon 2050. Rythme pour atteindre +100 000 kml nets de haies plantées entre 2030 et 2050</v>
      </c>
      <c r="E65" s="164"/>
      <c r="F65" s="164"/>
      <c r="G65" s="164"/>
      <c r="H65" s="164"/>
      <c r="I65" s="164"/>
      <c r="J65" s="164"/>
      <c r="K65" s="164"/>
      <c r="L65" s="164"/>
      <c r="M65" s="164"/>
      <c r="N65" s="164"/>
      <c r="O65" s="164"/>
      <c r="P65" s="164"/>
      <c r="Q65" s="164"/>
    </row>
    <row r="66" spans="1:17" ht="49.8" customHeight="1">
      <c r="A66" s="164"/>
      <c r="B66" s="16" t="s">
        <v>157</v>
      </c>
      <c r="C66" s="16" t="s">
        <v>162</v>
      </c>
      <c r="D66" s="17" t="str">
        <f>Agriculture!C85</f>
        <v>Atteindre 100 kha de surfaces de terres arables et prairies avec agroforesterie intraparcellaire en 2030, et 300 kha en 2050, réparties équitablement entre les terres arables et les prairies.</v>
      </c>
      <c r="E66" s="164"/>
      <c r="F66" s="164"/>
      <c r="G66" s="164"/>
      <c r="H66" s="164"/>
      <c r="I66" s="164"/>
      <c r="J66" s="164"/>
      <c r="K66" s="164"/>
      <c r="L66" s="164"/>
      <c r="M66" s="164"/>
      <c r="N66" s="164"/>
      <c r="O66" s="164"/>
      <c r="P66" s="164"/>
      <c r="Q66" s="164"/>
    </row>
    <row r="67" spans="1:17" ht="52.95" customHeight="1">
      <c r="A67" s="164"/>
      <c r="B67" s="16" t="s">
        <v>119</v>
      </c>
      <c r="C67" s="16" t="s">
        <v>163</v>
      </c>
      <c r="D67" s="17" t="str">
        <f>Déchets!C44</f>
        <v>Diminuer les volumes de déchets produits : -5 % de DAE (déchets d'activités économiques) et -15 % de DMA (déchets ménagers et assimilés) produits en 2030 par rapport à 2010.</v>
      </c>
      <c r="E67" s="164"/>
      <c r="F67" s="164"/>
      <c r="G67" s="164"/>
      <c r="H67" s="164"/>
      <c r="I67" s="164"/>
      <c r="J67" s="164"/>
      <c r="K67" s="164"/>
      <c r="L67" s="164"/>
      <c r="M67" s="164"/>
      <c r="N67" s="164"/>
      <c r="O67" s="164"/>
      <c r="P67" s="164"/>
      <c r="Q67" s="164"/>
    </row>
    <row r="68" spans="1:17" ht="37.799999999999997" customHeight="1">
      <c r="A68" s="164"/>
      <c r="B68" s="16" t="s">
        <v>119</v>
      </c>
      <c r="C68" s="16" t="s">
        <v>163</v>
      </c>
      <c r="D68" s="17" t="str">
        <f>Déchets!C45</f>
        <v>Diminuer de 40 % le volume de déchets stockés en ISDND entre 2022 et 2030 et de 70 % entre 2022 et 2050.</v>
      </c>
      <c r="E68" s="164"/>
      <c r="F68" s="164"/>
      <c r="G68" s="164"/>
      <c r="H68" s="164"/>
      <c r="I68" s="164"/>
      <c r="J68" s="164"/>
      <c r="K68" s="164"/>
      <c r="L68" s="164"/>
      <c r="M68" s="164"/>
      <c r="N68" s="164"/>
      <c r="O68" s="164"/>
      <c r="P68" s="164"/>
      <c r="Q68" s="164"/>
    </row>
    <row r="69" spans="1:17" ht="36.6" customHeight="1">
      <c r="A69" s="164"/>
      <c r="B69" s="16" t="s">
        <v>119</v>
      </c>
      <c r="C69" s="16" t="s">
        <v>163</v>
      </c>
      <c r="D69" s="359" t="str">
        <f>Déchets!C46</f>
        <v>Réduire le gaspillage alimentaire de 50 % d’ici 2030 par rapport à 2015.</v>
      </c>
      <c r="E69" s="164"/>
      <c r="F69" s="164"/>
      <c r="G69" s="164"/>
      <c r="H69" s="164"/>
      <c r="I69" s="164"/>
      <c r="J69" s="164"/>
      <c r="K69" s="164"/>
      <c r="L69" s="164"/>
      <c r="M69" s="164"/>
      <c r="N69" s="164"/>
      <c r="O69" s="164"/>
      <c r="P69" s="164"/>
      <c r="Q69" s="164"/>
    </row>
    <row r="70" spans="1:17" ht="46.8" customHeight="1">
      <c r="A70" s="164"/>
      <c r="B70" s="16" t="s">
        <v>119</v>
      </c>
      <c r="C70" s="16" t="s">
        <v>564</v>
      </c>
      <c r="D70" s="359" t="str">
        <f>Déchets!C47</f>
        <v>Augmenter le raccordement de la population à une STEP en cohérence avec la directive « eaux résiduaires urbaines » (80 % en 2020).</v>
      </c>
      <c r="E70" s="164"/>
      <c r="F70" s="164"/>
      <c r="G70" s="164"/>
      <c r="H70" s="164"/>
      <c r="I70" s="164"/>
      <c r="J70" s="164"/>
      <c r="K70" s="164"/>
      <c r="L70" s="164"/>
      <c r="M70" s="164"/>
      <c r="N70" s="164"/>
      <c r="O70" s="164"/>
      <c r="P70" s="164"/>
      <c r="Q70" s="164"/>
    </row>
    <row r="71" spans="1:17" ht="56.4" customHeight="1">
      <c r="A71" s="164"/>
      <c r="B71" s="16" t="s">
        <v>119</v>
      </c>
      <c r="C71" s="16" t="s">
        <v>164</v>
      </c>
      <c r="D71" s="17" t="str">
        <f>Déchets!C48</f>
        <v>Le taux de captage du méthane dans les installations de stockage des déchets non-dangereux (ISDND) en exploitation passe de 66 % en 2020 à 83 % en 2030, 84 % en 2040 et 85 % en 2050</v>
      </c>
      <c r="E71" s="164"/>
      <c r="F71" s="164"/>
      <c r="G71" s="164"/>
      <c r="H71" s="164"/>
      <c r="I71" s="164"/>
      <c r="J71" s="164"/>
      <c r="K71" s="164"/>
      <c r="L71" s="164"/>
      <c r="M71" s="164"/>
      <c r="N71" s="164"/>
      <c r="O71" s="164"/>
      <c r="P71" s="164"/>
      <c r="Q71" s="164"/>
    </row>
    <row r="72" spans="1:17" ht="27.6" customHeight="1">
      <c r="A72" s="164"/>
      <c r="B72" s="16" t="s">
        <v>119</v>
      </c>
      <c r="C72" s="16" t="s">
        <v>164</v>
      </c>
      <c r="D72" s="17" t="str">
        <f>Déchets!C49</f>
        <v>Le taux de valorisation du biométhane capté passe de 77 % à 85 % en 2030 (puis reste stable)</v>
      </c>
      <c r="E72" s="164"/>
      <c r="F72" s="164"/>
      <c r="G72" s="164"/>
      <c r="H72" s="164"/>
      <c r="I72" s="164"/>
      <c r="J72" s="164"/>
      <c r="K72" s="164"/>
      <c r="L72" s="164"/>
      <c r="M72" s="164"/>
      <c r="N72" s="164"/>
      <c r="O72" s="164"/>
      <c r="P72" s="164"/>
      <c r="Q72" s="164"/>
    </row>
    <row r="73" spans="1:17" ht="41.4" customHeight="1">
      <c r="A73" s="164"/>
      <c r="B73" s="16" t="s">
        <v>71</v>
      </c>
      <c r="C73" s="16" t="s">
        <v>553</v>
      </c>
      <c r="D73" s="17" t="str">
        <f>Energie!C53</f>
        <v xml:space="preserve">Mix électrique à 96 % décarboné en 2030 (62 % nucléaire, 34 % énergies renouvelables), 100 % décarboné d'ici 2050 </v>
      </c>
      <c r="E73" s="164"/>
      <c r="F73" s="164"/>
      <c r="G73" s="164"/>
      <c r="H73" s="164"/>
      <c r="I73" s="164"/>
      <c r="J73" s="164"/>
      <c r="K73" s="164"/>
      <c r="L73" s="164"/>
      <c r="M73" s="164"/>
      <c r="N73" s="164"/>
      <c r="O73" s="164"/>
      <c r="P73" s="164"/>
      <c r="Q73" s="164"/>
    </row>
    <row r="74" spans="1:17" ht="28.8" customHeight="1">
      <c r="A74" s="164"/>
      <c r="B74" s="16" t="s">
        <v>71</v>
      </c>
      <c r="C74" s="16" t="s">
        <v>553</v>
      </c>
      <c r="D74" s="17" t="str">
        <f>Energie!C54</f>
        <v>Fin de la production d’électricité à partir de charbon en 2027</v>
      </c>
      <c r="E74" s="164"/>
      <c r="F74" s="164"/>
      <c r="G74" s="164"/>
      <c r="H74" s="164"/>
      <c r="I74" s="164"/>
      <c r="J74" s="164"/>
      <c r="K74" s="164"/>
      <c r="L74" s="164"/>
      <c r="M74" s="164"/>
      <c r="N74" s="164"/>
      <c r="O74" s="164"/>
      <c r="P74" s="164"/>
      <c r="Q74" s="164"/>
    </row>
    <row r="75" spans="1:17" ht="28.8" customHeight="1">
      <c r="A75" s="164"/>
      <c r="B75" s="16" t="s">
        <v>71</v>
      </c>
      <c r="C75" s="16" t="s">
        <v>553</v>
      </c>
      <c r="D75" s="359" t="str">
        <f>Energie!C55</f>
        <v xml:space="preserve">Fin de la production d'électricité à partir de fioul en 2030 </v>
      </c>
      <c r="E75" s="164"/>
      <c r="F75" s="164"/>
      <c r="G75" s="164"/>
      <c r="H75" s="164"/>
      <c r="I75" s="164"/>
      <c r="J75" s="164"/>
      <c r="K75" s="164"/>
      <c r="L75" s="164"/>
      <c r="M75" s="164"/>
      <c r="N75" s="164"/>
      <c r="O75" s="164"/>
      <c r="P75" s="164"/>
      <c r="Q75" s="164"/>
    </row>
    <row r="76" spans="1:17" ht="103.8" customHeight="1">
      <c r="A76" s="164"/>
      <c r="B76" s="16" t="s">
        <v>71</v>
      </c>
      <c r="C76" s="16" t="s">
        <v>560</v>
      </c>
      <c r="D76" s="359" t="str">
        <f>Energie!C56</f>
        <v>En cohérence avec les PPE spécifiques des zones non inter-connectées, atteinte rapide d’un mix électrique décarboné à plus de 99 %, permettant un bon niveau de qualité de service de l’électricité, via le développement des énergies renouvelables électriques associées à des solutions de stockages (STEP, batterie) et des centrales thermiques fonctionnant aux bioliquides (en partie importés de l’hexagone).</v>
      </c>
      <c r="E76" s="164"/>
      <c r="F76" s="164"/>
      <c r="G76" s="164"/>
      <c r="H76" s="164"/>
      <c r="I76" s="164"/>
      <c r="J76" s="164"/>
      <c r="K76" s="164"/>
      <c r="L76" s="164"/>
      <c r="M76" s="164"/>
      <c r="N76" s="164"/>
      <c r="O76" s="164"/>
      <c r="P76" s="164"/>
      <c r="Q76" s="164"/>
    </row>
    <row r="77" spans="1:17" ht="75.599999999999994" customHeight="1">
      <c r="A77" s="164"/>
      <c r="B77" s="16" t="s">
        <v>71</v>
      </c>
      <c r="C77" s="16" t="s">
        <v>165</v>
      </c>
      <c r="D77" s="17" t="str">
        <f>Energie!C57</f>
        <v>Hausse de la production de chaleur renouvelable et de récupération en 2030 et 2035 en cohérence avec la PPE. En 2050, la production est d’environ 500 TWh dont 250 TWh de chaleur de l’environnement utilisée dans les pompes à chaleur.</v>
      </c>
      <c r="E77" s="164"/>
      <c r="F77" s="164"/>
      <c r="G77" s="164"/>
      <c r="H77" s="164"/>
      <c r="I77" s="164"/>
      <c r="J77" s="164"/>
      <c r="K77" s="164"/>
      <c r="L77" s="164"/>
      <c r="M77" s="164"/>
      <c r="N77" s="164"/>
      <c r="O77" s="164"/>
      <c r="P77" s="164"/>
      <c r="Q77" s="164"/>
    </row>
    <row r="78" spans="1:17" ht="57.6" customHeight="1">
      <c r="A78" s="164"/>
      <c r="B78" s="16" t="s">
        <v>71</v>
      </c>
      <c r="C78" s="16" t="s">
        <v>165</v>
      </c>
      <c r="D78" s="359" t="str">
        <f>Energie!C58</f>
        <v>Développer des capacités de production de chaleur décarbonée et des réseaux de chaleur en cohérence avec les objectifs de la PPE.</v>
      </c>
      <c r="E78" s="164"/>
      <c r="F78" s="164"/>
      <c r="G78" s="164"/>
      <c r="H78" s="164"/>
      <c r="I78" s="164"/>
      <c r="J78" s="164"/>
      <c r="K78" s="164"/>
      <c r="L78" s="164"/>
      <c r="M78" s="164"/>
      <c r="N78" s="164"/>
      <c r="O78" s="164"/>
      <c r="P78" s="164"/>
      <c r="Q78" s="164"/>
    </row>
    <row r="79" spans="1:17" ht="39" customHeight="1">
      <c r="A79" s="164"/>
      <c r="B79" s="16" t="s">
        <v>71</v>
      </c>
      <c r="C79" s="16" t="s">
        <v>165</v>
      </c>
      <c r="D79" s="359" t="str">
        <f>Energie!C59</f>
        <v>En 2050, 100 % de la chaleur produite provient de sources de chaleur décarbonées.</v>
      </c>
      <c r="E79" s="164"/>
      <c r="F79" s="164"/>
      <c r="G79" s="164"/>
      <c r="H79" s="164"/>
      <c r="I79" s="164"/>
      <c r="J79" s="164"/>
      <c r="K79" s="164"/>
      <c r="L79" s="164"/>
      <c r="M79" s="164"/>
      <c r="N79" s="164"/>
      <c r="O79" s="164"/>
      <c r="P79" s="164"/>
      <c r="Q79" s="164"/>
    </row>
    <row r="80" spans="1:17" ht="39" customHeight="1">
      <c r="A80" s="164"/>
      <c r="B80" s="16" t="s">
        <v>71</v>
      </c>
      <c r="C80" s="16" t="s">
        <v>556</v>
      </c>
      <c r="D80" s="359" t="str">
        <f>Energie!C60</f>
        <v xml:space="preserve">Développer la production de biocarburants, bois-énergie et biométhane en cohérence avec les orientations fixées par la PPE. Par exemple la multiplication par 6 de la production de biométhane d'ici 2035. </v>
      </c>
      <c r="E80" s="164"/>
      <c r="F80" s="164"/>
      <c r="G80" s="164"/>
      <c r="H80" s="164"/>
      <c r="I80" s="164"/>
      <c r="J80" s="164"/>
      <c r="K80" s="164"/>
      <c r="L80" s="164"/>
      <c r="M80" s="164"/>
      <c r="N80" s="164"/>
      <c r="O80" s="164"/>
      <c r="P80" s="164"/>
      <c r="Q80" s="164"/>
    </row>
    <row r="81" spans="1:17" ht="49.95" customHeight="1">
      <c r="A81" s="164"/>
      <c r="B81" s="16" t="s">
        <v>71</v>
      </c>
      <c r="C81" s="16" t="s">
        <v>166</v>
      </c>
      <c r="D81" s="17" t="str">
        <f>Energie!C61</f>
        <v>Installer jusqu’à 4,5 GW d’électrolyseurs en 2030 et jusqu’à 8 GW en 2035, comme prévu par la Stratégie nationale de l’hydrogène décarboné.</v>
      </c>
      <c r="E81" s="164"/>
      <c r="F81" s="164"/>
      <c r="G81" s="164"/>
      <c r="H81" s="164"/>
      <c r="I81" s="164"/>
      <c r="J81" s="164"/>
      <c r="K81" s="164"/>
      <c r="L81" s="164"/>
      <c r="M81" s="164"/>
      <c r="N81" s="164"/>
      <c r="O81" s="164"/>
      <c r="P81" s="164"/>
      <c r="Q81" s="164"/>
    </row>
    <row r="82" spans="1:17" ht="81.599999999999994" customHeight="1">
      <c r="A82" s="164"/>
      <c r="B82" s="16" t="s">
        <v>71</v>
      </c>
      <c r="C82" s="16" t="s">
        <v>167</v>
      </c>
      <c r="D82" s="17" t="str">
        <f>Energie!C62</f>
        <v>Arrêter la production de pétrole brut et de gaz fossile sur le territoire national en 2040.
L’activité de raffinage baisse à mesure que l’usage des produits pétroliers diminue en France (-29 % de quantités raffinées en 2030 par rapport à 2019).</v>
      </c>
      <c r="E82" s="164"/>
      <c r="F82" s="164"/>
      <c r="G82" s="164"/>
      <c r="H82" s="164"/>
      <c r="I82" s="164"/>
      <c r="J82" s="164"/>
      <c r="K82" s="164"/>
      <c r="L82" s="164"/>
      <c r="M82" s="164"/>
      <c r="N82" s="164"/>
      <c r="O82" s="164"/>
      <c r="P82" s="164"/>
      <c r="Q82" s="164"/>
    </row>
    <row r="83" spans="1:17" ht="77.400000000000006" customHeight="1">
      <c r="A83" s="164"/>
      <c r="B83" s="16" t="s">
        <v>168</v>
      </c>
      <c r="C83" s="16" t="s">
        <v>169</v>
      </c>
      <c r="D83" s="17" t="str">
        <f>UTCATF!C43</f>
        <v>Renouveler et adapter 10 % de la forêt française métropolitaine d’ici 2032, en priorisant les peuplements sinistrés, dépérissants et vulnérables</v>
      </c>
      <c r="E83" s="164"/>
      <c r="F83" s="164"/>
      <c r="G83" s="164"/>
      <c r="H83" s="164"/>
      <c r="I83" s="164"/>
      <c r="J83" s="164"/>
      <c r="K83" s="164"/>
      <c r="L83" s="164"/>
      <c r="M83" s="164"/>
      <c r="N83" s="164"/>
      <c r="O83" s="164"/>
      <c r="P83" s="164"/>
      <c r="Q83" s="164"/>
    </row>
    <row r="84" spans="1:17" ht="74.400000000000006" customHeight="1">
      <c r="A84" s="164"/>
      <c r="B84" s="16" t="s">
        <v>168</v>
      </c>
      <c r="C84" s="16" t="s">
        <v>169</v>
      </c>
      <c r="D84" s="17" t="str">
        <f>UTCATF!C44</f>
        <v>Le boisement hors forêt passe de 1 000 ha/an en 2021 à 20 000 ha/an à horizon 2030 et 15 000 ha/an en 2050</v>
      </c>
      <c r="E84" s="164"/>
      <c r="F84" s="164"/>
      <c r="G84" s="164"/>
      <c r="H84" s="164"/>
      <c r="I84" s="164"/>
      <c r="J84" s="164"/>
      <c r="K84" s="164"/>
      <c r="L84" s="164"/>
      <c r="M84" s="164"/>
      <c r="N84" s="164"/>
      <c r="O84" s="164"/>
      <c r="P84" s="164"/>
      <c r="Q84" s="164"/>
    </row>
    <row r="85" spans="1:17" ht="75.599999999999994" customHeight="1">
      <c r="A85" s="164"/>
      <c r="B85" s="16" t="s">
        <v>168</v>
      </c>
      <c r="C85" s="16" t="s">
        <v>170</v>
      </c>
      <c r="D85" s="17" t="str">
        <f>UTCATF!C45</f>
        <v xml:space="preserve"> En 2050, les durées de demi-vie des charpentes atteignent 54 ans, des parquets/lambris 32,4 ans, des panneaux 27 ans et du papier 7 ans. </v>
      </c>
      <c r="E85" s="164"/>
      <c r="F85" s="164"/>
      <c r="G85" s="164"/>
      <c r="H85" s="164"/>
      <c r="I85" s="164"/>
      <c r="J85" s="164"/>
      <c r="K85" s="164"/>
      <c r="L85" s="164"/>
      <c r="M85" s="164"/>
      <c r="N85" s="164"/>
      <c r="O85" s="164"/>
      <c r="P85" s="164"/>
      <c r="Q85" s="164"/>
    </row>
    <row r="86" spans="1:17" ht="72.599999999999994" customHeight="1">
      <c r="A86" s="164"/>
      <c r="B86" s="16" t="s">
        <v>168</v>
      </c>
      <c r="C86" s="16" t="s">
        <v>170</v>
      </c>
      <c r="D86" s="17" t="str">
        <f>UTCATF!C46</f>
        <v>Le taux d’incorporation des matières premières recyclées dans les panneaux augmente : 35 % en 2030 et 55 % en 2050, contre 30 % en 2021.</v>
      </c>
      <c r="E86" s="164"/>
      <c r="F86" s="164"/>
      <c r="G86" s="164"/>
      <c r="H86" s="164"/>
      <c r="I86" s="164"/>
      <c r="J86" s="164"/>
      <c r="K86" s="164"/>
      <c r="L86" s="164"/>
      <c r="M86" s="164"/>
      <c r="N86" s="164"/>
      <c r="O86" s="164"/>
      <c r="P86" s="164"/>
      <c r="Q86" s="164"/>
    </row>
    <row r="87" spans="1:17" ht="55.2" customHeight="1">
      <c r="A87" s="164"/>
      <c r="B87" s="16" t="s">
        <v>168</v>
      </c>
      <c r="C87" s="16" t="s">
        <v>170</v>
      </c>
      <c r="D87" s="17" t="str">
        <f>UTCATF!C47</f>
        <v>La part de récolte transformée en produits de « sciage » reste constante à hauteur de 12 % jusqu’en 2030, puis augmente à 14,5 % à horizon 2050</v>
      </c>
      <c r="E87" s="164"/>
      <c r="F87" s="164"/>
      <c r="G87" s="164"/>
      <c r="H87" s="164"/>
      <c r="I87" s="164"/>
      <c r="J87" s="164"/>
      <c r="K87" s="164"/>
      <c r="L87" s="164"/>
      <c r="M87" s="164"/>
      <c r="N87" s="164"/>
      <c r="O87" s="164"/>
      <c r="P87" s="164"/>
      <c r="Q87" s="164"/>
    </row>
    <row r="88" spans="1:17" ht="72" customHeight="1">
      <c r="A88" s="164"/>
      <c r="B88" s="16" t="s">
        <v>168</v>
      </c>
      <c r="C88" s="16" t="s">
        <v>170</v>
      </c>
      <c r="D88" s="17" t="str">
        <f>UTCATF!C48</f>
        <v>La part de récolte entrant dans le compartiment « panneaux et isolants » passe de 10,5 % actuellement à 13 % en 2030, puis à 18 % à horizon 2050</v>
      </c>
      <c r="E88" s="164"/>
      <c r="F88" s="164"/>
      <c r="G88" s="164"/>
      <c r="H88" s="164"/>
      <c r="I88" s="164"/>
      <c r="J88" s="164"/>
      <c r="K88" s="164"/>
      <c r="L88" s="164"/>
      <c r="M88" s="164"/>
      <c r="N88" s="164"/>
      <c r="O88" s="164"/>
      <c r="P88" s="164"/>
      <c r="Q88" s="164"/>
    </row>
    <row r="89" spans="1:17" ht="71.400000000000006" customHeight="1">
      <c r="A89" s="164"/>
      <c r="B89" s="16" t="s">
        <v>168</v>
      </c>
      <c r="C89" s="16" t="s">
        <v>171</v>
      </c>
      <c r="D89" s="359" t="str">
        <f>UTCATF!C49</f>
        <v>Maintenir les prairies permanentes productives à hauteur d’environ 7 150 kha de 2020 à 2050, afin de conserver le stockage de carbone qu’elles permettent.</v>
      </c>
      <c r="E89" s="164"/>
      <c r="F89" s="164"/>
      <c r="G89" s="164"/>
      <c r="H89" s="164"/>
      <c r="I89" s="164"/>
      <c r="J89" s="164"/>
      <c r="K89" s="164"/>
      <c r="L89" s="164"/>
      <c r="M89" s="164"/>
      <c r="N89" s="164"/>
      <c r="O89" s="164"/>
      <c r="P89" s="164"/>
      <c r="Q89" s="164"/>
    </row>
    <row r="90" spans="1:17" ht="82.8" customHeight="1">
      <c r="A90" s="164"/>
      <c r="B90" s="16" t="s">
        <v>168</v>
      </c>
      <c r="C90" s="16" t="s">
        <v>171</v>
      </c>
      <c r="D90" s="17" t="str">
        <f>UTCATF!C50</f>
        <v xml:space="preserve">Baisse de 50 % de surfaces artificialisées entre la décennie 2011-2021 et 2021-2031 ; de 95 % entre la décennie 2011-2021 et la dernière décennie jusqu’à 2050. A horizon 2050, le volume de surfaces artificialisées est compensé par un volume équivalent de surfaces renaturées. </v>
      </c>
      <c r="E90" s="164"/>
      <c r="F90" s="164"/>
      <c r="G90" s="164"/>
      <c r="H90" s="164"/>
      <c r="I90" s="164"/>
      <c r="J90" s="164"/>
      <c r="K90" s="164"/>
      <c r="L90" s="164"/>
      <c r="M90" s="164"/>
      <c r="N90" s="164"/>
      <c r="O90" s="164"/>
      <c r="P90" s="164"/>
      <c r="Q90" s="164"/>
    </row>
    <row r="91" spans="1:17">
      <c r="A91" s="164"/>
      <c r="B91" s="164"/>
      <c r="C91" s="164"/>
      <c r="D91" s="164"/>
      <c r="E91" s="164"/>
      <c r="F91" s="164"/>
      <c r="G91" s="164"/>
      <c r="H91" s="164"/>
      <c r="I91" s="164"/>
      <c r="J91" s="164"/>
      <c r="K91" s="164"/>
      <c r="L91" s="164"/>
      <c r="M91" s="164"/>
      <c r="N91" s="164"/>
      <c r="O91" s="164"/>
      <c r="P91" s="164"/>
      <c r="Q91" s="164"/>
    </row>
    <row r="92" spans="1:17">
      <c r="A92" s="164"/>
      <c r="B92" s="164"/>
      <c r="C92" s="164"/>
      <c r="D92" s="164"/>
      <c r="E92" s="164"/>
      <c r="F92" s="164"/>
      <c r="G92" s="164"/>
      <c r="H92" s="164"/>
      <c r="I92" s="164"/>
      <c r="J92" s="164"/>
      <c r="K92" s="164"/>
      <c r="L92" s="164"/>
      <c r="M92" s="164"/>
      <c r="N92" s="164"/>
      <c r="O92" s="164"/>
      <c r="P92" s="164"/>
      <c r="Q92" s="164"/>
    </row>
    <row r="93" spans="1:17">
      <c r="A93" s="164"/>
      <c r="B93" s="164"/>
      <c r="C93" s="164"/>
      <c r="D93" s="164"/>
      <c r="E93" s="164"/>
      <c r="F93" s="164"/>
      <c r="G93" s="164"/>
      <c r="H93" s="164"/>
      <c r="I93" s="164"/>
      <c r="J93" s="164"/>
      <c r="K93" s="164"/>
      <c r="L93" s="164"/>
      <c r="M93" s="164"/>
      <c r="N93" s="164"/>
      <c r="O93" s="164"/>
      <c r="P93" s="164"/>
      <c r="Q93" s="164"/>
    </row>
    <row r="94" spans="1:17">
      <c r="A94" s="164"/>
      <c r="B94" s="164"/>
      <c r="C94" s="164"/>
      <c r="D94" s="164"/>
      <c r="E94" s="164"/>
      <c r="F94" s="164"/>
      <c r="G94" s="164"/>
      <c r="H94" s="164"/>
      <c r="I94" s="164"/>
      <c r="J94" s="164"/>
      <c r="K94" s="164"/>
      <c r="L94" s="164"/>
      <c r="M94" s="164"/>
      <c r="N94" s="164"/>
      <c r="O94" s="164"/>
      <c r="P94" s="164"/>
      <c r="Q94" s="164"/>
    </row>
    <row r="95" spans="1:17">
      <c r="A95" s="164"/>
      <c r="B95" s="164"/>
      <c r="C95" s="164"/>
      <c r="D95" s="164"/>
      <c r="E95" s="164"/>
      <c r="F95" s="164"/>
      <c r="G95" s="164"/>
      <c r="H95" s="164"/>
      <c r="I95" s="164"/>
      <c r="J95" s="164"/>
      <c r="K95" s="164"/>
      <c r="L95" s="164"/>
      <c r="M95" s="164"/>
      <c r="N95" s="164"/>
      <c r="O95" s="164"/>
      <c r="P95" s="164"/>
      <c r="Q95" s="164"/>
    </row>
    <row r="96" spans="1:17">
      <c r="A96" s="164"/>
      <c r="B96" s="164"/>
      <c r="C96" s="164"/>
      <c r="D96" s="164"/>
      <c r="E96" s="164"/>
      <c r="F96" s="164"/>
      <c r="G96" s="164"/>
      <c r="H96" s="164"/>
      <c r="I96" s="164"/>
      <c r="J96" s="164"/>
      <c r="K96" s="164"/>
      <c r="L96" s="164"/>
      <c r="M96" s="164"/>
      <c r="N96" s="164"/>
      <c r="O96" s="164"/>
      <c r="P96" s="164"/>
      <c r="Q96" s="164"/>
    </row>
    <row r="97" spans="1:17">
      <c r="A97" s="164"/>
      <c r="B97" s="164"/>
      <c r="C97" s="164"/>
      <c r="D97" s="164"/>
      <c r="E97" s="164"/>
      <c r="F97" s="164"/>
      <c r="G97" s="164"/>
      <c r="H97" s="164"/>
      <c r="I97" s="164"/>
      <c r="J97" s="164"/>
      <c r="K97" s="164"/>
      <c r="L97" s="164"/>
      <c r="M97" s="164"/>
      <c r="N97" s="164"/>
      <c r="O97" s="164"/>
      <c r="P97" s="164"/>
      <c r="Q97" s="164"/>
    </row>
    <row r="98" spans="1:17">
      <c r="A98" s="164"/>
      <c r="B98" s="164"/>
      <c r="C98" s="164"/>
      <c r="D98" s="164"/>
      <c r="E98" s="164"/>
      <c r="F98" s="164"/>
      <c r="G98" s="164"/>
      <c r="H98" s="164"/>
      <c r="I98" s="164"/>
      <c r="J98" s="164"/>
      <c r="K98" s="164"/>
      <c r="L98" s="164"/>
      <c r="M98" s="164"/>
      <c r="N98" s="164"/>
      <c r="O98" s="164"/>
      <c r="P98" s="164"/>
      <c r="Q98" s="164"/>
    </row>
    <row r="99" spans="1:17">
      <c r="A99" s="164"/>
      <c r="B99" s="164"/>
      <c r="C99" s="164"/>
      <c r="D99" s="164"/>
      <c r="E99" s="164"/>
      <c r="F99" s="164"/>
      <c r="G99" s="164"/>
      <c r="H99" s="164"/>
      <c r="I99" s="164"/>
      <c r="J99" s="164"/>
      <c r="K99" s="164"/>
      <c r="L99" s="164"/>
      <c r="M99" s="164"/>
      <c r="N99" s="164"/>
      <c r="O99" s="164"/>
      <c r="P99" s="164"/>
      <c r="Q99" s="164"/>
    </row>
    <row r="100" spans="1:17">
      <c r="A100" s="164"/>
      <c r="B100" s="164"/>
      <c r="C100" s="164"/>
      <c r="D100" s="164"/>
      <c r="E100" s="164"/>
      <c r="F100" s="164"/>
      <c r="G100" s="164"/>
      <c r="H100" s="164"/>
      <c r="I100" s="164"/>
      <c r="J100" s="164"/>
      <c r="K100" s="164"/>
      <c r="L100" s="164"/>
      <c r="M100" s="164"/>
      <c r="N100" s="164"/>
      <c r="O100" s="164"/>
      <c r="P100" s="164"/>
      <c r="Q100" s="164"/>
    </row>
    <row r="101" spans="1:17">
      <c r="A101" s="164"/>
      <c r="B101" s="164"/>
      <c r="C101" s="164"/>
      <c r="D101" s="164"/>
      <c r="E101" s="164"/>
      <c r="F101" s="164"/>
      <c r="G101" s="164"/>
      <c r="H101" s="164"/>
      <c r="I101" s="164"/>
      <c r="J101" s="164"/>
      <c r="K101" s="164"/>
      <c r="L101" s="164"/>
      <c r="M101" s="164"/>
      <c r="N101" s="164"/>
      <c r="O101" s="164"/>
      <c r="P101" s="164"/>
      <c r="Q101" s="164"/>
    </row>
    <row r="102" spans="1:17">
      <c r="A102" s="164"/>
      <c r="B102" s="164"/>
      <c r="C102" s="164"/>
      <c r="D102" s="164"/>
      <c r="E102" s="164"/>
      <c r="F102" s="164"/>
      <c r="G102" s="164"/>
      <c r="H102" s="164"/>
      <c r="I102" s="164"/>
      <c r="J102" s="164"/>
      <c r="K102" s="164"/>
      <c r="L102" s="164"/>
      <c r="M102" s="164"/>
      <c r="N102" s="164"/>
      <c r="O102" s="164"/>
      <c r="P102" s="164"/>
      <c r="Q102" s="164"/>
    </row>
    <row r="103" spans="1:17">
      <c r="A103" s="164"/>
      <c r="B103" s="164"/>
      <c r="C103" s="164"/>
      <c r="D103" s="164"/>
      <c r="E103" s="164"/>
      <c r="F103" s="164"/>
      <c r="G103" s="164"/>
      <c r="H103" s="164"/>
      <c r="I103" s="164"/>
      <c r="J103" s="164"/>
      <c r="K103" s="164"/>
      <c r="L103" s="164"/>
      <c r="M103" s="164"/>
      <c r="N103" s="164"/>
      <c r="O103" s="164"/>
      <c r="P103" s="164"/>
      <c r="Q103" s="164"/>
    </row>
    <row r="104" spans="1:17">
      <c r="A104" s="164"/>
      <c r="B104" s="164"/>
      <c r="C104" s="164"/>
      <c r="D104" s="164"/>
      <c r="E104" s="164"/>
      <c r="F104" s="164"/>
      <c r="G104" s="164"/>
      <c r="H104" s="164"/>
      <c r="I104" s="164"/>
      <c r="J104" s="164"/>
      <c r="K104" s="164"/>
      <c r="L104" s="164"/>
      <c r="M104" s="164"/>
      <c r="N104" s="164"/>
      <c r="O104" s="164"/>
      <c r="P104" s="164"/>
      <c r="Q104" s="164"/>
    </row>
    <row r="105" spans="1:17">
      <c r="A105" s="164"/>
      <c r="B105" s="164"/>
      <c r="C105" s="164"/>
      <c r="D105" s="164"/>
      <c r="E105" s="164"/>
      <c r="F105" s="164"/>
      <c r="G105" s="164"/>
      <c r="H105" s="164"/>
      <c r="I105" s="164"/>
      <c r="J105" s="164"/>
      <c r="K105" s="164"/>
      <c r="L105" s="164"/>
      <c r="M105" s="164"/>
      <c r="N105" s="164"/>
      <c r="O105" s="164"/>
      <c r="P105" s="164"/>
      <c r="Q105" s="164"/>
    </row>
    <row r="106" spans="1:17">
      <c r="A106" s="164"/>
      <c r="B106" s="164"/>
      <c r="C106" s="164"/>
      <c r="D106" s="164"/>
      <c r="E106" s="164"/>
      <c r="F106" s="164"/>
      <c r="G106" s="164"/>
      <c r="H106" s="164"/>
      <c r="I106" s="164"/>
      <c r="J106" s="164"/>
      <c r="K106" s="164"/>
      <c r="L106" s="164"/>
      <c r="M106" s="164"/>
      <c r="N106" s="164"/>
      <c r="O106" s="164"/>
      <c r="P106" s="164"/>
      <c r="Q106" s="164"/>
    </row>
    <row r="107" spans="1:17">
      <c r="A107" s="164"/>
      <c r="B107" s="164"/>
      <c r="C107" s="164"/>
      <c r="D107" s="164"/>
      <c r="E107" s="164"/>
      <c r="F107" s="164"/>
      <c r="G107" s="164"/>
      <c r="H107" s="164"/>
      <c r="I107" s="164"/>
      <c r="J107" s="164"/>
      <c r="K107" s="164"/>
      <c r="L107" s="164"/>
      <c r="M107" s="164"/>
      <c r="N107" s="164"/>
      <c r="O107" s="164"/>
      <c r="P107" s="164"/>
      <c r="Q107" s="164"/>
    </row>
    <row r="108" spans="1:17">
      <c r="A108" s="164"/>
      <c r="B108" s="164"/>
      <c r="C108" s="164"/>
      <c r="D108" s="164"/>
      <c r="E108" s="164"/>
      <c r="F108" s="164"/>
      <c r="G108" s="164"/>
      <c r="H108" s="164"/>
      <c r="I108" s="164"/>
      <c r="J108" s="164"/>
      <c r="K108" s="164"/>
      <c r="L108" s="164"/>
      <c r="M108" s="164"/>
      <c r="N108" s="164"/>
      <c r="O108" s="164"/>
      <c r="P108" s="164"/>
      <c r="Q108" s="164"/>
    </row>
    <row r="109" spans="1:17">
      <c r="A109" s="164"/>
      <c r="B109" s="164"/>
      <c r="C109" s="164"/>
      <c r="D109" s="164"/>
      <c r="E109" s="164"/>
      <c r="F109" s="164"/>
      <c r="G109" s="164"/>
      <c r="H109" s="164"/>
      <c r="I109" s="164"/>
      <c r="J109" s="164"/>
      <c r="K109" s="164"/>
      <c r="L109" s="164"/>
      <c r="M109" s="164"/>
      <c r="N109" s="164"/>
      <c r="O109" s="164"/>
      <c r="P109" s="164"/>
      <c r="Q109" s="164"/>
    </row>
    <row r="110" spans="1:17">
      <c r="A110" s="164"/>
      <c r="B110" s="164"/>
      <c r="C110" s="164"/>
      <c r="D110" s="164"/>
      <c r="E110" s="164"/>
      <c r="F110" s="164"/>
      <c r="G110" s="164"/>
      <c r="H110" s="164"/>
      <c r="I110" s="164"/>
      <c r="J110" s="164"/>
      <c r="K110" s="164"/>
      <c r="L110" s="164"/>
      <c r="M110" s="164"/>
      <c r="N110" s="164"/>
      <c r="O110" s="164"/>
      <c r="P110" s="164"/>
      <c r="Q110" s="164"/>
    </row>
    <row r="111" spans="1:17">
      <c r="A111" s="164"/>
      <c r="B111" s="164"/>
      <c r="C111" s="164"/>
      <c r="D111" s="164"/>
      <c r="E111" s="164"/>
      <c r="F111" s="164"/>
      <c r="G111" s="164"/>
      <c r="H111" s="164"/>
      <c r="I111" s="164"/>
      <c r="J111" s="164"/>
      <c r="K111" s="164"/>
      <c r="L111" s="164"/>
      <c r="M111" s="164"/>
      <c r="N111" s="164"/>
      <c r="O111" s="164"/>
      <c r="P111" s="164"/>
      <c r="Q111" s="164"/>
    </row>
    <row r="112" spans="1:17">
      <c r="A112" s="164"/>
      <c r="B112" s="164"/>
      <c r="C112" s="164"/>
      <c r="D112" s="164"/>
      <c r="E112" s="164"/>
      <c r="F112" s="164"/>
      <c r="G112" s="164"/>
      <c r="H112" s="164"/>
      <c r="I112" s="164"/>
      <c r="J112" s="164"/>
      <c r="K112" s="164"/>
      <c r="L112" s="164"/>
      <c r="M112" s="164"/>
      <c r="N112" s="164"/>
      <c r="O112" s="164"/>
      <c r="P112" s="164"/>
      <c r="Q112" s="164"/>
    </row>
    <row r="113" spans="1:17">
      <c r="A113" s="164"/>
      <c r="B113" s="164"/>
      <c r="C113" s="164"/>
      <c r="D113" s="164"/>
      <c r="E113" s="164"/>
      <c r="F113" s="164"/>
      <c r="G113" s="164"/>
      <c r="H113" s="164"/>
      <c r="I113" s="164"/>
      <c r="J113" s="164"/>
      <c r="K113" s="164"/>
      <c r="L113" s="164"/>
      <c r="M113" s="164"/>
      <c r="N113" s="164"/>
      <c r="O113" s="164"/>
      <c r="P113" s="164"/>
      <c r="Q113" s="164"/>
    </row>
    <row r="114" spans="1:17">
      <c r="A114" s="164"/>
      <c r="B114" s="164"/>
      <c r="C114" s="164"/>
      <c r="D114" s="164"/>
      <c r="E114" s="164"/>
      <c r="F114" s="164"/>
      <c r="G114" s="164"/>
      <c r="H114" s="164"/>
      <c r="I114" s="164"/>
      <c r="J114" s="164"/>
      <c r="K114" s="164"/>
      <c r="L114" s="164"/>
      <c r="M114" s="164"/>
      <c r="N114" s="164"/>
      <c r="O114" s="164"/>
      <c r="P114" s="164"/>
      <c r="Q114" s="164"/>
    </row>
    <row r="115" spans="1:17">
      <c r="A115" s="164"/>
      <c r="B115" s="164"/>
      <c r="C115" s="164"/>
      <c r="D115" s="164"/>
      <c r="E115" s="164"/>
      <c r="F115" s="164"/>
      <c r="G115" s="164"/>
      <c r="H115" s="164"/>
      <c r="I115" s="164"/>
      <c r="J115" s="164"/>
      <c r="K115" s="164"/>
      <c r="L115" s="164"/>
      <c r="M115" s="164"/>
      <c r="N115" s="164"/>
      <c r="O115" s="164"/>
      <c r="P115" s="164"/>
      <c r="Q115" s="164"/>
    </row>
    <row r="116" spans="1:17">
      <c r="A116" s="164"/>
      <c r="B116" s="164"/>
      <c r="C116" s="164"/>
      <c r="D116" s="164"/>
      <c r="E116" s="164"/>
      <c r="F116" s="164"/>
      <c r="G116" s="164"/>
      <c r="H116" s="164"/>
      <c r="I116" s="164"/>
      <c r="J116" s="164"/>
      <c r="K116" s="164"/>
      <c r="L116" s="164"/>
      <c r="M116" s="164"/>
      <c r="N116" s="164"/>
      <c r="O116" s="164"/>
      <c r="P116" s="164"/>
      <c r="Q116" s="164"/>
    </row>
    <row r="117" spans="1:17">
      <c r="A117" s="164"/>
      <c r="B117" s="164"/>
      <c r="C117" s="164"/>
      <c r="D117" s="164"/>
      <c r="E117" s="164"/>
      <c r="F117" s="164"/>
      <c r="G117" s="164"/>
      <c r="H117" s="164"/>
      <c r="I117" s="164"/>
      <c r="J117" s="164"/>
      <c r="K117" s="164"/>
      <c r="L117" s="164"/>
      <c r="M117" s="164"/>
      <c r="N117" s="164"/>
      <c r="O117" s="164"/>
      <c r="P117" s="164"/>
      <c r="Q117" s="164"/>
    </row>
    <row r="118" spans="1:17">
      <c r="A118" s="164"/>
      <c r="B118" s="164"/>
      <c r="C118" s="164"/>
      <c r="D118" s="164"/>
      <c r="E118" s="164"/>
      <c r="F118" s="164"/>
      <c r="G118" s="164"/>
      <c r="H118" s="164"/>
      <c r="I118" s="164"/>
      <c r="J118" s="164"/>
      <c r="K118" s="164"/>
      <c r="L118" s="164"/>
      <c r="M118" s="164"/>
      <c r="N118" s="164"/>
      <c r="O118" s="164"/>
      <c r="P118" s="164"/>
      <c r="Q118" s="164"/>
    </row>
    <row r="119" spans="1:17">
      <c r="A119" s="164"/>
      <c r="B119" s="164"/>
      <c r="C119" s="164"/>
      <c r="D119" s="164"/>
      <c r="E119" s="164"/>
      <c r="F119" s="164"/>
      <c r="G119" s="164"/>
      <c r="H119" s="164"/>
      <c r="I119" s="164"/>
      <c r="J119" s="164"/>
      <c r="K119" s="164"/>
      <c r="L119" s="164"/>
      <c r="M119" s="164"/>
      <c r="N119" s="164"/>
      <c r="O119" s="164"/>
      <c r="P119" s="164"/>
      <c r="Q119" s="164"/>
    </row>
    <row r="120" spans="1:17">
      <c r="A120" s="164"/>
      <c r="B120" s="164"/>
      <c r="C120" s="164"/>
      <c r="D120" s="164"/>
      <c r="E120" s="164"/>
      <c r="F120" s="164"/>
      <c r="G120" s="164"/>
      <c r="H120" s="164"/>
      <c r="I120" s="164"/>
      <c r="J120" s="164"/>
      <c r="K120" s="164"/>
      <c r="L120" s="164"/>
      <c r="M120" s="164"/>
      <c r="N120" s="164"/>
      <c r="O120" s="164"/>
      <c r="P120" s="164"/>
      <c r="Q120" s="164"/>
    </row>
    <row r="121" spans="1:17">
      <c r="A121" s="164"/>
      <c r="B121" s="164"/>
      <c r="C121" s="164"/>
      <c r="D121" s="164"/>
      <c r="E121" s="164"/>
      <c r="F121" s="164"/>
      <c r="G121" s="164"/>
      <c r="H121" s="164"/>
      <c r="I121" s="164"/>
      <c r="J121" s="164"/>
      <c r="K121" s="164"/>
      <c r="L121" s="164"/>
      <c r="M121" s="164"/>
      <c r="N121" s="164"/>
      <c r="O121" s="164"/>
      <c r="P121" s="164"/>
      <c r="Q121" s="164"/>
    </row>
    <row r="122" spans="1:17">
      <c r="A122" s="164"/>
      <c r="B122" s="164"/>
      <c r="C122" s="164"/>
      <c r="D122" s="164"/>
      <c r="E122" s="164"/>
      <c r="F122" s="164"/>
      <c r="G122" s="164"/>
      <c r="H122" s="164"/>
      <c r="I122" s="164"/>
      <c r="J122" s="164"/>
      <c r="K122" s="164"/>
      <c r="L122" s="164"/>
      <c r="M122" s="164"/>
      <c r="N122" s="164"/>
      <c r="O122" s="164"/>
      <c r="P122" s="164"/>
      <c r="Q122" s="164"/>
    </row>
    <row r="123" spans="1:17">
      <c r="A123" s="164"/>
      <c r="B123" s="164"/>
      <c r="C123" s="164"/>
      <c r="D123" s="164"/>
      <c r="E123" s="164"/>
      <c r="F123" s="164"/>
      <c r="G123" s="164"/>
      <c r="H123" s="164"/>
      <c r="I123" s="164"/>
      <c r="J123" s="164"/>
      <c r="K123" s="164"/>
      <c r="L123" s="164"/>
      <c r="M123" s="164"/>
      <c r="N123" s="164"/>
      <c r="O123" s="164"/>
      <c r="P123" s="164"/>
      <c r="Q123" s="164"/>
    </row>
    <row r="124" spans="1:17">
      <c r="A124" s="164"/>
      <c r="B124" s="164"/>
      <c r="C124" s="164"/>
      <c r="D124" s="164"/>
      <c r="E124" s="164"/>
      <c r="F124" s="164"/>
      <c r="G124" s="164"/>
      <c r="H124" s="164"/>
      <c r="I124" s="164"/>
      <c r="J124" s="164"/>
      <c r="K124" s="164"/>
      <c r="L124" s="164"/>
      <c r="M124" s="164"/>
      <c r="N124" s="164"/>
      <c r="O124" s="164"/>
      <c r="P124" s="164"/>
      <c r="Q124" s="164"/>
    </row>
    <row r="125" spans="1:17">
      <c r="A125" s="164"/>
      <c r="B125" s="164"/>
      <c r="C125" s="164"/>
      <c r="D125" s="164"/>
      <c r="E125" s="164"/>
      <c r="F125" s="164"/>
      <c r="G125" s="164"/>
      <c r="H125" s="164"/>
      <c r="I125" s="164"/>
      <c r="J125" s="164"/>
      <c r="K125" s="164"/>
      <c r="L125" s="164"/>
      <c r="M125" s="164"/>
      <c r="N125" s="164"/>
      <c r="O125" s="164"/>
      <c r="P125" s="164"/>
      <c r="Q125" s="164"/>
    </row>
    <row r="126" spans="1:17">
      <c r="A126" s="164"/>
      <c r="B126" s="164"/>
      <c r="C126" s="164"/>
      <c r="D126" s="164"/>
      <c r="E126" s="164"/>
      <c r="F126" s="164"/>
      <c r="G126" s="164"/>
      <c r="H126" s="164"/>
      <c r="I126" s="164"/>
      <c r="J126" s="164"/>
      <c r="K126" s="164"/>
      <c r="L126" s="164"/>
      <c r="M126" s="164"/>
      <c r="N126" s="164"/>
      <c r="O126" s="164"/>
      <c r="P126" s="164"/>
      <c r="Q126" s="164"/>
    </row>
    <row r="127" spans="1:17">
      <c r="A127" s="164"/>
      <c r="B127" s="164"/>
      <c r="C127" s="164"/>
      <c r="D127" s="164"/>
      <c r="E127" s="164"/>
      <c r="F127" s="164"/>
      <c r="G127" s="164"/>
      <c r="H127" s="164"/>
      <c r="I127" s="164"/>
      <c r="J127" s="164"/>
      <c r="K127" s="164"/>
      <c r="L127" s="164"/>
      <c r="M127" s="164"/>
      <c r="N127" s="164"/>
      <c r="O127" s="164"/>
      <c r="P127" s="164"/>
      <c r="Q127" s="164"/>
    </row>
    <row r="128" spans="1:17">
      <c r="A128" s="164"/>
      <c r="B128" s="164"/>
      <c r="C128" s="164"/>
      <c r="D128" s="164"/>
      <c r="E128" s="164"/>
      <c r="F128" s="164"/>
      <c r="G128" s="164"/>
      <c r="H128" s="164"/>
      <c r="I128" s="164"/>
      <c r="J128" s="164"/>
      <c r="K128" s="164"/>
      <c r="L128" s="164"/>
      <c r="M128" s="164"/>
      <c r="N128" s="164"/>
      <c r="O128" s="164"/>
      <c r="P128" s="164"/>
      <c r="Q128" s="164"/>
    </row>
    <row r="129" spans="1:17">
      <c r="A129" s="164"/>
      <c r="B129" s="164"/>
      <c r="C129" s="164"/>
      <c r="D129" s="164"/>
      <c r="E129" s="164"/>
      <c r="F129" s="164"/>
      <c r="G129" s="164"/>
      <c r="H129" s="164"/>
      <c r="I129" s="164"/>
      <c r="J129" s="164"/>
      <c r="K129" s="164"/>
      <c r="L129" s="164"/>
      <c r="M129" s="164"/>
      <c r="N129" s="164"/>
      <c r="O129" s="164"/>
      <c r="P129" s="164"/>
      <c r="Q129" s="164"/>
    </row>
    <row r="130" spans="1:17">
      <c r="A130" s="164"/>
      <c r="B130" s="164"/>
      <c r="C130" s="164"/>
      <c r="D130" s="164"/>
      <c r="E130" s="164"/>
      <c r="F130" s="164"/>
      <c r="G130" s="164"/>
      <c r="H130" s="164"/>
      <c r="I130" s="164"/>
      <c r="J130" s="164"/>
      <c r="K130" s="164"/>
      <c r="L130" s="164"/>
      <c r="M130" s="164"/>
      <c r="N130" s="164"/>
      <c r="O130" s="164"/>
      <c r="P130" s="164"/>
      <c r="Q130" s="164"/>
    </row>
    <row r="131" spans="1:17">
      <c r="A131" s="164"/>
      <c r="B131" s="164"/>
      <c r="C131" s="164"/>
      <c r="D131" s="164"/>
      <c r="E131" s="164"/>
      <c r="F131" s="164"/>
      <c r="G131" s="164"/>
      <c r="H131" s="164"/>
      <c r="I131" s="164"/>
      <c r="J131" s="164"/>
      <c r="K131" s="164"/>
      <c r="L131" s="164"/>
      <c r="M131" s="164"/>
      <c r="N131" s="164"/>
      <c r="O131" s="164"/>
      <c r="P131" s="164"/>
      <c r="Q131" s="164"/>
    </row>
    <row r="132" spans="1:17">
      <c r="A132" s="164"/>
      <c r="B132" s="164"/>
      <c r="C132" s="164"/>
      <c r="D132" s="164"/>
      <c r="E132" s="164"/>
      <c r="F132" s="164"/>
      <c r="G132" s="164"/>
      <c r="H132" s="164"/>
      <c r="I132" s="164"/>
      <c r="J132" s="164"/>
      <c r="K132" s="164"/>
      <c r="L132" s="164"/>
      <c r="M132" s="164"/>
      <c r="N132" s="164"/>
      <c r="O132" s="164"/>
      <c r="P132" s="164"/>
      <c r="Q132" s="164"/>
    </row>
    <row r="133" spans="1:17">
      <c r="A133" s="164"/>
      <c r="B133" s="164"/>
      <c r="C133" s="164"/>
      <c r="D133" s="164"/>
      <c r="E133" s="164"/>
      <c r="F133" s="164"/>
      <c r="G133" s="164"/>
      <c r="H133" s="164"/>
      <c r="I133" s="164"/>
      <c r="J133" s="164"/>
      <c r="K133" s="164"/>
      <c r="L133" s="164"/>
      <c r="M133" s="164"/>
      <c r="N133" s="164"/>
      <c r="O133" s="164"/>
      <c r="P133" s="164"/>
      <c r="Q133" s="164"/>
    </row>
    <row r="134" spans="1:17">
      <c r="A134" s="164"/>
      <c r="B134" s="164"/>
      <c r="C134" s="164"/>
      <c r="D134" s="164"/>
      <c r="E134" s="164"/>
      <c r="F134" s="164"/>
      <c r="G134" s="164"/>
      <c r="H134" s="164"/>
      <c r="I134" s="164"/>
      <c r="J134" s="164"/>
      <c r="K134" s="164"/>
      <c r="L134" s="164"/>
      <c r="M134" s="164"/>
      <c r="N134" s="164"/>
      <c r="O134" s="164"/>
      <c r="P134" s="164"/>
      <c r="Q134" s="164"/>
    </row>
    <row r="135" spans="1:17">
      <c r="A135" s="164"/>
      <c r="B135" s="164"/>
      <c r="C135" s="164"/>
      <c r="D135" s="164"/>
      <c r="E135" s="164"/>
      <c r="F135" s="164"/>
      <c r="G135" s="164"/>
      <c r="H135" s="164"/>
      <c r="I135" s="164"/>
      <c r="J135" s="164"/>
      <c r="K135" s="164"/>
      <c r="L135" s="164"/>
      <c r="M135" s="164"/>
      <c r="N135" s="164"/>
      <c r="O135" s="164"/>
      <c r="P135" s="164"/>
      <c r="Q135" s="164"/>
    </row>
    <row r="136" spans="1:17">
      <c r="A136" s="164"/>
      <c r="B136" s="164"/>
      <c r="C136" s="164"/>
      <c r="D136" s="164"/>
      <c r="E136" s="164"/>
      <c r="F136" s="164"/>
      <c r="G136" s="164"/>
      <c r="H136" s="164"/>
      <c r="I136" s="164"/>
      <c r="J136" s="164"/>
      <c r="K136" s="164"/>
      <c r="L136" s="164"/>
      <c r="M136" s="164"/>
      <c r="N136" s="164"/>
      <c r="O136" s="164"/>
      <c r="P136" s="164"/>
      <c r="Q136" s="164"/>
    </row>
    <row r="137" spans="1:17">
      <c r="A137" s="164"/>
      <c r="B137" s="164"/>
      <c r="C137" s="164"/>
      <c r="D137" s="164"/>
      <c r="E137" s="164"/>
      <c r="F137" s="164"/>
      <c r="G137" s="164"/>
      <c r="H137" s="164"/>
      <c r="I137" s="164"/>
      <c r="J137" s="164"/>
      <c r="K137" s="164"/>
      <c r="L137" s="164"/>
      <c r="M137" s="164"/>
      <c r="N137" s="164"/>
      <c r="O137" s="164"/>
      <c r="P137" s="164"/>
      <c r="Q137" s="164"/>
    </row>
    <row r="138" spans="1:17">
      <c r="A138" s="164"/>
      <c r="B138" s="164"/>
      <c r="C138" s="164"/>
      <c r="D138" s="164"/>
      <c r="E138" s="164"/>
      <c r="F138" s="164"/>
      <c r="G138" s="164"/>
      <c r="H138" s="164"/>
      <c r="I138" s="164"/>
      <c r="J138" s="164"/>
      <c r="K138" s="164"/>
      <c r="L138" s="164"/>
      <c r="M138" s="164"/>
      <c r="N138" s="164"/>
      <c r="O138" s="164"/>
      <c r="P138" s="164"/>
      <c r="Q138" s="164"/>
    </row>
    <row r="139" spans="1:17">
      <c r="A139" s="164"/>
      <c r="B139" s="164"/>
      <c r="C139" s="164"/>
      <c r="D139" s="164"/>
      <c r="E139" s="164"/>
      <c r="F139" s="164"/>
      <c r="G139" s="164"/>
      <c r="H139" s="164"/>
      <c r="I139" s="164"/>
      <c r="J139" s="164"/>
      <c r="K139" s="164"/>
      <c r="L139" s="164"/>
      <c r="M139" s="164"/>
      <c r="N139" s="164"/>
      <c r="O139" s="164"/>
      <c r="P139" s="164"/>
      <c r="Q139" s="164"/>
    </row>
    <row r="140" spans="1:17">
      <c r="A140" s="164"/>
      <c r="B140" s="164"/>
      <c r="C140" s="164"/>
      <c r="D140" s="164"/>
      <c r="E140" s="164"/>
      <c r="F140" s="164"/>
      <c r="G140" s="164"/>
      <c r="H140" s="164"/>
      <c r="I140" s="164"/>
      <c r="J140" s="164"/>
      <c r="K140" s="164"/>
      <c r="L140" s="164"/>
      <c r="M140" s="164"/>
      <c r="N140" s="164"/>
      <c r="O140" s="164"/>
      <c r="P140" s="164"/>
      <c r="Q140" s="164"/>
    </row>
    <row r="141" spans="1:17">
      <c r="A141" s="164"/>
      <c r="B141" s="164"/>
      <c r="C141" s="164"/>
      <c r="D141" s="164"/>
      <c r="E141" s="164"/>
      <c r="F141" s="164"/>
      <c r="G141" s="164"/>
      <c r="H141" s="164"/>
      <c r="I141" s="164"/>
      <c r="J141" s="164"/>
      <c r="K141" s="164"/>
      <c r="L141" s="164"/>
      <c r="M141" s="164"/>
      <c r="N141" s="164"/>
      <c r="O141" s="164"/>
      <c r="P141" s="164"/>
      <c r="Q141" s="164"/>
    </row>
    <row r="142" spans="1:17">
      <c r="A142" s="164"/>
      <c r="B142" s="164"/>
      <c r="C142" s="164"/>
      <c r="D142" s="164"/>
      <c r="E142" s="164"/>
      <c r="F142" s="164"/>
      <c r="G142" s="164"/>
      <c r="H142" s="164"/>
      <c r="I142" s="164"/>
      <c r="J142" s="164"/>
      <c r="K142" s="164"/>
      <c r="L142" s="164"/>
      <c r="M142" s="164"/>
      <c r="N142" s="164"/>
      <c r="O142" s="164"/>
      <c r="P142" s="164"/>
      <c r="Q142" s="164"/>
    </row>
    <row r="143" spans="1:17">
      <c r="A143" s="164"/>
      <c r="B143" s="164"/>
      <c r="C143" s="164"/>
      <c r="D143" s="164"/>
      <c r="E143" s="164"/>
      <c r="F143" s="164"/>
      <c r="G143" s="164"/>
      <c r="H143" s="164"/>
      <c r="I143" s="164"/>
      <c r="J143" s="164"/>
      <c r="K143" s="164"/>
      <c r="L143" s="164"/>
      <c r="M143" s="164"/>
      <c r="N143" s="164"/>
      <c r="O143" s="164"/>
      <c r="P143" s="164"/>
      <c r="Q143" s="164"/>
    </row>
    <row r="144" spans="1:17">
      <c r="A144" s="164"/>
      <c r="B144" s="164"/>
      <c r="C144" s="164"/>
      <c r="D144" s="164"/>
      <c r="E144" s="164"/>
      <c r="F144" s="164"/>
      <c r="G144" s="164"/>
      <c r="H144" s="164"/>
      <c r="I144" s="164"/>
      <c r="J144" s="164"/>
      <c r="K144" s="164"/>
      <c r="L144" s="164"/>
      <c r="M144" s="164"/>
      <c r="N144" s="164"/>
      <c r="O144" s="164"/>
      <c r="P144" s="164"/>
      <c r="Q144" s="164"/>
    </row>
    <row r="145" spans="1:17">
      <c r="A145" s="164"/>
      <c r="B145" s="164"/>
      <c r="C145" s="164"/>
      <c r="D145" s="164"/>
      <c r="E145" s="164"/>
      <c r="F145" s="164"/>
      <c r="G145" s="164"/>
      <c r="H145" s="164"/>
      <c r="I145" s="164"/>
      <c r="J145" s="164"/>
      <c r="K145" s="164"/>
      <c r="L145" s="164"/>
      <c r="M145" s="164"/>
      <c r="N145" s="164"/>
      <c r="O145" s="164"/>
      <c r="P145" s="164"/>
      <c r="Q145" s="164"/>
    </row>
    <row r="146" spans="1:17">
      <c r="A146" s="164"/>
      <c r="B146" s="164"/>
      <c r="C146" s="164"/>
      <c r="D146" s="164"/>
      <c r="E146" s="164"/>
      <c r="F146" s="164"/>
      <c r="G146" s="164"/>
      <c r="H146" s="164"/>
      <c r="I146" s="164"/>
      <c r="J146" s="164"/>
      <c r="K146" s="164"/>
      <c r="L146" s="164"/>
      <c r="M146" s="164"/>
      <c r="N146" s="164"/>
      <c r="O146" s="164"/>
      <c r="P146" s="164"/>
      <c r="Q146" s="164"/>
    </row>
    <row r="147" spans="1:17">
      <c r="A147" s="164"/>
      <c r="E147" s="164"/>
      <c r="F147" s="164"/>
      <c r="G147" s="164"/>
      <c r="H147" s="164"/>
      <c r="I147" s="164"/>
      <c r="J147" s="164"/>
      <c r="K147" s="164"/>
      <c r="L147" s="164"/>
      <c r="M147" s="164"/>
      <c r="N147" s="164"/>
      <c r="O147" s="164"/>
      <c r="P147" s="164"/>
      <c r="Q147" s="164"/>
    </row>
    <row r="148" spans="1:17">
      <c r="A148" s="164"/>
      <c r="E148" s="164"/>
      <c r="F148" s="164"/>
      <c r="G148" s="164"/>
      <c r="H148" s="164"/>
      <c r="I148" s="164"/>
      <c r="J148" s="164"/>
      <c r="K148" s="164"/>
      <c r="L148" s="164"/>
      <c r="M148" s="164"/>
      <c r="N148" s="164"/>
      <c r="O148" s="164"/>
      <c r="P148" s="164"/>
      <c r="Q148" s="164"/>
    </row>
    <row r="149" spans="1:17">
      <c r="A149" s="164"/>
      <c r="E149" s="164"/>
      <c r="F149" s="164"/>
      <c r="G149" s="164"/>
      <c r="H149" s="164"/>
      <c r="I149" s="164"/>
      <c r="J149" s="164"/>
      <c r="K149" s="164"/>
      <c r="L149" s="164"/>
      <c r="M149" s="164"/>
      <c r="N149" s="164"/>
      <c r="O149" s="164"/>
      <c r="P149" s="164"/>
      <c r="Q149" s="164"/>
    </row>
    <row r="150" spans="1:17">
      <c r="A150" s="164"/>
      <c r="E150" s="164"/>
      <c r="F150" s="164"/>
      <c r="G150" s="164"/>
      <c r="H150" s="164"/>
      <c r="I150" s="164"/>
      <c r="J150" s="164"/>
      <c r="K150" s="164"/>
      <c r="L150" s="164"/>
      <c r="M150" s="164"/>
      <c r="N150" s="164"/>
      <c r="O150" s="164"/>
      <c r="P150" s="164"/>
      <c r="Q150" s="164"/>
    </row>
    <row r="151" spans="1:17">
      <c r="A151" s="164"/>
      <c r="E151" s="164"/>
      <c r="F151" s="164"/>
      <c r="G151" s="164"/>
      <c r="H151" s="164"/>
      <c r="I151" s="164"/>
      <c r="J151" s="164"/>
      <c r="K151" s="164"/>
      <c r="L151" s="164"/>
      <c r="M151" s="164"/>
      <c r="N151" s="164"/>
      <c r="O151" s="164"/>
      <c r="P151" s="164"/>
      <c r="Q151" s="164"/>
    </row>
    <row r="152" spans="1:17">
      <c r="A152" s="164"/>
      <c r="E152" s="164"/>
      <c r="F152" s="164"/>
      <c r="G152" s="164"/>
      <c r="H152" s="164"/>
      <c r="I152" s="164"/>
      <c r="J152" s="164"/>
      <c r="K152" s="164"/>
      <c r="L152" s="164"/>
      <c r="M152" s="164"/>
      <c r="N152" s="164"/>
      <c r="O152" s="164"/>
      <c r="P152" s="164"/>
      <c r="Q152" s="164"/>
    </row>
    <row r="153" spans="1:17">
      <c r="A153" s="164"/>
      <c r="E153" s="164"/>
      <c r="F153" s="164"/>
      <c r="G153" s="164"/>
      <c r="H153" s="164"/>
      <c r="I153" s="164"/>
      <c r="J153" s="164"/>
      <c r="K153" s="164"/>
      <c r="L153" s="164"/>
      <c r="M153" s="164"/>
      <c r="N153" s="164"/>
      <c r="O153" s="164"/>
      <c r="P153" s="164"/>
      <c r="Q153" s="164"/>
    </row>
    <row r="154" spans="1:17">
      <c r="A154" s="164"/>
      <c r="E154" s="164"/>
      <c r="F154" s="164"/>
      <c r="G154" s="164"/>
      <c r="H154" s="164"/>
      <c r="I154" s="164"/>
      <c r="J154" s="164"/>
      <c r="K154" s="164"/>
      <c r="L154" s="164"/>
      <c r="M154" s="164"/>
      <c r="N154" s="164"/>
      <c r="O154" s="164"/>
      <c r="P154" s="164"/>
      <c r="Q154" s="164"/>
    </row>
    <row r="155" spans="1:17">
      <c r="A155" s="164"/>
      <c r="E155" s="164"/>
      <c r="F155" s="164"/>
      <c r="G155" s="164"/>
      <c r="H155" s="164"/>
      <c r="I155" s="164"/>
      <c r="J155" s="164"/>
      <c r="K155" s="164"/>
      <c r="L155" s="164"/>
      <c r="M155" s="164"/>
      <c r="N155" s="164"/>
      <c r="O155" s="164"/>
      <c r="P155" s="164"/>
      <c r="Q155" s="164"/>
    </row>
    <row r="156" spans="1:17">
      <c r="A156" s="164"/>
      <c r="E156" s="164"/>
      <c r="F156" s="164"/>
      <c r="G156" s="164"/>
      <c r="H156" s="164"/>
      <c r="I156" s="164"/>
      <c r="J156" s="164"/>
      <c r="K156" s="164"/>
      <c r="L156" s="164"/>
      <c r="M156" s="164"/>
      <c r="N156" s="164"/>
      <c r="O156" s="164"/>
      <c r="P156" s="164"/>
      <c r="Q156" s="164"/>
    </row>
    <row r="157" spans="1:17">
      <c r="A157" s="164"/>
      <c r="E157" s="164"/>
      <c r="F157" s="164"/>
      <c r="G157" s="164"/>
      <c r="H157" s="164"/>
      <c r="I157" s="164"/>
      <c r="J157" s="164"/>
      <c r="K157" s="164"/>
      <c r="L157" s="164"/>
      <c r="M157" s="164"/>
      <c r="N157" s="164"/>
      <c r="O157" s="164"/>
      <c r="P157" s="164"/>
      <c r="Q157" s="164"/>
    </row>
    <row r="158" spans="1:17">
      <c r="A158" s="164"/>
      <c r="E158" s="164"/>
      <c r="F158" s="164"/>
      <c r="G158" s="164"/>
      <c r="H158" s="164"/>
      <c r="I158" s="164"/>
      <c r="J158" s="164"/>
      <c r="K158" s="164"/>
      <c r="L158" s="164"/>
      <c r="M158" s="164"/>
      <c r="N158" s="164"/>
      <c r="O158" s="164"/>
      <c r="P158" s="164"/>
      <c r="Q158" s="164"/>
    </row>
    <row r="159" spans="1:17">
      <c r="A159" s="164"/>
      <c r="E159" s="164"/>
      <c r="F159" s="164"/>
      <c r="G159" s="164"/>
      <c r="H159" s="164"/>
      <c r="I159" s="164"/>
      <c r="J159" s="164"/>
      <c r="K159" s="164"/>
      <c r="L159" s="164"/>
      <c r="M159" s="164"/>
      <c r="N159" s="164"/>
      <c r="O159" s="164"/>
      <c r="P159" s="164"/>
      <c r="Q159" s="164"/>
    </row>
    <row r="160" spans="1:17">
      <c r="A160" s="164"/>
      <c r="E160" s="164"/>
      <c r="F160" s="164"/>
      <c r="G160" s="164"/>
      <c r="H160" s="164"/>
      <c r="I160" s="164"/>
      <c r="J160" s="164"/>
      <c r="K160" s="164"/>
      <c r="L160" s="164"/>
      <c r="M160" s="164"/>
      <c r="N160" s="164"/>
      <c r="O160" s="164"/>
      <c r="P160" s="164"/>
      <c r="Q160" s="164"/>
    </row>
    <row r="161" spans="1:17">
      <c r="A161" s="164"/>
      <c r="E161" s="164"/>
      <c r="F161" s="164"/>
      <c r="G161" s="164"/>
      <c r="H161" s="164"/>
      <c r="I161" s="164"/>
      <c r="J161" s="164"/>
      <c r="K161" s="164"/>
      <c r="L161" s="164"/>
      <c r="M161" s="164"/>
      <c r="N161" s="164"/>
      <c r="O161" s="164"/>
      <c r="P161" s="164"/>
      <c r="Q161" s="164"/>
    </row>
    <row r="162" spans="1:17">
      <c r="A162" s="164"/>
      <c r="E162" s="164"/>
      <c r="F162" s="164"/>
      <c r="G162" s="164"/>
      <c r="H162" s="164"/>
      <c r="I162" s="164"/>
      <c r="J162" s="164"/>
      <c r="K162" s="164"/>
      <c r="L162" s="164"/>
      <c r="M162" s="164"/>
      <c r="N162" s="164"/>
      <c r="O162" s="164"/>
      <c r="P162" s="164"/>
      <c r="Q162" s="164"/>
    </row>
    <row r="163" spans="1:17">
      <c r="A163" s="164"/>
      <c r="E163" s="164"/>
      <c r="F163" s="164"/>
      <c r="G163" s="164"/>
      <c r="H163" s="164"/>
      <c r="I163" s="164"/>
      <c r="J163" s="164"/>
      <c r="K163" s="164"/>
      <c r="L163" s="164"/>
      <c r="M163" s="164"/>
      <c r="N163" s="164"/>
      <c r="O163" s="164"/>
      <c r="P163" s="164"/>
      <c r="Q163" s="164"/>
    </row>
    <row r="164" spans="1:17">
      <c r="E164" s="164"/>
      <c r="F164" s="164"/>
      <c r="G164" s="164"/>
      <c r="H164" s="164"/>
      <c r="I164" s="164"/>
      <c r="J164" s="164"/>
      <c r="K164" s="164"/>
      <c r="L164" s="164"/>
      <c r="M164" s="164"/>
      <c r="N164" s="164"/>
      <c r="O164" s="164"/>
      <c r="P164" s="164"/>
      <c r="Q164" s="164"/>
    </row>
  </sheetData>
  <autoFilter ref="B2:D90" xr:uid="{00000000-0009-0000-0000-000005000000}"/>
  <mergeCells count="2">
    <mergeCell ref="F2:G2"/>
    <mergeCell ref="B1:D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N272"/>
  <sheetViews>
    <sheetView showGridLines="0" workbookViewId="0"/>
  </sheetViews>
  <sheetFormatPr baseColWidth="10" defaultColWidth="11.44140625" defaultRowHeight="14.4"/>
  <cols>
    <col min="1" max="1" width="13.33203125" customWidth="1"/>
    <col min="2" max="2" width="42.6640625" customWidth="1"/>
    <col min="3" max="3" width="29" customWidth="1"/>
    <col min="4" max="4" width="26.6640625" customWidth="1"/>
    <col min="5" max="5" width="24.5546875" customWidth="1"/>
    <col min="6" max="6" width="26.44140625" customWidth="1"/>
    <col min="7" max="7" width="26.109375" customWidth="1"/>
    <col min="9" max="9" width="17.6640625" customWidth="1"/>
    <col min="10" max="12" width="13.109375" bestFit="1" customWidth="1"/>
    <col min="13" max="13" width="15.88671875" customWidth="1"/>
  </cols>
  <sheetData>
    <row r="3" spans="2:12">
      <c r="B3" s="41" t="s">
        <v>172</v>
      </c>
    </row>
    <row r="6" spans="2:12">
      <c r="B6" s="457" t="s">
        <v>173</v>
      </c>
      <c r="C6" s="457"/>
      <c r="D6" s="457"/>
      <c r="E6" s="457"/>
    </row>
    <row r="7" spans="2:12">
      <c r="B7" s="370"/>
      <c r="C7" s="370"/>
      <c r="D7" s="370"/>
      <c r="E7" s="370"/>
    </row>
    <row r="8" spans="2:12">
      <c r="B8" s="34" t="s">
        <v>174</v>
      </c>
      <c r="C8" s="40"/>
      <c r="D8" s="40"/>
      <c r="E8" s="40"/>
    </row>
    <row r="9" spans="2:12" ht="20.399999999999999" customHeight="1">
      <c r="B9" s="196"/>
      <c r="C9" s="188">
        <f>'Choix années'!$C$4</f>
        <v>2019</v>
      </c>
      <c r="D9" s="188">
        <f>'Choix années'!$C$5</f>
        <v>2030</v>
      </c>
      <c r="E9" s="4"/>
      <c r="G9" s="4"/>
    </row>
    <row r="10" spans="2:12" ht="28.95" customHeight="1">
      <c r="B10" s="214" t="s">
        <v>38</v>
      </c>
      <c r="C10" s="212"/>
      <c r="D10" s="212"/>
    </row>
    <row r="11" spans="2:12" ht="22.95" customHeight="1">
      <c r="B11" s="212" t="s">
        <v>342</v>
      </c>
      <c r="C11" s="195">
        <f>C19+C43+C70</f>
        <v>80.851003492510273</v>
      </c>
      <c r="D11" s="195">
        <f>D19+D43+D70</f>
        <v>39.697301693839208</v>
      </c>
      <c r="E11" s="5"/>
    </row>
    <row r="12" spans="2:12" ht="22.95" customHeight="1">
      <c r="B12" s="186" t="str">
        <f>"% de baisse vs "&amp;TEXT($C$16,"#")</f>
        <v>% de baisse vs 2019</v>
      </c>
      <c r="C12" s="196"/>
      <c r="D12" s="197">
        <f>1-(D11/C11)</f>
        <v>0.50900669158031397</v>
      </c>
      <c r="E12" s="5"/>
      <c r="F12" s="5"/>
    </row>
    <row r="13" spans="2:12" ht="28.2" customHeight="1">
      <c r="B13" s="186" t="str">
        <f>"Variation annuelle moyenne entre "&amp;TEXT($D$16,"#")&amp;" et "&amp;TEXT($C$16,"#")&amp;" "</f>
        <v xml:space="preserve">Variation annuelle moyenne entre 2030 et 2019 </v>
      </c>
      <c r="C13" s="196"/>
      <c r="D13" s="205">
        <f>((D11/C11)^(1/($D$9-$C$9))-1)</f>
        <v>-6.2619399831240652E-2</v>
      </c>
      <c r="E13" s="5"/>
      <c r="F13" s="5"/>
    </row>
    <row r="14" spans="2:12" ht="14.4" customHeight="1">
      <c r="B14" s="39"/>
      <c r="C14" s="36"/>
      <c r="D14" s="35"/>
      <c r="E14" s="5"/>
      <c r="F14" s="5"/>
      <c r="I14" s="27"/>
      <c r="J14" s="27"/>
      <c r="K14" s="27"/>
    </row>
    <row r="15" spans="2:12" ht="14.4" customHeight="1">
      <c r="B15" s="39"/>
      <c r="C15" s="36"/>
      <c r="D15" s="35"/>
      <c r="E15" s="5"/>
      <c r="F15" s="5"/>
      <c r="I15" s="27"/>
      <c r="J15" s="27"/>
      <c r="K15" s="27"/>
    </row>
    <row r="16" spans="2:12" ht="14.4" customHeight="1">
      <c r="B16" s="187" t="s">
        <v>175</v>
      </c>
      <c r="C16" s="188">
        <f>'Choix années'!$C$4</f>
        <v>2019</v>
      </c>
      <c r="D16" s="188">
        <f>'Choix années'!$C$5</f>
        <v>2030</v>
      </c>
      <c r="E16" s="5"/>
      <c r="F16" s="5"/>
      <c r="H16" s="33"/>
      <c r="I16" s="32"/>
      <c r="J16" s="32"/>
      <c r="K16" s="32"/>
      <c r="L16" s="32"/>
    </row>
    <row r="17" spans="2:11" ht="14.4" customHeight="1">
      <c r="B17" s="214"/>
      <c r="C17" s="186"/>
      <c r="D17" s="186"/>
      <c r="E17" s="5"/>
      <c r="F17" s="5"/>
    </row>
    <row r="18" spans="2:11" ht="15" customHeight="1">
      <c r="B18" s="214" t="s">
        <v>112</v>
      </c>
      <c r="C18" s="186"/>
      <c r="D18" s="186"/>
      <c r="E18" s="5"/>
      <c r="F18" s="5"/>
    </row>
    <row r="19" spans="2:11" ht="22.95" customHeight="1">
      <c r="B19" s="186" t="s">
        <v>342</v>
      </c>
      <c r="C19" s="195">
        <f>VLOOKUP("sous-total Usage des bâtiments résidentiels et activités domestiques",'Résultats détaillés GES'!$A$134:$BJ$149,MATCH(C$16,'Résultats détaillés GES'!$A$134:$BJ$134),FALSE)</f>
        <v>49.755163188196398</v>
      </c>
      <c r="D19" s="195">
        <f>VLOOKUP("sous-total Usage des bâtiments résidentiels et activités domestiques",'Résultats détaillés GES'!$A$134:$BJ$149,MATCH(D$16,'Résultats détaillés GES'!$A$134:$BJ$134),FALSE)</f>
        <v>23.016855088574449</v>
      </c>
      <c r="E19" s="5"/>
      <c r="F19" s="5"/>
    </row>
    <row r="20" spans="2:11" ht="22.95" customHeight="1">
      <c r="B20" s="186" t="str">
        <f>"% de baisse vs "&amp;TEXT($C$16,"#")</f>
        <v>% de baisse vs 2019</v>
      </c>
      <c r="C20" s="196"/>
      <c r="D20" s="197">
        <f>1-(D19/C19)</f>
        <v>0.53739765657054817</v>
      </c>
      <c r="E20" s="5"/>
      <c r="F20" s="5"/>
      <c r="J20" s="7"/>
      <c r="K20" s="7"/>
    </row>
    <row r="21" spans="2:11" ht="34.950000000000003" customHeight="1">
      <c r="B21" s="186" t="str">
        <f>"Variation annuelle moyenne entre "&amp;TEXT($D$16,"#")&amp;" et "&amp;TEXT($C$16,"#")&amp;" "</f>
        <v xml:space="preserve">Variation annuelle moyenne entre 2030 et 2019 </v>
      </c>
      <c r="C21" s="196"/>
      <c r="D21" s="197">
        <f>((D19/C19)^(1/($D$9-$C$9))-1)</f>
        <v>-6.7681401187534962E-2</v>
      </c>
      <c r="E21" s="5"/>
      <c r="F21" s="5"/>
    </row>
    <row r="22" spans="2:11" ht="27.6" customHeight="1">
      <c r="B22" s="218" t="s">
        <v>176</v>
      </c>
      <c r="C22" s="196"/>
      <c r="D22" s="197"/>
      <c r="E22" s="5"/>
      <c r="F22" s="5"/>
    </row>
    <row r="23" spans="2:11" ht="12.6" customHeight="1">
      <c r="B23" s="193" t="s">
        <v>342</v>
      </c>
      <c r="C23" s="195">
        <f>VLOOKUP(Bâtiment!$B$22,'Résultats détaillés GES'!$A$134:$BJ$149,MATCH(C$16,'Résultats détaillés GES'!$A$134:$BJ$134),FALSE)</f>
        <v>45.560803567549399</v>
      </c>
      <c r="D23" s="195">
        <f>VLOOKUP(Bâtiment!$B$22,'Résultats détaillés GES'!$A$134:$BJ$149,MATCH(D$16,'Résultats détaillés GES'!$A$134:$BJ$134),FALSE)</f>
        <v>19.474749581910881</v>
      </c>
      <c r="E23" s="5"/>
      <c r="F23" s="5"/>
    </row>
    <row r="24" spans="2:11" ht="12.6" customHeight="1">
      <c r="B24" s="193" t="str">
        <f>"% de baisse vs "&amp;TEXT($C$16,"#")</f>
        <v>% de baisse vs 2019</v>
      </c>
      <c r="C24" s="196"/>
      <c r="D24" s="197">
        <f>1-(D23/C23)</f>
        <v>0.57255473878907315</v>
      </c>
      <c r="E24" s="5"/>
      <c r="F24" s="5"/>
    </row>
    <row r="25" spans="2:11" ht="31.95" customHeight="1">
      <c r="B25" s="198" t="str">
        <f>"Variation annuelle moyenne entre "&amp;TEXT($D$16,"#")&amp;" et "&amp;TEXT($C$16,"#")&amp;" "</f>
        <v xml:space="preserve">Variation annuelle moyenne entre 2030 et 2019 </v>
      </c>
      <c r="C25" s="196"/>
      <c r="D25" s="197">
        <f>((D23/C23)^(1/($D$9-$C$9))-1)</f>
        <v>-7.4356656387338793E-2</v>
      </c>
      <c r="E25" s="5"/>
      <c r="F25" s="5"/>
    </row>
    <row r="26" spans="2:11" ht="12.6" customHeight="1">
      <c r="B26" s="218" t="s">
        <v>177</v>
      </c>
      <c r="C26" s="196"/>
      <c r="D26" s="197"/>
      <c r="E26" s="5"/>
      <c r="F26" s="5"/>
    </row>
    <row r="27" spans="2:11" ht="12.6" customHeight="1">
      <c r="B27" s="193" t="s">
        <v>520</v>
      </c>
      <c r="C27" s="195">
        <f>VLOOKUP(Bâtiment!$B$26,'Résultats détaillés GES'!$A$134:$BJ$149,MATCH(C$16,'Résultats détaillés GES'!$A$134:$BJ$134),FALSE)</f>
        <v>0.89936854052059412</v>
      </c>
      <c r="D27" s="195">
        <f>VLOOKUP(Bâtiment!$B$26,'Résultats détaillés GES'!$A$134:$BJ$149,MATCH(D$16,'Résultats détaillés GES'!$A$134:$BJ$134),FALSE)</f>
        <v>0.65687309173278219</v>
      </c>
      <c r="E27" s="5"/>
      <c r="F27" s="5"/>
    </row>
    <row r="28" spans="2:11" ht="12.6" customHeight="1">
      <c r="B28" s="193" t="str">
        <f>"% de baisse vs "&amp;TEXT($C$16,"#")</f>
        <v>% de baisse vs 2019</v>
      </c>
      <c r="C28" s="196"/>
      <c r="D28" s="197">
        <f>1-(D27/C27)</f>
        <v>0.26962856477884456</v>
      </c>
      <c r="E28" s="5"/>
      <c r="F28" s="5"/>
    </row>
    <row r="29" spans="2:11" ht="25.95" customHeight="1">
      <c r="B29" s="198" t="str">
        <f>"Variation annuelle moyenne entre "&amp;TEXT($D$16,"#")&amp;" et "&amp;TEXT($C$16,"#")&amp;" "</f>
        <v xml:space="preserve">Variation annuelle moyenne entre 2030 et 2019 </v>
      </c>
      <c r="C29" s="196"/>
      <c r="D29" s="197">
        <f>((D27/C27)^(1/($D$9-$C$9))-1)</f>
        <v>-2.8159734113252455E-2</v>
      </c>
      <c r="E29" s="5"/>
      <c r="F29" s="5"/>
    </row>
    <row r="30" spans="2:11" ht="29.4" customHeight="1">
      <c r="B30" s="218" t="s">
        <v>178</v>
      </c>
      <c r="C30" s="196"/>
      <c r="D30" s="197"/>
      <c r="E30" s="5"/>
      <c r="F30" s="5"/>
    </row>
    <row r="31" spans="2:11" ht="12.6" customHeight="1">
      <c r="B31" s="193" t="s">
        <v>342</v>
      </c>
      <c r="C31" s="195">
        <f>VLOOKUP(Bâtiment!$B$30,'Résultats détaillés GES'!$A$134:$BJ$149,MATCH(C$16,'Résultats détaillés GES'!$A$134:$BJ$134),FALSE)</f>
        <v>0.94299189818923035</v>
      </c>
      <c r="D31" s="195">
        <f>VLOOKUP(Bâtiment!$B$30,'Résultats détaillés GES'!$A$134:$BJ$149,MATCH(D$16,'Résultats détaillés GES'!$A$134:$BJ$134),FALSE)</f>
        <v>0.8309228075409878</v>
      </c>
      <c r="E31" s="5"/>
      <c r="F31" s="5"/>
    </row>
    <row r="32" spans="2:11" ht="12.6" customHeight="1">
      <c r="B32" s="193" t="str">
        <f>"% de baisse vs "&amp;TEXT($C$16,"#")</f>
        <v>% de baisse vs 2019</v>
      </c>
      <c r="C32" s="196"/>
      <c r="D32" s="197">
        <f>1-(D31/C31)</f>
        <v>0.11884417126323354</v>
      </c>
      <c r="E32" s="5"/>
      <c r="F32" s="5"/>
    </row>
    <row r="33" spans="2:6" ht="26.4" customHeight="1">
      <c r="B33" s="198" t="str">
        <f>"Variation annuelle moyenne entre "&amp;TEXT($D$16,"#")&amp;" et "&amp;TEXT($C$16,"#")&amp;" "</f>
        <v xml:space="preserve">Variation annuelle moyenne entre 2030 et 2019 </v>
      </c>
      <c r="C33" s="196"/>
      <c r="D33" s="197">
        <f>((D31/C31)^(1/($D$9-$C$9))-1)</f>
        <v>-1.1435996281240923E-2</v>
      </c>
      <c r="E33" s="5"/>
      <c r="F33" s="5"/>
    </row>
    <row r="34" spans="2:6" ht="33" customHeight="1">
      <c r="B34" s="218" t="s">
        <v>179</v>
      </c>
      <c r="C34" s="196"/>
      <c r="D34" s="197"/>
      <c r="E34" s="5"/>
      <c r="F34" s="5"/>
    </row>
    <row r="35" spans="2:6" ht="12.6" customHeight="1">
      <c r="B35" s="193" t="s">
        <v>342</v>
      </c>
      <c r="C35" s="219">
        <f>C19-C23-C27-C31</f>
        <v>2.3519991819371748</v>
      </c>
      <c r="D35" s="219">
        <f>D19-D23-D27-D31</f>
        <v>2.0543096073897971</v>
      </c>
      <c r="E35" s="5"/>
      <c r="F35" s="5"/>
    </row>
    <row r="36" spans="2:6" ht="12.6" customHeight="1">
      <c r="B36" s="193" t="str">
        <f>"% de baisse vs "&amp;TEXT($C$16,"#")</f>
        <v>% de baisse vs 2019</v>
      </c>
      <c r="C36" s="196"/>
      <c r="D36" s="197">
        <f>1-(D35/C35)</f>
        <v>0.12656874068391133</v>
      </c>
      <c r="E36" s="5"/>
      <c r="F36" s="5"/>
    </row>
    <row r="37" spans="2:6" ht="26.4" customHeight="1">
      <c r="B37" s="198" t="str">
        <f>"Variation annuelle moyenne entre "&amp;TEXT($D$16,"#")&amp;" et "&amp;TEXT($C$16,"#")&amp;" "</f>
        <v xml:space="preserve">Variation annuelle moyenne entre 2030 et 2019 </v>
      </c>
      <c r="C37" s="196"/>
      <c r="D37" s="197">
        <f>((D35/C35)^(1/($D$9-$C$9))-1)</f>
        <v>-1.222698530021249E-2</v>
      </c>
      <c r="E37" s="5"/>
      <c r="F37" s="5"/>
    </row>
    <row r="38" spans="2:6" ht="12.6" customHeight="1">
      <c r="B38" s="36"/>
      <c r="C38" s="36"/>
      <c r="D38" s="37"/>
      <c r="E38" s="5"/>
      <c r="F38" s="5"/>
    </row>
    <row r="39" spans="2:6" ht="12.6" customHeight="1">
      <c r="B39" s="36"/>
      <c r="C39" s="36"/>
      <c r="D39" s="37"/>
      <c r="E39" s="5"/>
      <c r="F39" s="5"/>
    </row>
    <row r="40" spans="2:6" ht="12.6" customHeight="1">
      <c r="B40" s="187" t="s">
        <v>180</v>
      </c>
      <c r="C40" s="188">
        <f>C9</f>
        <v>2019</v>
      </c>
      <c r="D40" s="188">
        <f>D16</f>
        <v>2030</v>
      </c>
      <c r="E40" s="5"/>
      <c r="F40" s="5"/>
    </row>
    <row r="41" spans="2:6" ht="12.6" customHeight="1">
      <c r="B41" s="214"/>
      <c r="C41" s="186"/>
      <c r="D41" s="186"/>
      <c r="E41" s="5"/>
      <c r="F41" s="5"/>
    </row>
    <row r="42" spans="2:6" ht="15" customHeight="1">
      <c r="B42" s="214" t="s">
        <v>113</v>
      </c>
      <c r="C42" s="186"/>
      <c r="D42" s="186"/>
      <c r="E42" s="5"/>
      <c r="F42" s="5"/>
    </row>
    <row r="43" spans="2:6" ht="22.95" customHeight="1">
      <c r="B43" s="186" t="s">
        <v>342</v>
      </c>
      <c r="C43" s="195">
        <f>VLOOKUP("Total Usage des bâtiments et activités résidentiels/tertiaires",'Résultats détaillés GES'!$A$134:$BJ$149,MATCH(C$16,'Résultats détaillés GES'!$A$134:$BJ$134),FALSE)-VLOOKUP("sous-total Usage des bâtiments résidentiels et activités domestiques",'Résultats détaillés GES'!$A$134:$BJ$149,MATCH(C$16,'Résultats détaillés GES'!$A$134:$BJ$134),FALSE)</f>
        <v>26.350074043808483</v>
      </c>
      <c r="D43" s="195">
        <f>VLOOKUP("Total Usage des bâtiments et activités résidentiels/tertiaires",'Résultats détaillés GES'!$A$134:$BJ$149,MATCH(D$16,'Résultats détaillés GES'!$A$134:$BJ$134),FALSE)-VLOOKUP("sous-total Usage des bâtiments résidentiels et activités domestiques",'Résultats détaillés GES'!$A$134:$BJ$149,MATCH(D$16,'Résultats détaillés GES'!$A$134:$BJ$134),FALSE)</f>
        <v>13.582666687677797</v>
      </c>
    </row>
    <row r="44" spans="2:6" ht="22.95" customHeight="1">
      <c r="B44" s="186" t="str">
        <f>"% de baisse vs "&amp;TEXT($C$16,"#")</f>
        <v>% de baisse vs 2019</v>
      </c>
      <c r="C44" s="196"/>
      <c r="D44" s="197">
        <f>1-(D43/C43)</f>
        <v>0.4845302269323476</v>
      </c>
      <c r="E44" s="5"/>
      <c r="F44" s="5"/>
    </row>
    <row r="45" spans="2:6" ht="28.2" customHeight="1">
      <c r="B45" s="186" t="str">
        <f>"Variation annuelle moyenne entre "&amp;TEXT($D$16,"#")&amp;" et "&amp;TEXT($C$16,"#")&amp;" "</f>
        <v xml:space="preserve">Variation annuelle moyenne entre 2030 et 2019 </v>
      </c>
      <c r="C45" s="196"/>
      <c r="D45" s="197">
        <f>((D43/C43)^(1/($D$9-$C$9))-1)</f>
        <v>-5.8464596679425496E-2</v>
      </c>
      <c r="E45" s="5"/>
      <c r="F45" s="5"/>
    </row>
    <row r="46" spans="2:6" ht="28.2" customHeight="1">
      <c r="B46" s="218" t="s">
        <v>181</v>
      </c>
      <c r="C46" s="196"/>
      <c r="D46" s="205"/>
      <c r="E46" s="5"/>
      <c r="F46" s="5"/>
    </row>
    <row r="47" spans="2:6" ht="22.95" customHeight="1">
      <c r="B47" s="193" t="s">
        <v>342</v>
      </c>
      <c r="C47" s="195">
        <f>VLOOKUP(Bâtiment!$B$46,'Résultats détaillés GES'!$A$134:$BJ$149,MATCH(C$16,'Résultats détaillés GES'!$A$134:$BJ$134),FALSE)</f>
        <v>18.258049172620712</v>
      </c>
      <c r="D47" s="195">
        <f>VLOOKUP(Bâtiment!$B$46,'Résultats détaillés GES'!$A$134:$BJ$149,MATCH(D$16,'Résultats détaillés GES'!$A$134:$BJ$134),FALSE)</f>
        <v>10.217694891318303</v>
      </c>
      <c r="E47" s="5"/>
      <c r="F47" s="5"/>
    </row>
    <row r="48" spans="2:6" ht="22.95" customHeight="1">
      <c r="B48" s="193" t="str">
        <f>"% de baisse vs "&amp;TEXT($C$16,"#")</f>
        <v>% de baisse vs 2019</v>
      </c>
      <c r="C48" s="196"/>
      <c r="D48" s="197">
        <f>1-(D47/C47)</f>
        <v>0.44037313106591436</v>
      </c>
      <c r="E48" s="5"/>
      <c r="F48" s="5"/>
    </row>
    <row r="49" spans="2:6" ht="36" customHeight="1">
      <c r="B49" s="198" t="str">
        <f>"Variation annuelle moyenne entre "&amp;TEXT($D$16,"#")&amp;" et "&amp;TEXT($C$16,"#")&amp;" "</f>
        <v xml:space="preserve">Variation annuelle moyenne entre 2030 et 2019 </v>
      </c>
      <c r="C49" s="196"/>
      <c r="D49" s="197">
        <f>((D47/C47)^(1/($D$9-$C$9))-1)</f>
        <v>-5.1403130537193586E-2</v>
      </c>
      <c r="E49" s="5"/>
      <c r="F49" s="5"/>
    </row>
    <row r="50" spans="2:6" ht="22.95" customHeight="1">
      <c r="B50" s="218" t="s">
        <v>182</v>
      </c>
      <c r="C50" s="196"/>
      <c r="D50" s="205"/>
      <c r="E50" s="5"/>
      <c r="F50" s="5"/>
    </row>
    <row r="51" spans="2:6" ht="22.95" customHeight="1">
      <c r="B51" s="193" t="s">
        <v>342</v>
      </c>
      <c r="C51" s="195">
        <f>VLOOKUP(Bâtiment!$B$50,'Résultats détaillés GES'!$A$134:$BJ$149,MATCH(C$16,'Résultats détaillés GES'!$A$134:$BJ$134),FALSE)</f>
        <v>1.2654097350392366</v>
      </c>
      <c r="D51" s="195">
        <f>VLOOKUP(Bâtiment!$B$50,'Résultats détaillés GES'!$A$134:$BJ$149,MATCH(D$16,'Résultats détaillés GES'!$A$134:$BJ$134),FALSE)</f>
        <v>0.7733467589540719</v>
      </c>
      <c r="E51" s="5"/>
      <c r="F51" s="5"/>
    </row>
    <row r="52" spans="2:6" ht="22.95" customHeight="1">
      <c r="B52" s="193" t="str">
        <f>"% de baisse vs "&amp;TEXT($C$16,"#")</f>
        <v>% de baisse vs 2019</v>
      </c>
      <c r="C52" s="196"/>
      <c r="D52" s="197">
        <f>1-(D51/C51)</f>
        <v>0.38885663865222853</v>
      </c>
      <c r="E52" s="5"/>
      <c r="F52" s="5"/>
    </row>
    <row r="53" spans="2:6" ht="31.2" customHeight="1">
      <c r="B53" s="198" t="str">
        <f>"Variation annuelle moyenne entre "&amp;TEXT($D$16,"#")&amp;" et "&amp;TEXT($C$16,"#")&amp;" "</f>
        <v xml:space="preserve">Variation annuelle moyenne entre 2030 et 2019 </v>
      </c>
      <c r="C53" s="196"/>
      <c r="D53" s="197">
        <f>((D51/C51)^(1/($D$9-$C$9))-1)</f>
        <v>-4.3778589806367285E-2</v>
      </c>
      <c r="E53" s="5"/>
      <c r="F53" s="5"/>
    </row>
    <row r="54" spans="2:6" ht="32.4" customHeight="1">
      <c r="B54" s="218" t="s">
        <v>183</v>
      </c>
      <c r="C54" s="196"/>
      <c r="D54" s="205"/>
      <c r="E54" s="5"/>
      <c r="F54" s="5"/>
    </row>
    <row r="55" spans="2:6" ht="22.95" customHeight="1">
      <c r="B55" s="193" t="s">
        <v>342</v>
      </c>
      <c r="C55" s="195">
        <f>VLOOKUP(Bâtiment!$B$54,'Résultats détaillés GES'!$A$134:$BJ$149,MATCH(C$16,'Résultats détaillés GES'!$A$134:$BJ$134),FALSE)</f>
        <v>0.25096765549445071</v>
      </c>
      <c r="D55" s="195">
        <f>VLOOKUP(Bâtiment!$B$54,'Résultats détaillés GES'!$A$134:$BJ$149,MATCH(D$16,'Résultats détaillés GES'!$A$134:$BJ$134),FALSE)</f>
        <v>0.14210281525677521</v>
      </c>
      <c r="E55" s="5"/>
      <c r="F55" s="5"/>
    </row>
    <row r="56" spans="2:6" ht="22.95" customHeight="1">
      <c r="B56" s="193" t="str">
        <f>"% de baisse vs "&amp;TEXT($C$16,"#")</f>
        <v>% de baisse vs 2019</v>
      </c>
      <c r="C56" s="196"/>
      <c r="D56" s="197">
        <f>1-(D55/C55)</f>
        <v>0.43378036115129059</v>
      </c>
      <c r="E56" s="5"/>
      <c r="F56" s="5"/>
    </row>
    <row r="57" spans="2:6" ht="33" customHeight="1">
      <c r="B57" s="198" t="str">
        <f>"Variation annuelle moyenne entre "&amp;TEXT($D$16,"#")&amp;" et "&amp;TEXT($C$16,"#")&amp;" "</f>
        <v xml:space="preserve">Variation annuelle moyenne entre 2030 et 2019 </v>
      </c>
      <c r="C57" s="196"/>
      <c r="D57" s="197">
        <f>((D55/C55)^(1/($D$9-$C$9))-1)</f>
        <v>-5.0392612859879615E-2</v>
      </c>
      <c r="E57" s="5"/>
      <c r="F57" s="5"/>
    </row>
    <row r="58" spans="2:6" ht="22.95" customHeight="1">
      <c r="B58" s="218" t="s">
        <v>184</v>
      </c>
      <c r="C58" s="196"/>
      <c r="D58" s="205"/>
      <c r="E58" s="5"/>
      <c r="F58" s="5"/>
    </row>
    <row r="59" spans="2:6" ht="22.95" customHeight="1">
      <c r="B59" s="193" t="s">
        <v>342</v>
      </c>
      <c r="C59" s="195">
        <f>VLOOKUP(Bâtiment!$B$58,'Résultats détaillés GES'!$A$134:$BJ$149,MATCH(C$16,'Résultats détaillés GES'!$A$134:$BJ$134),FALSE)</f>
        <v>4.8687687949645815</v>
      </c>
      <c r="D59" s="195">
        <f>VLOOKUP(Bâtiment!$B$58,'Résultats détaillés GES'!$A$134:$BJ$149,MATCH(D$16,'Résultats détaillés GES'!$A$134:$BJ$134),FALSE)</f>
        <v>1.0125882221010347</v>
      </c>
      <c r="E59" s="5"/>
      <c r="F59" s="5"/>
    </row>
    <row r="60" spans="2:6" ht="22.95" customHeight="1">
      <c r="B60" s="193" t="str">
        <f>"% de baisse vs "&amp;TEXT($C$16,"#")</f>
        <v>% de baisse vs 2019</v>
      </c>
      <c r="C60" s="196"/>
      <c r="D60" s="197">
        <f>1-(D59/C59)</f>
        <v>0.79202376108960393</v>
      </c>
      <c r="E60" s="5"/>
      <c r="F60" s="5"/>
    </row>
    <row r="61" spans="2:6" ht="34.200000000000003" customHeight="1">
      <c r="B61" s="198" t="str">
        <f>"Variation annuelle moyenne entre "&amp;TEXT($D$16,"#")&amp;" et "&amp;TEXT($C$16,"#")&amp;" "</f>
        <v xml:space="preserve">Variation annuelle moyenne entre 2030 et 2019 </v>
      </c>
      <c r="C61" s="196"/>
      <c r="D61" s="197">
        <f>((D59/C59)^(1/($D$9-$C$9))-1)</f>
        <v>-0.13303563435459775</v>
      </c>
      <c r="E61" s="5"/>
      <c r="F61" s="5"/>
    </row>
    <row r="62" spans="2:6" ht="22.95" customHeight="1">
      <c r="B62" s="218" t="s">
        <v>185</v>
      </c>
      <c r="C62" s="196"/>
      <c r="D62" s="205"/>
      <c r="E62" s="5"/>
      <c r="F62" s="5"/>
    </row>
    <row r="63" spans="2:6" ht="22.95" customHeight="1">
      <c r="B63" s="193" t="s">
        <v>342</v>
      </c>
      <c r="C63" s="195">
        <f>C43-C47-C51-C55-C59</f>
        <v>1.7068786856895022</v>
      </c>
      <c r="D63" s="195">
        <f>D43-D47-D51-D55-D59</f>
        <v>1.4369340000476123</v>
      </c>
      <c r="E63" s="5"/>
      <c r="F63" s="5"/>
    </row>
    <row r="64" spans="2:6" ht="22.95" customHeight="1">
      <c r="B64" s="193" t="str">
        <f>"% de baisse vs "&amp;TEXT($C$16,"#")</f>
        <v>% de baisse vs 2019</v>
      </c>
      <c r="C64" s="196"/>
      <c r="D64" s="197">
        <f>1-(D63/C63)</f>
        <v>0.15815106715263971</v>
      </c>
      <c r="E64" s="5"/>
      <c r="F64" s="5"/>
    </row>
    <row r="65" spans="2:12" ht="39.6" customHeight="1">
      <c r="B65" s="198" t="str">
        <f>"Variation annuelle moyenne entre "&amp;TEXT($D$16,"#")&amp;" et "&amp;TEXT($C$16,"#")&amp;""</f>
        <v>Variation annuelle moyenne entre 2030 et 2019</v>
      </c>
      <c r="C65" s="196"/>
      <c r="D65" s="197">
        <f>((D63/C63)^(1/($D$9-$C$9))-1)</f>
        <v>-1.5528595333636708E-2</v>
      </c>
      <c r="E65" s="5"/>
      <c r="F65" s="5"/>
    </row>
    <row r="66" spans="2:12" ht="22.95" customHeight="1">
      <c r="B66" s="36"/>
      <c r="C66" s="36"/>
      <c r="D66" s="35"/>
      <c r="E66" s="5"/>
      <c r="F66" s="5"/>
    </row>
    <row r="67" spans="2:12" ht="22.95" customHeight="1">
      <c r="B67" s="187" t="s">
        <v>186</v>
      </c>
      <c r="C67" s="188">
        <f>C9</f>
        <v>2019</v>
      </c>
      <c r="D67" s="188">
        <f>D9</f>
        <v>2030</v>
      </c>
      <c r="E67" s="5"/>
      <c r="F67" s="5"/>
    </row>
    <row r="68" spans="2:12" ht="22.95" customHeight="1">
      <c r="B68" s="214"/>
      <c r="C68" s="186"/>
      <c r="D68" s="186"/>
      <c r="E68" s="5"/>
      <c r="F68" s="5"/>
    </row>
    <row r="69" spans="2:12" ht="15" customHeight="1">
      <c r="B69" s="214" t="s">
        <v>88</v>
      </c>
      <c r="C69" s="186"/>
      <c r="D69" s="186"/>
      <c r="E69" s="5"/>
      <c r="F69" s="5"/>
    </row>
    <row r="70" spans="2:12" ht="22.95" customHeight="1">
      <c r="B70" s="186" t="s">
        <v>342</v>
      </c>
      <c r="C70" s="195">
        <f>VLOOKUP(Bâtiment!$B$69,'Résultats détaillés GES'!$A$207:$BJ$216,MATCH(C$67,'Résultats détaillés GES'!$A$134:$BJ$134),FALSE)</f>
        <v>4.7457662605053956</v>
      </c>
      <c r="D70" s="195">
        <f>VLOOKUP(Bâtiment!$B$69,'Résultats détaillés GES'!$A$207:$BJ$216,MATCH(D$67,'Résultats détaillés GES'!$A$134:$BJ$134),FALSE)</f>
        <v>3.0977799175869611</v>
      </c>
    </row>
    <row r="71" spans="2:12" ht="22.95" customHeight="1">
      <c r="B71" s="186" t="str">
        <f>"% de baisse vs "&amp;TEXT($C$16,"#")</f>
        <v>% de baisse vs 2019</v>
      </c>
      <c r="C71" s="196"/>
      <c r="D71" s="197">
        <f>1-(D70/C70)</f>
        <v>0.3472540054559986</v>
      </c>
      <c r="E71" s="5"/>
      <c r="F71" s="5"/>
    </row>
    <row r="72" spans="2:12" ht="36" customHeight="1">
      <c r="B72" s="186" t="str">
        <f>"Variation annuelle moyenne entre "&amp;TEXT($D$16,"#")&amp;" et "&amp;TEXT($C$16,"#")&amp;" "</f>
        <v xml:space="preserve">Variation annuelle moyenne entre 2030 et 2019 </v>
      </c>
      <c r="C72" s="196"/>
      <c r="D72" s="205">
        <f>((D70/C70)^(1/($D$9-$C$9))-1)</f>
        <v>-3.803656371998454E-2</v>
      </c>
      <c r="E72" s="5"/>
      <c r="F72" s="5"/>
    </row>
    <row r="73" spans="2:12" ht="15" customHeight="1">
      <c r="D73" s="7"/>
      <c r="E73" s="5"/>
      <c r="F73" s="5"/>
    </row>
    <row r="74" spans="2:12">
      <c r="B74" s="187" t="s">
        <v>487</v>
      </c>
      <c r="C74" s="188">
        <f>C67</f>
        <v>2019</v>
      </c>
      <c r="D74" s="188">
        <f>D67</f>
        <v>2030</v>
      </c>
      <c r="E74" s="29"/>
      <c r="I74" s="26"/>
      <c r="J74" s="26"/>
      <c r="K74" s="26"/>
      <c r="L74" s="26"/>
    </row>
    <row r="75" spans="2:12">
      <c r="B75" s="211" t="s">
        <v>377</v>
      </c>
      <c r="C75" s="212"/>
      <c r="D75" s="212"/>
      <c r="E75" s="29"/>
      <c r="I75" s="26"/>
      <c r="J75" s="26"/>
      <c r="K75" s="26"/>
      <c r="L75" s="26"/>
    </row>
    <row r="76" spans="2:12">
      <c r="B76" s="212" t="s">
        <v>342</v>
      </c>
      <c r="C76" s="189">
        <f>IF('Choix années'!C9="1,5 °C",VLOOKUP("Habitat",'Résultats détaillés GES'!$A$232:$BJ$238,MATCH(C$16,'Résultats détaillés GES'!$A$232:$BJ$232),FALSE),0)+IF('Choix années'!C9="2 °C",VLOOKUP("Habitat",'Résultats détaillés GES'!$A$240:$BJ$246,MATCH(C$16,'Résultats détaillés GES'!$A$240:$BJ$240),FALSE),0)+IF('Choix années'!C9="3 °C",VLOOKUP("Habitat",'Résultats détaillés GES'!$A$248:$BJ$254,MATCH(C$16,'Résultats détaillés GES'!$A$248:$BJ$248),FALSE),0)</f>
        <v>137.742423</v>
      </c>
      <c r="D76" s="189">
        <f>IF('Choix années'!C9="1,5 °C",VLOOKUP("Habitat",'Résultats détaillés GES'!$A$232:$BJ$238,MATCH(D$16,'Résultats détaillés GES'!$A$232:$BJ$232),FALSE),0)+IF('Choix années'!C9="2 °C",VLOOKUP("Habitat",'Résultats détaillés GES'!$A$240:$BJ$246,MATCH(D$16,'Résultats détaillés GES'!$A$240:$BJ$240),FALSE),0)+IF('Choix années'!C9="3 °C",VLOOKUP("Habitat",'Résultats détaillés GES'!$A$248:$BJ$254,MATCH(D$16,'Résultats détaillés GES'!$A$248:$BJ$248),FALSE),0)</f>
        <v>81.568352342826046</v>
      </c>
      <c r="E76" s="29"/>
      <c r="I76" s="26"/>
      <c r="J76" s="26"/>
      <c r="K76" s="26"/>
      <c r="L76" s="26"/>
    </row>
    <row r="77" spans="2:12">
      <c r="B77" s="186" t="str">
        <f>"% de baisse vs "&amp;TEXT($C$13,"#")</f>
        <v xml:space="preserve">% de baisse vs </v>
      </c>
      <c r="C77" s="190"/>
      <c r="D77" s="191">
        <f>1-(D76/C76)</f>
        <v>0.40781967845283185</v>
      </c>
      <c r="E77" s="29"/>
      <c r="I77" s="26"/>
      <c r="J77" s="26"/>
      <c r="K77" s="26"/>
      <c r="L77" s="26"/>
    </row>
    <row r="78" spans="2:12">
      <c r="B78" s="186" t="str">
        <f>"Variation annuelle moyenne entre "&amp;TEXT($D$16,"#")&amp;" et "&amp;TEXT($C$16,"#")&amp;" "</f>
        <v xml:space="preserve">Variation annuelle moyenne entre 2030 et 2019 </v>
      </c>
      <c r="C78" s="190"/>
      <c r="D78" s="197">
        <f>((D76/C76)^(1/($D$16-$C$16))-1)</f>
        <v>-4.6514709783459285E-2</v>
      </c>
      <c r="E78" s="29"/>
      <c r="I78" s="26"/>
      <c r="J78" s="26"/>
      <c r="K78" s="26"/>
      <c r="L78" s="26"/>
    </row>
    <row r="79" spans="2:12">
      <c r="B79" s="192" t="s">
        <v>378</v>
      </c>
      <c r="C79" s="193"/>
      <c r="D79" s="194"/>
      <c r="E79" s="29"/>
      <c r="I79" s="26"/>
      <c r="J79" s="26"/>
      <c r="K79" s="26"/>
      <c r="L79" s="26"/>
    </row>
    <row r="80" spans="2:12">
      <c r="B80" s="193" t="s">
        <v>342</v>
      </c>
      <c r="C80" s="195">
        <f>IF('Choix années'!C9="1,5 °C",VLOOKUP("Habitat",'Résultats détaillés GES'!$A$258:$BJ$264,MATCH(C$16,'Résultats détaillés GES'!$A$258:$BJ$258),FALSE),0)+IF('Choix années'!C9="2 °C",VLOOKUP("Habitat",'Résultats détaillés GES'!$A$266:$BJ$272,MATCH(C$16,'Résultats détaillés GES'!$A$266:$BJ$266),FALSE),0)+IF('Choix années'!C9="3 °C",VLOOKUP("Habitat",'Résultats détaillés GES'!$A$274:$BJ$280,MATCH(C$16,'Résultats détaillés GES'!$A$274:$BJ$274),FALSE),0)</f>
        <v>54.603900999999993</v>
      </c>
      <c r="D80" s="195">
        <f>IF('Choix années'!C9="1,5 °C",VLOOKUP("Habitat",'Résultats détaillés GES'!$A$258:$BJ$264,MATCH(D$16,'Résultats détaillés GES'!$A$258:$BJ$258),FALSE),0)+IF('Choix années'!C9="2 °C",VLOOKUP("Habitat",'Résultats détaillés GES'!$A$266:$BJ$272,MATCH(D$16,'Résultats détaillés GES'!$A$266:$BJ$266),FALSE),0)+IF('Choix années'!C9="3 °C",VLOOKUP("Habitat",'Résultats détaillés GES'!$A$274:$BJ$280,MATCH(D$16,'Résultats détaillés GES'!$A$274:$BJ$274),FALSE),0)</f>
        <v>36.559127095543218</v>
      </c>
      <c r="E80" s="29"/>
      <c r="I80" s="26"/>
      <c r="J80" s="26"/>
      <c r="K80" s="26"/>
      <c r="L80" s="26"/>
    </row>
    <row r="81" spans="2:12">
      <c r="B81" s="193" t="str">
        <f>"% de baisse vs "&amp;TEXT($C$13,"#")</f>
        <v xml:space="preserve">% de baisse vs </v>
      </c>
      <c r="C81" s="196"/>
      <c r="D81" s="197">
        <f>1-(D80/C80)</f>
        <v>0.33046675372986223</v>
      </c>
      <c r="E81" s="29"/>
      <c r="I81" s="26"/>
      <c r="J81" s="26"/>
      <c r="K81" s="26"/>
      <c r="L81" s="26"/>
    </row>
    <row r="82" spans="2:12">
      <c r="B82" s="198" t="str">
        <f>"Variation annuelle moyenne entre "&amp;TEXT($D$16,"#")&amp;" et "&amp;TEXT($C$16,"#")&amp;" "</f>
        <v xml:space="preserve">Variation annuelle moyenne entre 2030 et 2019 </v>
      </c>
      <c r="C82" s="196"/>
      <c r="D82" s="197">
        <f>((D80/C80)^(1/($D$16-$C$16))-1)</f>
        <v>-3.5813371573994446E-2</v>
      </c>
      <c r="E82" s="29"/>
      <c r="I82" s="26"/>
      <c r="J82" s="26"/>
      <c r="K82" s="26"/>
      <c r="L82" s="26"/>
    </row>
    <row r="83" spans="2:12">
      <c r="B83" s="211" t="s">
        <v>377</v>
      </c>
      <c r="C83" s="212"/>
      <c r="D83" s="212"/>
      <c r="E83" s="29"/>
      <c r="I83" s="26"/>
      <c r="J83" s="26"/>
      <c r="K83" s="26"/>
      <c r="L83" s="26"/>
    </row>
    <row r="84" spans="2:12">
      <c r="B84" s="212" t="s">
        <v>342</v>
      </c>
      <c r="C84" s="189">
        <f>IF('Choix années'!C9="1,5 °C",VLOOKUP("Services",'Résultats détaillés GES'!$A$232:$BJ$238,MATCH(C$16,'Résultats détaillés GES'!$A$232:$BJ$232),FALSE),0)+IF('Choix années'!C9="2 °C",VLOOKUP("Services",'Résultats détaillés GES'!$A$240:$BJ$246,MATCH(C$16,'Résultats détaillés GES'!$A$240:$BJ$240),FALSE),0)+IF('Choix années'!C9="3 °C",VLOOKUP("Services",'Résultats détaillés GES'!$A$248:$BJ$254,MATCH(C$16,'Résultats détaillés GES'!$A$248:$BJ$248),FALSE),0)</f>
        <v>126.40831799999999</v>
      </c>
      <c r="D84" s="189">
        <f>IF('Choix années'!C9="1,5 °C",VLOOKUP("Services",'Résultats détaillés GES'!$A$232:$BJ$238,MATCH(D$16,'Résultats détaillés GES'!$A$232:$BJ$232),FALSE),0)+IF('Choix années'!C9="2 °C",VLOOKUP("Services",'Résultats détaillés GES'!$A$240:$BJ$246,MATCH(D$16,'Résultats détaillés GES'!$A$240:$BJ$240),FALSE),0)+IF('Choix années'!C9="3 °C",VLOOKUP("Services",'Résultats détaillés GES'!$A$248:$BJ$254,MATCH(D$16,'Résultats détaillés GES'!$A$248:$BJ$248),FALSE),0)</f>
        <v>92.714371346770847</v>
      </c>
      <c r="E84" s="29"/>
      <c r="I84" s="26"/>
      <c r="J84" s="26"/>
      <c r="K84" s="26"/>
      <c r="L84" s="26"/>
    </row>
    <row r="85" spans="2:12">
      <c r="B85" s="186" t="str">
        <f>"% de baisse vs "&amp;TEXT($C$13,"#")</f>
        <v xml:space="preserve">% de baisse vs </v>
      </c>
      <c r="C85" s="190"/>
      <c r="D85" s="191">
        <f>1-(D84/C84)</f>
        <v>0.26654849290241445</v>
      </c>
      <c r="E85" s="29"/>
      <c r="I85" s="26"/>
      <c r="J85" s="26"/>
      <c r="K85" s="26"/>
      <c r="L85" s="26"/>
    </row>
    <row r="86" spans="2:12">
      <c r="B86" s="186" t="str">
        <f>"Variation annuelle moyenne entre "&amp;TEXT($D$16,"#")&amp;" et "&amp;TEXT($C$16,"#")&amp;" "</f>
        <v xml:space="preserve">Variation annuelle moyenne entre 2030 et 2019 </v>
      </c>
      <c r="C86" s="190"/>
      <c r="D86" s="197">
        <f>((D84/C84)^(1/($D$16-$C$16))-1)</f>
        <v>-2.7787866617786094E-2</v>
      </c>
      <c r="E86" s="29"/>
      <c r="I86" s="26"/>
      <c r="J86" s="26"/>
      <c r="K86" s="26"/>
      <c r="L86" s="26"/>
    </row>
    <row r="87" spans="2:12">
      <c r="B87" s="192" t="s">
        <v>378</v>
      </c>
      <c r="C87" s="193"/>
      <c r="D87" s="194"/>
      <c r="E87" s="29"/>
      <c r="I87" s="26"/>
      <c r="J87" s="26"/>
      <c r="K87" s="26"/>
      <c r="L87" s="26"/>
    </row>
    <row r="88" spans="2:12">
      <c r="B88" s="193" t="s">
        <v>342</v>
      </c>
      <c r="C88" s="195">
        <f>IF('Choix années'!C9="1,5 °C",VLOOKUP("Services",'Résultats détaillés GES'!$A$258:$BJ$264,MATCH(C$16,'Résultats détaillés GES'!$A$258:$BJ$258),FALSE),0)+IF('Choix années'!C9="2 °C",VLOOKUP("Services",'Résultats détaillés GES'!$A$266:$BJ$272,MATCH(C$16,'Résultats détaillés GES'!$A$266:$BJ$266),FALSE),0)+IF('Choix années'!C9="3 °C",VLOOKUP("Services",'Résultats détaillés GES'!$A$274:$BJ$280,MATCH(C$16,'Résultats détaillés GES'!$A$274:$BJ$274),FALSE),0)</f>
        <v>71.703926999999993</v>
      </c>
      <c r="D88" s="195">
        <f>IF('Choix années'!C9="1,5 °C",VLOOKUP("Services",'Résultats détaillés GES'!$A$258:$BJ$264,MATCH(D$16,'Résultats détaillés GES'!$A$258:$BJ$258),FALSE),0)+IF('Choix années'!C9="2 °C",VLOOKUP("Services",'Résultats détaillés GES'!$A$266:$BJ$272,MATCH(D$16,'Résultats détaillés GES'!$A$266:$BJ$266),FALSE),0)+IF('Choix années'!C9="3 °C",VLOOKUP("Services",'Résultats détaillés GES'!$A$274:$BJ$280,MATCH(D$16,'Résultats détaillés GES'!$A$274:$BJ$274),FALSE),0)</f>
        <v>64.357829239593073</v>
      </c>
      <c r="E88" s="29"/>
      <c r="I88" s="26"/>
      <c r="J88" s="26"/>
      <c r="K88" s="26"/>
      <c r="L88" s="26"/>
    </row>
    <row r="89" spans="2:12">
      <c r="B89" s="193" t="str">
        <f>"% de baisse vs "&amp;TEXT($C$13,"#")</f>
        <v xml:space="preserve">% de baisse vs </v>
      </c>
      <c r="C89" s="196"/>
      <c r="D89" s="197">
        <f>1-(D88/C88)</f>
        <v>0.10245042451310815</v>
      </c>
      <c r="E89" s="29"/>
      <c r="I89" s="26"/>
      <c r="J89" s="26"/>
      <c r="K89" s="26"/>
      <c r="L89" s="26"/>
    </row>
    <row r="90" spans="2:12">
      <c r="B90" s="198" t="str">
        <f>"Variation annuelle moyenne entre "&amp;TEXT($D$16,"#")&amp;" et "&amp;TEXT($C$16,"#")&amp;" "</f>
        <v xml:space="preserve">Variation annuelle moyenne entre 2030 et 2019 </v>
      </c>
      <c r="C90" s="196"/>
      <c r="D90" s="197">
        <f>((D88/C88)^(1/($D$16-$C$16))-1)</f>
        <v>-9.7779656652001723E-3</v>
      </c>
      <c r="E90" s="29"/>
      <c r="I90" s="26"/>
      <c r="J90" s="26"/>
      <c r="K90" s="26"/>
      <c r="L90" s="26"/>
    </row>
    <row r="91" spans="2:12">
      <c r="B91" s="303"/>
      <c r="C91" s="31"/>
      <c r="D91" s="29"/>
      <c r="E91" s="29"/>
      <c r="I91" s="26"/>
      <c r="J91" s="26"/>
      <c r="K91" s="26"/>
      <c r="L91" s="26"/>
    </row>
    <row r="92" spans="2:12">
      <c r="B92" s="30"/>
      <c r="C92" s="29"/>
      <c r="D92" s="29"/>
      <c r="E92" s="29"/>
      <c r="F92" s="175"/>
    </row>
    <row r="93" spans="2:12">
      <c r="B93" s="28" t="s">
        <v>601</v>
      </c>
    </row>
    <row r="94" spans="2:12">
      <c r="B94" s="23" t="s">
        <v>187</v>
      </c>
      <c r="C94" t="s">
        <v>188</v>
      </c>
      <c r="I94" s="27"/>
    </row>
    <row r="95" spans="2:12" ht="37.950000000000003" customHeight="1">
      <c r="B95" s="171" t="str">
        <f>"Baisse globale entre "&amp;TEXT($D$16,"#")&amp;" et "&amp;TEXT($C$16,"#")&amp;" "</f>
        <v xml:space="preserve">Baisse globale entre 2030 et 2019 </v>
      </c>
      <c r="C95" s="458">
        <f>D20</f>
        <v>0.53739765657054817</v>
      </c>
      <c r="D95" s="458"/>
      <c r="E95" s="458"/>
    </row>
    <row r="96" spans="2:12" ht="52.2" customHeight="1">
      <c r="B96" s="171" t="s">
        <v>189</v>
      </c>
      <c r="C96" s="454" t="s">
        <v>600</v>
      </c>
      <c r="D96" s="455"/>
      <c r="E96" s="456"/>
    </row>
    <row r="97" spans="2:14" ht="32.4" customHeight="1">
      <c r="B97" s="369" t="s">
        <v>140</v>
      </c>
      <c r="C97" s="451" t="s">
        <v>537</v>
      </c>
      <c r="D97" s="451"/>
      <c r="E97" s="451"/>
    </row>
    <row r="98" spans="2:14" ht="32.4" customHeight="1">
      <c r="B98" s="369" t="s">
        <v>576</v>
      </c>
      <c r="C98" s="460" t="s">
        <v>635</v>
      </c>
      <c r="D98" s="461"/>
      <c r="E98" s="462"/>
    </row>
    <row r="99" spans="2:14" ht="48" customHeight="1">
      <c r="B99" s="369" t="s">
        <v>532</v>
      </c>
      <c r="C99" s="460" t="s">
        <v>634</v>
      </c>
      <c r="D99" s="461"/>
      <c r="E99" s="462"/>
    </row>
    <row r="100" spans="2:14" ht="44.4" customHeight="1">
      <c r="B100" s="452" t="s">
        <v>190</v>
      </c>
      <c r="C100" s="451" t="s">
        <v>530</v>
      </c>
      <c r="D100" s="451"/>
      <c r="E100" s="451"/>
    </row>
    <row r="101" spans="2:14" ht="44.4" customHeight="1">
      <c r="B101" s="452"/>
      <c r="C101" s="451" t="s">
        <v>531</v>
      </c>
      <c r="D101" s="451"/>
      <c r="E101" s="451"/>
    </row>
    <row r="102" spans="2:14" ht="37.950000000000003" customHeight="1">
      <c r="B102" s="369" t="s">
        <v>607</v>
      </c>
      <c r="C102" s="450" t="s">
        <v>608</v>
      </c>
      <c r="D102" s="450"/>
      <c r="E102" s="450"/>
    </row>
    <row r="103" spans="2:14" ht="37.950000000000003" customHeight="1">
      <c r="B103" s="369" t="s">
        <v>533</v>
      </c>
      <c r="C103" s="446" t="s">
        <v>534</v>
      </c>
      <c r="D103" s="447"/>
      <c r="E103" s="448"/>
    </row>
    <row r="104" spans="2:14" ht="34.950000000000003" customHeight="1">
      <c r="B104" s="369" t="s">
        <v>142</v>
      </c>
      <c r="C104" s="459" t="s">
        <v>538</v>
      </c>
      <c r="D104" s="459"/>
      <c r="E104" s="459"/>
      <c r="F104" s="24"/>
    </row>
    <row r="105" spans="2:14">
      <c r="B105" s="2"/>
    </row>
    <row r="106" spans="2:14">
      <c r="B106" s="23" t="s">
        <v>191</v>
      </c>
    </row>
    <row r="107" spans="2:14" ht="22.95" customHeight="1">
      <c r="B107" s="171" t="str">
        <f>"Baisse globale entre "&amp;TEXT($D$16,"#")&amp;" et "&amp;TEXT($C$16,"#")&amp;" "</f>
        <v xml:space="preserve">Baisse globale entre 2030 et 2019 </v>
      </c>
      <c r="C107" s="458">
        <f>D44</f>
        <v>0.4845302269323476</v>
      </c>
      <c r="D107" s="458"/>
      <c r="E107" s="458"/>
    </row>
    <row r="108" spans="2:14" s="26" customFormat="1" ht="51" customHeight="1">
      <c r="B108" s="171" t="s">
        <v>189</v>
      </c>
      <c r="C108" s="454" t="s">
        <v>600</v>
      </c>
      <c r="D108" s="455"/>
      <c r="E108" s="456"/>
      <c r="H108"/>
      <c r="I108"/>
      <c r="J108"/>
      <c r="K108"/>
      <c r="L108"/>
      <c r="M108"/>
      <c r="N108"/>
    </row>
    <row r="109" spans="2:14" ht="58.2" customHeight="1">
      <c r="B109" s="369" t="s">
        <v>143</v>
      </c>
      <c r="C109" s="451" t="s">
        <v>617</v>
      </c>
      <c r="D109" s="451"/>
      <c r="E109" s="451"/>
      <c r="F109" s="25"/>
    </row>
    <row r="110" spans="2:14" ht="58.95" customHeight="1">
      <c r="B110" s="444" t="s">
        <v>190</v>
      </c>
      <c r="C110" s="446" t="s">
        <v>535</v>
      </c>
      <c r="D110" s="447"/>
      <c r="E110" s="448"/>
    </row>
    <row r="111" spans="2:14" ht="84" customHeight="1">
      <c r="B111" s="453"/>
      <c r="C111" s="451" t="s">
        <v>577</v>
      </c>
      <c r="D111" s="451"/>
      <c r="E111" s="451"/>
    </row>
    <row r="112" spans="2:14" ht="49.95" customHeight="1">
      <c r="B112" s="445"/>
      <c r="C112" s="446" t="s">
        <v>536</v>
      </c>
      <c r="D112" s="447"/>
      <c r="E112" s="448"/>
    </row>
    <row r="113" spans="1:6" ht="49.95" customHeight="1">
      <c r="B113" s="444" t="s">
        <v>144</v>
      </c>
      <c r="C113" s="451" t="s">
        <v>192</v>
      </c>
      <c r="D113" s="451"/>
      <c r="E113" s="451"/>
    </row>
    <row r="114" spans="1:6" ht="49.95" customHeight="1">
      <c r="B114" s="445"/>
      <c r="C114" s="446" t="s">
        <v>578</v>
      </c>
      <c r="D114" s="447"/>
      <c r="E114" s="448"/>
    </row>
    <row r="115" spans="1:6" ht="45.45" customHeight="1">
      <c r="B115" s="369" t="s">
        <v>607</v>
      </c>
      <c r="C115" s="450" t="s">
        <v>608</v>
      </c>
      <c r="D115" s="450"/>
      <c r="E115" s="450"/>
    </row>
    <row r="116" spans="1:6" ht="45.45" customHeight="1">
      <c r="B116" s="369" t="s">
        <v>142</v>
      </c>
      <c r="C116" s="449" t="s">
        <v>539</v>
      </c>
      <c r="D116" s="449"/>
      <c r="E116" s="449"/>
    </row>
    <row r="122" spans="1:6">
      <c r="B122" s="41" t="s">
        <v>193</v>
      </c>
    </row>
    <row r="125" spans="1:6">
      <c r="B125" s="1"/>
      <c r="C125" s="145"/>
    </row>
    <row r="126" spans="1:6">
      <c r="B126" s="211" t="s">
        <v>194</v>
      </c>
      <c r="C126" s="211">
        <f>C67</f>
        <v>2019</v>
      </c>
      <c r="D126" s="211">
        <f>D67</f>
        <v>2030</v>
      </c>
      <c r="E126" s="211" t="s">
        <v>195</v>
      </c>
      <c r="F126" s="211" t="s">
        <v>196</v>
      </c>
    </row>
    <row r="127" spans="1:6">
      <c r="A127" s="323" t="str">
        <f>Intensités!B5</f>
        <v>Surface tertiaire</v>
      </c>
      <c r="B127" s="193" t="s">
        <v>113</v>
      </c>
      <c r="C127" s="238">
        <f>VLOOKUP($A127,Tableau14[[Variables]:[Intégrée au calcul d''intensité]],MATCH(TEXT(C$9,"#"),Tableau14[[#Headers],[2019]:[2050]])+2,FALSE)</f>
        <v>26.793859247034725</v>
      </c>
      <c r="D127" s="238">
        <f>VLOOKUP($A127,Tableau14[[Variables]:[Intégrée au calcul d''intensité]],MATCH(TEXT(D$9,"#"),Tableau14[[#Headers],[2019]:[2050]])+2,FALSE)</f>
        <v>13.612414176448086</v>
      </c>
      <c r="E127" s="238" t="str">
        <f>VLOOKUP($A127,Tableau14[[Variables]:[Intégrée au calcul d''intensité]],MATCH("Unité",Tableau14[#Headers],0)-1,FALSE)</f>
        <v>kg CO2e/m²/an</v>
      </c>
      <c r="F127" s="238" t="s">
        <v>197</v>
      </c>
    </row>
    <row r="128" spans="1:6">
      <c r="A128" s="323" t="str">
        <f>Intensités!B4</f>
        <v>Surface totale de logements</v>
      </c>
      <c r="B128" s="193" t="s">
        <v>123</v>
      </c>
      <c r="C128" s="238">
        <f>VLOOKUP($A128,Tableau14[[Variables]:[Intégrée au calcul d''intensité]],MATCH(TEXT(C$9,"#"),Tableau14[[#Headers],[2019]:[2050]])+2,FALSE)</f>
        <v>14.874488247592346</v>
      </c>
      <c r="D128" s="238">
        <f>VLOOKUP($A128,Tableau14[[Variables]:[Intégrée au calcul d''intensité]],MATCH(TEXT(D$9,"#"),Tableau14[[#Headers],[2019]:[2050]])+2,FALSE)</f>
        <v>6.5894231573359425</v>
      </c>
      <c r="E128" s="238" t="str">
        <f>VLOOKUP($A128,Tableau14[[Variables]:[Intégrée au calcul d''intensité]],MATCH("Unité",Tableau14[#Headers],0)-1,FALSE)</f>
        <v>kg CO2e/m²/an</v>
      </c>
      <c r="F128" s="238" t="s">
        <v>197</v>
      </c>
    </row>
    <row r="129" spans="1:6">
      <c r="A129" s="323" t="str">
        <f>Intensités!B3</f>
        <v>Nombre de logements</v>
      </c>
      <c r="B129" s="193" t="s">
        <v>123</v>
      </c>
      <c r="C129" s="238">
        <f>VLOOKUP($A129,Tableau14[[Variables]:[Intégrée au calcul d''intensité]],MATCH(TEXT(C$9,"#"),Tableau14[[#Headers],[2019]:[2050]])+2,FALSE)</f>
        <v>1.3861398879629052</v>
      </c>
      <c r="D129" s="238">
        <f>VLOOKUP($A129,Tableau14[[Variables]:[Intégrée au calcul d''intensité]],MATCH(TEXT(D$9,"#"),Tableau14[[#Headers],[2019]:[2050]])+2,FALSE)</f>
        <v>0.59932753923244519</v>
      </c>
      <c r="E129" s="238" t="str">
        <f>VLOOKUP($A129,Tableau14[[Variables]:[Intégrée au calcul d''intensité]],MATCH("Unité",Tableau14[#Headers],0)-1,FALSE)</f>
        <v>t CO2e/logement</v>
      </c>
      <c r="F129" s="238" t="s">
        <v>197</v>
      </c>
    </row>
    <row r="188" spans="8:8">
      <c r="H188" s="20"/>
    </row>
    <row r="189" spans="8:8">
      <c r="H189" s="20"/>
    </row>
    <row r="190" spans="8:8">
      <c r="H190" s="20"/>
    </row>
    <row r="191" spans="8:8">
      <c r="H191" s="20"/>
    </row>
    <row r="192" spans="8:8">
      <c r="H192" s="20"/>
    </row>
    <row r="193" spans="8:8">
      <c r="H193" s="20"/>
    </row>
    <row r="194" spans="8:8">
      <c r="H194" s="20"/>
    </row>
    <row r="195" spans="8:8">
      <c r="H195" s="20"/>
    </row>
    <row r="196" spans="8:8">
      <c r="H196" s="20"/>
    </row>
    <row r="197" spans="8:8">
      <c r="H197" s="20"/>
    </row>
    <row r="198" spans="8:8">
      <c r="H198" s="20"/>
    </row>
    <row r="199" spans="8:8">
      <c r="H199" s="20"/>
    </row>
    <row r="200" spans="8:8">
      <c r="H200" s="20"/>
    </row>
    <row r="201" spans="8:8">
      <c r="H201" s="20"/>
    </row>
    <row r="202" spans="8:8">
      <c r="H202" s="20"/>
    </row>
    <row r="203" spans="8:8">
      <c r="H203" s="20"/>
    </row>
    <row r="204" spans="8:8">
      <c r="H204" s="20"/>
    </row>
    <row r="205" spans="8:8">
      <c r="H205" s="20"/>
    </row>
    <row r="206" spans="8:8">
      <c r="H206" s="20"/>
    </row>
    <row r="207" spans="8:8">
      <c r="H207" s="20"/>
    </row>
    <row r="208" spans="8:8">
      <c r="H208" s="20"/>
    </row>
    <row r="209" spans="8:8">
      <c r="H209" s="20"/>
    </row>
    <row r="210" spans="8:8">
      <c r="H210" s="20"/>
    </row>
    <row r="211" spans="8:8">
      <c r="H211" s="20"/>
    </row>
    <row r="212" spans="8:8">
      <c r="H212" s="20"/>
    </row>
    <row r="213" spans="8:8">
      <c r="H213" s="20"/>
    </row>
    <row r="214" spans="8:8">
      <c r="H214" s="20"/>
    </row>
    <row r="215" spans="8:8">
      <c r="H215" s="20"/>
    </row>
    <row r="216" spans="8:8">
      <c r="H216" s="20"/>
    </row>
    <row r="217" spans="8:8">
      <c r="H217" s="20"/>
    </row>
    <row r="218" spans="8:8">
      <c r="H218" s="20"/>
    </row>
    <row r="219" spans="8:8">
      <c r="H219" s="20"/>
    </row>
    <row r="220" spans="8:8">
      <c r="H220" s="20"/>
    </row>
    <row r="221" spans="8:8">
      <c r="H221" s="20"/>
    </row>
    <row r="222" spans="8:8">
      <c r="H222" s="20"/>
    </row>
    <row r="223" spans="8:8">
      <c r="H223" s="20"/>
    </row>
    <row r="224" spans="8:8">
      <c r="H224" s="20"/>
    </row>
    <row r="225" spans="8:8">
      <c r="H225" s="20"/>
    </row>
    <row r="226" spans="8:8">
      <c r="H226" s="20"/>
    </row>
    <row r="227" spans="8:8">
      <c r="H227" s="20"/>
    </row>
    <row r="228" spans="8:8">
      <c r="H228" s="20"/>
    </row>
    <row r="229" spans="8:8">
      <c r="H229" s="20"/>
    </row>
    <row r="230" spans="8:8">
      <c r="H230" s="20"/>
    </row>
    <row r="231" spans="8:8">
      <c r="H231" s="20"/>
    </row>
    <row r="232" spans="8:8">
      <c r="H232" s="20"/>
    </row>
    <row r="233" spans="8:8">
      <c r="H233" s="20"/>
    </row>
    <row r="234" spans="8:8">
      <c r="H234" s="20"/>
    </row>
    <row r="235" spans="8:8">
      <c r="H235" s="20"/>
    </row>
    <row r="236" spans="8:8">
      <c r="H236" s="20"/>
    </row>
    <row r="237" spans="8:8">
      <c r="H237" s="20"/>
    </row>
    <row r="238" spans="8:8">
      <c r="H238" s="20"/>
    </row>
    <row r="239" spans="8:8">
      <c r="H239" s="20"/>
    </row>
    <row r="240" spans="8:8">
      <c r="H240" s="20"/>
    </row>
    <row r="241" spans="8:8">
      <c r="H241" s="20"/>
    </row>
    <row r="242" spans="8:8">
      <c r="H242" s="20"/>
    </row>
    <row r="243" spans="8:8">
      <c r="H243" s="20"/>
    </row>
    <row r="244" spans="8:8">
      <c r="H244" s="20"/>
    </row>
    <row r="245" spans="8:8">
      <c r="H245" s="20"/>
    </row>
    <row r="246" spans="8:8">
      <c r="H246" s="20"/>
    </row>
    <row r="247" spans="8:8">
      <c r="H247" s="20"/>
    </row>
    <row r="248" spans="8:8">
      <c r="H248" s="20"/>
    </row>
    <row r="249" spans="8:8">
      <c r="H249" s="20"/>
    </row>
    <row r="250" spans="8:8">
      <c r="H250" s="20"/>
    </row>
    <row r="251" spans="8:8">
      <c r="H251" s="20"/>
    </row>
    <row r="252" spans="8:8">
      <c r="H252" s="20"/>
    </row>
    <row r="253" spans="8:8">
      <c r="H253" s="20"/>
    </row>
    <row r="254" spans="8:8">
      <c r="H254" s="20"/>
    </row>
    <row r="255" spans="8:8">
      <c r="H255" s="20"/>
    </row>
    <row r="256" spans="8:8">
      <c r="H256" s="20"/>
    </row>
    <row r="257" spans="8:8">
      <c r="H257" s="20"/>
    </row>
    <row r="258" spans="8:8">
      <c r="H258" s="20"/>
    </row>
    <row r="259" spans="8:8">
      <c r="H259" s="20"/>
    </row>
    <row r="260" spans="8:8">
      <c r="H260" s="20"/>
    </row>
    <row r="261" spans="8:8">
      <c r="H261" s="20"/>
    </row>
    <row r="262" spans="8:8">
      <c r="H262" s="20"/>
    </row>
    <row r="263" spans="8:8">
      <c r="H263" s="20"/>
    </row>
    <row r="264" spans="8:8">
      <c r="H264" s="20"/>
    </row>
    <row r="265" spans="8:8">
      <c r="H265" s="20"/>
    </row>
    <row r="266" spans="8:8">
      <c r="H266" s="20"/>
    </row>
    <row r="267" spans="8:8">
      <c r="H267" s="20"/>
    </row>
    <row r="268" spans="8:8">
      <c r="H268" s="20"/>
    </row>
    <row r="269" spans="8:8">
      <c r="H269" s="20"/>
    </row>
    <row r="270" spans="8:8">
      <c r="H270" s="20"/>
    </row>
    <row r="271" spans="8:8">
      <c r="H271" s="20"/>
    </row>
    <row r="272" spans="8:8">
      <c r="H272" s="20"/>
    </row>
  </sheetData>
  <mergeCells count="24">
    <mergeCell ref="C96:E96"/>
    <mergeCell ref="B6:E6"/>
    <mergeCell ref="C108:E108"/>
    <mergeCell ref="C95:E95"/>
    <mergeCell ref="C107:E107"/>
    <mergeCell ref="C104:E104"/>
    <mergeCell ref="C102:E102"/>
    <mergeCell ref="C100:E100"/>
    <mergeCell ref="C97:E97"/>
    <mergeCell ref="C99:E99"/>
    <mergeCell ref="C103:E103"/>
    <mergeCell ref="C98:E98"/>
    <mergeCell ref="C109:E109"/>
    <mergeCell ref="C112:E112"/>
    <mergeCell ref="C110:E110"/>
    <mergeCell ref="B100:B101"/>
    <mergeCell ref="C101:E101"/>
    <mergeCell ref="B110:B112"/>
    <mergeCell ref="B113:B114"/>
    <mergeCell ref="C114:E114"/>
    <mergeCell ref="C116:E116"/>
    <mergeCell ref="C115:E115"/>
    <mergeCell ref="C111:E111"/>
    <mergeCell ref="C113:E11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L134"/>
  <sheetViews>
    <sheetView showGridLines="0" zoomScaleNormal="100" workbookViewId="0">
      <selection activeCell="B131" sqref="B131"/>
    </sheetView>
  </sheetViews>
  <sheetFormatPr baseColWidth="10" defaultColWidth="11.44140625" defaultRowHeight="14.4"/>
  <cols>
    <col min="2" max="2" width="36.44140625" customWidth="1"/>
    <col min="3" max="5" width="30.6640625" customWidth="1"/>
    <col min="6" max="6" width="37.88671875" customWidth="1"/>
    <col min="7" max="7" width="30.88671875" customWidth="1"/>
  </cols>
  <sheetData>
    <row r="3" spans="2:6">
      <c r="B3" s="41" t="s">
        <v>172</v>
      </c>
    </row>
    <row r="5" spans="2:6">
      <c r="E5" s="419"/>
    </row>
    <row r="6" spans="2:6">
      <c r="B6" s="457" t="s">
        <v>173</v>
      </c>
      <c r="C6" s="457"/>
      <c r="D6" s="457"/>
      <c r="E6" s="457"/>
    </row>
    <row r="7" spans="2:6">
      <c r="B7" s="19"/>
      <c r="C7" s="19"/>
      <c r="D7" s="46"/>
      <c r="E7" s="19"/>
    </row>
    <row r="8" spans="2:6" ht="22.95" customHeight="1">
      <c r="B8" s="214" t="s">
        <v>40</v>
      </c>
      <c r="C8" s="215">
        <f>'Choix années'!C4</f>
        <v>2019</v>
      </c>
      <c r="D8" s="215">
        <f>'Choix années'!C5</f>
        <v>2030</v>
      </c>
    </row>
    <row r="9" spans="2:6" ht="22.95" customHeight="1">
      <c r="B9" s="212" t="s">
        <v>342</v>
      </c>
      <c r="C9" s="216">
        <f>C15+C50</f>
        <v>135.04337390156928</v>
      </c>
      <c r="D9" s="216">
        <f>D15+D50</f>
        <v>92.227516646303286</v>
      </c>
    </row>
    <row r="10" spans="2:6">
      <c r="B10" s="186" t="str">
        <f>"% de baisse vs "&amp;TEXT($C$13,"#")</f>
        <v>% de baisse vs 2019</v>
      </c>
      <c r="C10" s="212"/>
      <c r="D10" s="217">
        <f>1-(D9/C9)</f>
        <v>0.31705263293017039</v>
      </c>
    </row>
    <row r="11" spans="2:6" ht="61.95" customHeight="1">
      <c r="D11" s="45"/>
      <c r="E11" s="38"/>
    </row>
    <row r="13" spans="2:6">
      <c r="B13" s="187" t="s">
        <v>198</v>
      </c>
      <c r="C13" s="188">
        <f>C8</f>
        <v>2019</v>
      </c>
      <c r="D13" s="188">
        <f>D8</f>
        <v>2030</v>
      </c>
    </row>
    <row r="14" spans="2:6" ht="43.2" customHeight="1">
      <c r="B14" s="211" t="s">
        <v>41</v>
      </c>
      <c r="C14" s="212"/>
      <c r="D14" s="212"/>
      <c r="E14" s="4"/>
      <c r="F14" s="4"/>
    </row>
    <row r="15" spans="2:6" ht="31.2" customHeight="1">
      <c r="B15" s="212" t="s">
        <v>342</v>
      </c>
      <c r="C15" s="189">
        <f>SUM(C19,C23,C27,C35,)-C43</f>
        <v>83.212386014124661</v>
      </c>
      <c r="D15" s="189">
        <f>SUM(D19,D23,D27,D35,)-D43</f>
        <v>55.520535551151653</v>
      </c>
      <c r="E15" s="44"/>
    </row>
    <row r="16" spans="2:6">
      <c r="B16" s="186" t="str">
        <f>"% de baisse vs "&amp;TEXT($C$13,"#")</f>
        <v>% de baisse vs 2019</v>
      </c>
      <c r="C16" s="190"/>
      <c r="D16" s="191">
        <f>1-(D15/C15)</f>
        <v>0.33278519928839112</v>
      </c>
    </row>
    <row r="17" spans="1:6" ht="28.8">
      <c r="B17" s="186" t="str">
        <f>"Variation annuelle moyenne entre "&amp;TEXT($D$13,"#")&amp;" et "&amp;TEXT($C$13,"#")&amp;" "</f>
        <v xml:space="preserve">Variation annuelle moyenne entre 2030 et 2019 </v>
      </c>
      <c r="C17" s="190"/>
      <c r="D17" s="197">
        <f>((D15/C15)^(1/($D$13-$C$13))-1)</f>
        <v>-3.6117374469382568E-2</v>
      </c>
    </row>
    <row r="18" spans="1:6">
      <c r="B18" s="192" t="s">
        <v>42</v>
      </c>
      <c r="C18" s="193"/>
      <c r="D18" s="194"/>
    </row>
    <row r="19" spans="1:6" ht="22.95" customHeight="1">
      <c r="B19" s="193" t="s">
        <v>342</v>
      </c>
      <c r="C19" s="195">
        <f>VLOOKUP("VP diesel",'Résultats détaillés GES'!$A$169:$BJ$204,MATCH(C$13,'Résultats détaillés GES'!$A$169:$BJ$169),FALSE)+VLOOKUP("VP essence",'Résultats détaillés GES'!$A$169:$BJ$204,MATCH(C$13,'Résultats détaillés GES'!$A$169:$BJ$169),FALSE)+VLOOKUP("VP GPL",'Résultats détaillés GES'!$A$169:$BJ$204,MATCH(C$13,'Résultats détaillés GES'!$A$169:$BJ$169),FALSE)+VLOOKUP("VP GNV",'Résultats détaillés GES'!$A$169:$BJ$204,MATCH(C$13,'Résultats détaillés GES'!$A$169:$BJ$169),FALSE)+VLOOKUP("VP électriques",'Résultats détaillés GES'!$A$169:$BJ$204,MATCH(C$13,'Résultats détaillés GES'!$A$169:$BJ$169),FALSE)</f>
        <v>73.953617538021078</v>
      </c>
      <c r="D19" s="195">
        <f>VLOOKUP("VP diesel",'Résultats détaillés GES'!$A$169:$BJ$204,MATCH(D$13,'Résultats détaillés GES'!$A$169:$BJ$169),FALSE)+VLOOKUP("VP essence",'Résultats détaillés GES'!$A$169:$BJ$204,MATCH(D$13,'Résultats détaillés GES'!$A$169:$BJ$169),FALSE)+VLOOKUP("VP GPL",'Résultats détaillés GES'!$A$169:$BJ$204,MATCH(D$13,'Résultats détaillés GES'!$A$169:$BJ$169),FALSE)+VLOOKUP("VP GNV",'Résultats détaillés GES'!$A$169:$BJ$204,MATCH(D$13,'Résultats détaillés GES'!$A$169:$BJ$169),FALSE)+VLOOKUP("VP électriques",'Résultats détaillés GES'!$A$169:$BJ$204,MATCH(D$13,'Résultats détaillés GES'!$A$169:$BJ$169),FALSE)</f>
        <v>48.109679294645836</v>
      </c>
    </row>
    <row r="20" spans="1:6" ht="22.95" customHeight="1">
      <c r="B20" s="193" t="str">
        <f>"% de baisse vs "&amp;TEXT($C$13,"#")</f>
        <v>% de baisse vs 2019</v>
      </c>
      <c r="C20" s="196"/>
      <c r="D20" s="197">
        <f>1-(D19/C19)</f>
        <v>0.34946144764437437</v>
      </c>
      <c r="E20" s="5"/>
      <c r="F20" s="5"/>
    </row>
    <row r="21" spans="1:6" ht="25.95" customHeight="1">
      <c r="B21" s="198" t="str">
        <f>"Variation annuelle moyenne entre "&amp;TEXT($D$13,"#")&amp;" et "&amp;TEXT($C$13,"#")&amp;" "</f>
        <v xml:space="preserve">Variation annuelle moyenne entre 2030 et 2019 </v>
      </c>
      <c r="C21" s="196"/>
      <c r="D21" s="197">
        <f>((D19/C19)^(1/($D$13-$C$13))-1)</f>
        <v>-3.8332759941150374E-2</v>
      </c>
      <c r="E21" s="5"/>
      <c r="F21" s="5"/>
    </row>
    <row r="22" spans="1:6">
      <c r="B22" s="192" t="s">
        <v>43</v>
      </c>
      <c r="C22" s="193"/>
      <c r="D22" s="194"/>
      <c r="E22" s="5"/>
      <c r="F22" s="5"/>
    </row>
    <row r="23" spans="1:6" ht="22.95" customHeight="1">
      <c r="B23" s="193" t="s">
        <v>342</v>
      </c>
      <c r="C23" s="195">
        <f>VLOOKUP("Bus et cars diesel",'Résultats détaillés GES'!$A$169:$BJ$204,MATCH(C$13,'Résultats détaillés GES'!$A$169:$BJ$169),FALSE)+VLOOKUP("Bus et cars essence",'Résultats détaillés GES'!$A$169:$BJ$204,MATCH(C$13,'Résultats détaillés GES'!$A$169:$BJ$169),FALSE)+VLOOKUP("Bus et cars GNV",'Résultats détaillés GES'!$A$169:$BJ$204,MATCH(C$13,'Résultats détaillés GES'!$A$169:$BJ$169),FALSE)+VLOOKUP("Bus et cars électriques",'Résultats détaillés GES'!$A$169:$BJ$204,MATCH(C$13,'Résultats détaillés GES'!$A$169:$BJ$169),FALSE)</f>
        <v>2.7858133494566428</v>
      </c>
      <c r="D23" s="195">
        <f>VLOOKUP("Bus et cars diesel",'Résultats détaillés GES'!$A$169:$BJ$204,MATCH(D$13,'Résultats détaillés GES'!$A$169:$BJ$169),FALSE)+VLOOKUP("Bus et cars essence",'Résultats détaillés GES'!$A$169:$BJ$204,MATCH(D$13,'Résultats détaillés GES'!$A$169:$BJ$169),FALSE)+VLOOKUP("Bus et cars GNV",'Résultats détaillés GES'!$A$169:$BJ$204,MATCH(D$13,'Résultats détaillés GES'!$A$169:$BJ$169),FALSE)+VLOOKUP("Bus et cars électriques",'Résultats détaillés GES'!$A$169:$BJ$204,MATCH(D$13,'Résultats détaillés GES'!$A$169:$BJ$169),FALSE)</f>
        <v>2.3796426396658452</v>
      </c>
    </row>
    <row r="24" spans="1:6" ht="22.95" customHeight="1">
      <c r="B24" s="193" t="str">
        <f>"% de baisse vs "&amp;TEXT($C$13,"#")</f>
        <v>% de baisse vs 2019</v>
      </c>
      <c r="C24" s="199"/>
      <c r="D24" s="200">
        <f>1-(D23/C23)</f>
        <v>0.14579968534863219</v>
      </c>
      <c r="E24" s="5"/>
      <c r="F24" s="5"/>
    </row>
    <row r="25" spans="1:6" ht="29.4" customHeight="1">
      <c r="B25" s="198" t="str">
        <f>"Variation annuelle moyenne entre "&amp;TEXT($D$13,"#")&amp;" et "&amp;TEXT($C$13,"#")&amp;" "</f>
        <v xml:space="preserve">Variation annuelle moyenne entre 2030 et 2019 </v>
      </c>
      <c r="C25" s="196"/>
      <c r="D25" s="197">
        <f>((D23/C23)^(1/($D$13-$C$13))-1)</f>
        <v>-1.4224189478468263E-2</v>
      </c>
      <c r="E25" s="5"/>
      <c r="F25" s="5"/>
    </row>
    <row r="26" spans="1:6">
      <c r="B26" s="192" t="s">
        <v>44</v>
      </c>
      <c r="C26" s="193"/>
      <c r="D26" s="193"/>
      <c r="E26" s="5"/>
      <c r="F26" s="5"/>
    </row>
    <row r="27" spans="1:6" ht="22.95" customHeight="1">
      <c r="B27" s="193" t="s">
        <v>342</v>
      </c>
      <c r="C27" s="195">
        <f>VLOOKUP("Deux roues diesel",'Résultats détaillés GES'!$A$169:$BJ$204,MATCH(C$13,'Résultats détaillés GES'!$A$169:$BJ$169),FALSE)+VLOOKUP("Deux roues essence",'Résultats détaillés GES'!$A$169:$BJ$204,MATCH(C$13,'Résultats détaillés GES'!$A$169:$BJ$169),FALSE)+VLOOKUP("Deux roues électriques",'Résultats détaillés GES'!$A$169:$BJ$204,MATCH(C$13,'Résultats détaillés GES'!$A$169:$BJ$169),FALSE)</f>
        <v>1.4630214179481502</v>
      </c>
      <c r="D27" s="195">
        <f>VLOOKUP("Deux roues diesel",'Résultats détaillés GES'!$A$169:$BJ$204,MATCH(D$13,'Résultats détaillés GES'!$A$169:$BJ$169),FALSE)+VLOOKUP("Deux roues essence",'Résultats détaillés GES'!$A$169:$BJ$204,MATCH(D$13,'Résultats détaillés GES'!$A$169:$BJ$169),FALSE)+VLOOKUP("Deux roues électriques",'Résultats détaillés GES'!$A$169:$BJ$204,MATCH(D$13,'Résultats détaillés GES'!$A$169:$BJ$169),FALSE)</f>
        <v>0.93504878675866065</v>
      </c>
    </row>
    <row r="28" spans="1:6" ht="22.95" customHeight="1">
      <c r="A28" t="s">
        <v>188</v>
      </c>
      <c r="B28" s="193" t="str">
        <f>"% de baisse vs "&amp;TEXT($C$13,"#")</f>
        <v>% de baisse vs 2019</v>
      </c>
      <c r="C28" s="190"/>
      <c r="D28" s="201">
        <f>1-(D27/C27)</f>
        <v>0.36087826515209709</v>
      </c>
      <c r="E28" s="5"/>
      <c r="F28" s="5"/>
    </row>
    <row r="29" spans="1:6" ht="40.200000000000003" customHeight="1">
      <c r="B29" s="198" t="str">
        <f>"Variation annuelle moyenne entre "&amp;TEXT($D$13,"#")&amp;" et "&amp;TEXT($C$13,"#")&amp;" "</f>
        <v xml:space="preserve">Variation annuelle moyenne entre 2030 et 2019 </v>
      </c>
      <c r="C29" s="196"/>
      <c r="D29" s="197">
        <f>((D27/C27)^(1/($D$13-$C$13))-1)</f>
        <v>-3.9879415961156517E-2</v>
      </c>
      <c r="E29" s="5"/>
      <c r="F29" s="5"/>
    </row>
    <row r="30" spans="1:6" ht="40.200000000000003" customHeight="1">
      <c r="B30" s="192" t="s">
        <v>45</v>
      </c>
      <c r="C30" s="193"/>
      <c r="D30" s="193"/>
      <c r="E30" s="5"/>
      <c r="F30" s="5"/>
    </row>
    <row r="31" spans="1:6" ht="40.200000000000003" customHeight="1">
      <c r="B31" s="193" t="s">
        <v>342</v>
      </c>
      <c r="C31" s="195">
        <f>VLOOKUP($B$61,'Résultats détaillés GES'!$A$169:$BJ$204,MATCH(C$13,'Résultats détaillés GES'!$A$169:$BJ$169),FALSE)</f>
        <v>0.47962195253524964</v>
      </c>
      <c r="D31" s="195">
        <f>VLOOKUP($B$61,'Résultats détaillés GES'!$A$169:$BJ$204,MATCH(D$13,'Résultats détaillés GES'!$A$169:$BJ$169),FALSE)</f>
        <v>0.41248819554104743</v>
      </c>
      <c r="E31" s="5"/>
      <c r="F31" s="5"/>
    </row>
    <row r="32" spans="1:6" ht="40.200000000000003" customHeight="1">
      <c r="B32" s="193" t="str">
        <f>"% de baisse vs "&amp;TEXT($C$13,"#")</f>
        <v>% de baisse vs 2019</v>
      </c>
      <c r="C32" s="190"/>
      <c r="D32" s="201">
        <f>1-(D31/C31)</f>
        <v>0.13997223571468664</v>
      </c>
      <c r="E32" s="5"/>
      <c r="F32" s="5"/>
    </row>
    <row r="33" spans="1:6" ht="40.200000000000003" customHeight="1">
      <c r="B33" s="198" t="str">
        <f>"Variation annuelle moyenne entre "&amp;TEXT($D$13,"#")&amp;" et "&amp;TEXT($C$13,"#")&amp;" "</f>
        <v xml:space="preserve">Variation annuelle moyenne entre 2030 et 2019 </v>
      </c>
      <c r="C33" s="196"/>
      <c r="D33" s="197">
        <f>((D31/C31)^(1/($D$13-$C$13))-1)</f>
        <v>-1.3614706912685848E-2</v>
      </c>
      <c r="E33" s="5"/>
      <c r="F33" s="5"/>
    </row>
    <row r="34" spans="1:6">
      <c r="B34" s="192" t="s">
        <v>46</v>
      </c>
      <c r="C34" s="202"/>
      <c r="D34" s="203"/>
      <c r="E34" s="5"/>
      <c r="F34" s="5"/>
    </row>
    <row r="35" spans="1:6" ht="22.95" customHeight="1">
      <c r="B35" s="193" t="s">
        <v>342</v>
      </c>
      <c r="C35" s="195">
        <f>SUM(C39,C43)</f>
        <v>24.230365056508646</v>
      </c>
      <c r="D35" s="195">
        <f>SUM(D39,D43)</f>
        <v>22.67341591429129</v>
      </c>
    </row>
    <row r="36" spans="1:6" ht="22.95" customHeight="1">
      <c r="A36" t="s">
        <v>188</v>
      </c>
      <c r="B36" s="193" t="str">
        <f>"% de baisse vs "&amp;TEXT($C$13,"#")</f>
        <v>% de baisse vs 2019</v>
      </c>
      <c r="C36" s="196"/>
      <c r="D36" s="205">
        <f>1-(D35/C35)</f>
        <v>6.4256115769875111E-2</v>
      </c>
      <c r="E36" s="5"/>
      <c r="F36" s="5"/>
    </row>
    <row r="37" spans="1:6" ht="34.950000000000003" customHeight="1">
      <c r="B37" s="198" t="str">
        <f>"Variation annuelle moyenne entre "&amp;TEXT($D$13,"#")&amp;" et "&amp;TEXT($C$13,"#")&amp;" "</f>
        <v xml:space="preserve">Variation annuelle moyenne entre 2030 et 2019 </v>
      </c>
      <c r="C37" s="196"/>
      <c r="D37" s="197">
        <f>((D35/C35)^(1/($D$13-$C$13))-1)</f>
        <v>-6.0193983826792863E-3</v>
      </c>
      <c r="E37" s="5"/>
      <c r="F37" s="5"/>
    </row>
    <row r="38" spans="1:6">
      <c r="B38" s="213" t="s">
        <v>199</v>
      </c>
      <c r="C38" s="207"/>
      <c r="D38" s="207"/>
      <c r="E38" s="5"/>
      <c r="F38" s="5"/>
    </row>
    <row r="39" spans="1:6" ht="22.95" customHeight="1">
      <c r="B39" s="209" t="s">
        <v>342</v>
      </c>
      <c r="C39" s="195">
        <f>VLOOKUP($B$38,'Résultats détaillés GES'!$A$169:$BJ$204,MATCH(C$13,'Résultats détaillés GES'!$A$169:$BJ$169),FALSE)</f>
        <v>5.0099337086987772</v>
      </c>
      <c r="D39" s="195">
        <f>VLOOKUP($B$38,'Résultats détaillés GES'!$A$169:$BJ$204,MATCH(D$13,'Résultats détaillés GES'!$A$169:$BJ$169),FALSE)</f>
        <v>4.0961648300813032</v>
      </c>
    </row>
    <row r="40" spans="1:6" ht="22.95" customHeight="1">
      <c r="B40" s="209" t="str">
        <f>"% de baisse vs "&amp;TEXT($C$13,"#")</f>
        <v>% de baisse vs 2019</v>
      </c>
      <c r="C40" s="196"/>
      <c r="D40" s="197">
        <f>1-(D39/C39)</f>
        <v>0.18239141109410129</v>
      </c>
      <c r="E40" s="5"/>
      <c r="F40" s="5"/>
    </row>
    <row r="41" spans="1:6" ht="34.950000000000003" customHeight="1">
      <c r="B41" s="210" t="str">
        <f>"Variation annuelle moyenne entre "&amp;TEXT($D$13,"#")&amp;" et "&amp;TEXT($C$13,"#")&amp;" "</f>
        <v xml:space="preserve">Variation annuelle moyenne entre 2030 et 2019 </v>
      </c>
      <c r="C41" s="196"/>
      <c r="D41" s="205">
        <f>((D39/C39)^(1/($D$13-$C$13))-1)</f>
        <v>-1.8139958740181261E-2</v>
      </c>
      <c r="E41" s="5"/>
      <c r="F41" s="5"/>
    </row>
    <row r="42" spans="1:6">
      <c r="B42" s="213" t="s">
        <v>659</v>
      </c>
      <c r="C42" s="207"/>
      <c r="D42" s="207"/>
      <c r="E42" s="5"/>
      <c r="F42" s="5"/>
    </row>
    <row r="43" spans="1:6" ht="22.95" customHeight="1">
      <c r="B43" s="209" t="s">
        <v>342</v>
      </c>
      <c r="C43" s="195">
        <f>VLOOKUP("Transport aérien international - hors total national",'Résultats détaillés GES'!$A$169:$BJ$204,MATCH(C$13,'Résultats détaillés GES'!$A$169:$BJ$169),FALSE)</f>
        <v>19.220431347809868</v>
      </c>
      <c r="D43" s="195">
        <f>VLOOKUP("Transport aérien international - hors total national",'Résultats détaillés GES'!$A$169:$BJ$204,MATCH(D$13,'Résultats détaillés GES'!$A$169:$BJ$169),FALSE)</f>
        <v>18.577251084209987</v>
      </c>
    </row>
    <row r="44" spans="1:6" ht="22.95" customHeight="1">
      <c r="B44" s="209" t="str">
        <f>"% de baisse vs "&amp;TEXT($C$13,"#")</f>
        <v>% de baisse vs 2019</v>
      </c>
      <c r="C44" s="196"/>
      <c r="D44" s="197">
        <f>1-(D43/C43)</f>
        <v>3.3463362604147284E-2</v>
      </c>
      <c r="E44" s="5"/>
      <c r="F44" s="5"/>
    </row>
    <row r="45" spans="1:6" ht="34.950000000000003" customHeight="1">
      <c r="B45" s="210" t="str">
        <f>"Variation annuelle moyenne entre "&amp;TEXT($D$13,"#")&amp;" et "&amp;TEXT($C$13,"#")&amp;" "</f>
        <v xml:space="preserve">Variation annuelle moyenne entre 2030 et 2019 </v>
      </c>
      <c r="C45" s="196"/>
      <c r="D45" s="197">
        <f>((D43/C43)^(1/($D$13-$C$13))-1)</f>
        <v>-3.0894064559987555E-3</v>
      </c>
      <c r="E45" s="5"/>
      <c r="F45" s="5"/>
    </row>
    <row r="48" spans="1:6">
      <c r="B48" s="187" t="s">
        <v>200</v>
      </c>
      <c r="C48" s="188">
        <f>C13</f>
        <v>2019</v>
      </c>
      <c r="D48" s="188">
        <f>D13</f>
        <v>2030</v>
      </c>
    </row>
    <row r="49" spans="2:6">
      <c r="B49" s="184" t="s">
        <v>48</v>
      </c>
      <c r="C49" s="185"/>
      <c r="D49" s="185"/>
      <c r="E49" s="4"/>
      <c r="F49" s="4"/>
    </row>
    <row r="50" spans="2:6" ht="22.95" customHeight="1">
      <c r="B50" s="185" t="s">
        <v>342</v>
      </c>
      <c r="C50" s="189">
        <f>SUM(C54,C58,C66,C62)-C74</f>
        <v>51.830987887444635</v>
      </c>
      <c r="D50" s="189">
        <f>SUM(D54,D58,D66,D62)-D74</f>
        <v>36.706981095151633</v>
      </c>
      <c r="E50" s="44"/>
    </row>
    <row r="51" spans="2:6" ht="22.95" customHeight="1">
      <c r="B51" s="186" t="str">
        <f>"% de baisse vs "&amp;TEXT($C$13,"#")</f>
        <v>% de baisse vs 2019</v>
      </c>
      <c r="C51" s="190"/>
      <c r="D51" s="191">
        <f>1-(D50/C50)</f>
        <v>0.29179468516278451</v>
      </c>
    </row>
    <row r="52" spans="2:6" ht="39" customHeight="1">
      <c r="B52" s="186" t="str">
        <f>"Variation annuelle moyenne entre "&amp;TEXT($D$13,"#")&amp;" et "&amp;TEXT($C$13,"#")&amp;" "</f>
        <v xml:space="preserve">Variation annuelle moyenne entre 2030 et 2019 </v>
      </c>
      <c r="C52" s="190"/>
      <c r="D52" s="191"/>
    </row>
    <row r="53" spans="2:6">
      <c r="B53" s="192" t="s">
        <v>49</v>
      </c>
      <c r="C53" s="193"/>
      <c r="D53" s="194"/>
    </row>
    <row r="54" spans="2:6" ht="22.95" customHeight="1">
      <c r="B54" s="193" t="s">
        <v>342</v>
      </c>
      <c r="C54" s="195">
        <f>VLOOKUP("PL de marchandises diesel",'Résultats détaillés GES'!$A$169:$BJ$204,MATCH(C$13,'Résultats détaillés GES'!$A$169:$BJ$169),FALSE)+VLOOKUP("PL de marchandises essence",'Résultats détaillés GES'!$A$169:$BJ$204,MATCH(C$13,'Résultats détaillés GES'!$A$169:$BJ$169),FALSE)+VLOOKUP("PL de marchandises GNV",'Résultats détaillés GES'!$A$169:$BJ$204,MATCH(C$13,'Résultats détaillés GES'!$A$169:$BJ$169),FALSE)+VLOOKUP("PL de marchandises électriques",'Résultats détaillés GES'!$A$169:$BJ$204,MATCH(C$13,'Résultats détaillés GES'!$A$169:$BJ$169),FALSE)</f>
        <v>30.034085307607914</v>
      </c>
      <c r="D54" s="195">
        <f>VLOOKUP("PL de marchandises diesel",'Résultats détaillés GES'!$A$169:$BJ$204,MATCH(D$13,'Résultats détaillés GES'!$A$169:$BJ$169),FALSE)+VLOOKUP("PL de marchandises essence",'Résultats détaillés GES'!$A$169:$BJ$204,MATCH(D$13,'Résultats détaillés GES'!$A$169:$BJ$169),FALSE)+VLOOKUP("PL de marchandises GNV",'Résultats détaillés GES'!$A$169:$BJ$204,MATCH(D$13,'Résultats détaillés GES'!$A$169:$BJ$169),FALSE)+VLOOKUP("PL de marchandises électriques",'Résultats détaillés GES'!$A$169:$BJ$204,MATCH(D$13,'Résultats détaillés GES'!$A$169:$BJ$169),FALSE)</f>
        <v>19.564610211224611</v>
      </c>
    </row>
    <row r="55" spans="2:6" ht="22.95" customHeight="1">
      <c r="B55" s="193" t="str">
        <f>"% de baisse vs "&amp;TEXT($C$13,"#")</f>
        <v>% de baisse vs 2019</v>
      </c>
      <c r="C55" s="196"/>
      <c r="D55" s="197">
        <f>1-(D54/C54)</f>
        <v>0.34858644733659616</v>
      </c>
      <c r="E55" s="5"/>
      <c r="F55" s="5"/>
    </row>
    <row r="56" spans="2:6" ht="34.950000000000003" customHeight="1">
      <c r="B56" s="198" t="str">
        <f>"Variation annuelle moyenne entre "&amp;TEXT($D$13,"#")&amp;" et "&amp;TEXT($C$13,"#")&amp;" "</f>
        <v xml:space="preserve">Variation annuelle moyenne entre 2030 et 2019 </v>
      </c>
      <c r="C56" s="196"/>
      <c r="D56" s="197">
        <f>((D54/C54)^(1/($D$13-$C$13))-1)</f>
        <v>-3.8215242607365973E-2</v>
      </c>
      <c r="E56" s="5"/>
      <c r="F56" s="5"/>
    </row>
    <row r="57" spans="2:6">
      <c r="B57" s="192" t="s">
        <v>50</v>
      </c>
      <c r="C57" s="193"/>
      <c r="D57" s="194"/>
      <c r="E57" s="5"/>
      <c r="F57" s="5"/>
    </row>
    <row r="58" spans="2:6" ht="22.95" customHeight="1">
      <c r="B58" s="193" t="s">
        <v>342</v>
      </c>
      <c r="C58" s="195">
        <f>VLOOKUP("VUL diesel",'Résultats détaillés GES'!$A$169:$BJ$204,MATCH(C$13,'Résultats détaillés GES'!$A$169:$BJ$169),FALSE)+VLOOKUP("VUL essence",'Résultats détaillés GES'!$A$169:$BJ$204,MATCH(C$13,'Résultats détaillés GES'!$A$169:$BJ$169),FALSE)+VLOOKUP("VUL GNV",'Résultats détaillés GES'!$A$169:$BJ$204,MATCH(C$13,'Résultats détaillés GES'!$A$169:$BJ$169),FALSE)+VLOOKUP("VUL électriques",'Résultats détaillés GES'!$A$169:$BJ$204,MATCH(C$13,'Résultats détaillés GES'!$A$169:$BJ$169),FALSE)+VLOOKUP("VUL GPL",'Résultats détaillés GES'!$A$169:$BJ$204,MATCH(C$13,'Résultats détaillés GES'!$A$169:$BJ$169),FALSE)</f>
        <v>18.048489131502222</v>
      </c>
      <c r="D58" s="195">
        <f>VLOOKUP("VUL diesel",'Résultats détaillés GES'!$A$169:$BJ$204,MATCH(D$13,'Résultats détaillés GES'!$A$169:$BJ$169),FALSE)+VLOOKUP("VUL essence",'Résultats détaillés GES'!$A$169:$BJ$204,MATCH(D$13,'Résultats détaillés GES'!$A$169:$BJ$169),FALSE)+VLOOKUP("VUL GNV",'Résultats détaillés GES'!$A$169:$BJ$204,MATCH(D$13,'Résultats détaillés GES'!$A$169:$BJ$169),FALSE)+VLOOKUP("VUL électriques",'Résultats détaillés GES'!$A$169:$BJ$204,MATCH(D$13,'Résultats détaillés GES'!$A$169:$BJ$169),FALSE)+VLOOKUP("VUL GPL",'Résultats détaillés GES'!$A$169:$BJ$204,MATCH(D$13,'Résultats détaillés GES'!$A$169:$BJ$169),FALSE)</f>
        <v>13.747082967222291</v>
      </c>
    </row>
    <row r="59" spans="2:6" ht="22.95" customHeight="1">
      <c r="B59" s="193" t="str">
        <f>"% de baisse vs "&amp;TEXT($C$13,"#")</f>
        <v>% de baisse vs 2019</v>
      </c>
      <c r="C59" s="199"/>
      <c r="D59" s="200">
        <f>1-(D58/C58)</f>
        <v>0.23832499955756214</v>
      </c>
      <c r="E59" s="5"/>
      <c r="F59" s="5"/>
    </row>
    <row r="60" spans="2:6" ht="37.200000000000003" customHeight="1">
      <c r="B60" s="198" t="str">
        <f>"Variation annuelle moyenne entre "&amp;TEXT($D$13,"#")&amp;" et "&amp;TEXT($C$13,"#")&amp;" "</f>
        <v xml:space="preserve">Variation annuelle moyenne entre 2030 et 2019 </v>
      </c>
      <c r="C60" s="196"/>
      <c r="D60" s="197">
        <f>((D58/C58)^(1/($D$13-$C$13))-1)</f>
        <v>-2.4444928346552208E-2</v>
      </c>
      <c r="E60" s="5"/>
      <c r="F60" s="5"/>
    </row>
    <row r="61" spans="2:6" ht="24.6" customHeight="1">
      <c r="B61" s="192" t="s">
        <v>45</v>
      </c>
      <c r="C61" s="193"/>
      <c r="D61" s="193"/>
      <c r="E61" s="5"/>
      <c r="F61" s="5"/>
    </row>
    <row r="62" spans="2:6" ht="37.200000000000003" customHeight="1">
      <c r="B62" s="193" t="s">
        <v>342</v>
      </c>
      <c r="C62" s="195">
        <f>VLOOKUP($B$61,'Résultats détaillés GES'!$A$169:$BJ$204,MATCH(C$13,'Résultats détaillés GES'!$A$169:$BJ$169),FALSE)</f>
        <v>0.47962195253524964</v>
      </c>
      <c r="D62" s="195">
        <f>VLOOKUP($B$61,'Résultats détaillés GES'!$A$169:$BJ$204,MATCH(D$13,'Résultats détaillés GES'!$A$169:$BJ$169),FALSE)</f>
        <v>0.41248819554104743</v>
      </c>
      <c r="E62" s="5"/>
      <c r="F62" s="5"/>
    </row>
    <row r="63" spans="2:6" ht="37.200000000000003" customHeight="1">
      <c r="B63" s="193" t="str">
        <f>"% de baisse vs "&amp;TEXT($C$13,"#")</f>
        <v>% de baisse vs 2019</v>
      </c>
      <c r="C63" s="190"/>
      <c r="D63" s="201">
        <f>1-(D62/C62)</f>
        <v>0.13997223571468664</v>
      </c>
      <c r="E63" s="5"/>
      <c r="F63" s="5"/>
    </row>
    <row r="64" spans="2:6" ht="37.200000000000003" customHeight="1">
      <c r="B64" s="198" t="str">
        <f>"Variation annuelle moyenne entre "&amp;TEXT($D$13,"#")&amp;" et "&amp;TEXT($C$13,"#")&amp;" "</f>
        <v xml:space="preserve">Variation annuelle moyenne entre 2030 et 2019 </v>
      </c>
      <c r="C64" s="196"/>
      <c r="D64" s="197">
        <f>((D62/C62)^(1/($D$13-$C$13))-1)</f>
        <v>-1.3614706912685848E-2</v>
      </c>
      <c r="E64" s="5"/>
      <c r="F64" s="5"/>
    </row>
    <row r="65" spans="2:12">
      <c r="B65" s="192" t="s">
        <v>51</v>
      </c>
      <c r="C65" s="202"/>
      <c r="D65" s="203"/>
      <c r="E65" s="5"/>
      <c r="F65" s="5"/>
    </row>
    <row r="66" spans="2:12" ht="22.95" customHeight="1">
      <c r="B66" s="193" t="s">
        <v>342</v>
      </c>
      <c r="C66" s="204">
        <f>SUM(C70,C74)</f>
        <v>8.1837823275567434</v>
      </c>
      <c r="D66" s="204">
        <f>SUM(D70,D74)</f>
        <v>5.2466534347442524</v>
      </c>
    </row>
    <row r="67" spans="2:12" ht="22.95" customHeight="1">
      <c r="B67" s="193" t="str">
        <f>"% de baisse vs "&amp;TEXT($C$13,"#")</f>
        <v>% de baisse vs 2019</v>
      </c>
      <c r="C67" s="196"/>
      <c r="D67" s="205">
        <f>1-(D66/C66)</f>
        <v>0.35889626278578779</v>
      </c>
      <c r="E67" s="5"/>
      <c r="F67" s="5"/>
    </row>
    <row r="68" spans="2:12" ht="29.4" customHeight="1">
      <c r="B68" s="198" t="str">
        <f>"Variation annuelle moyenne entre "&amp;TEXT($D$13,"#")&amp;" et "&amp;TEXT($C$13,"#")&amp;" "</f>
        <v xml:space="preserve">Variation annuelle moyenne entre 2030 et 2019 </v>
      </c>
      <c r="C68" s="196"/>
      <c r="D68" s="197">
        <f>((D66/C66)^(1/($D$13-$C$13))-1)</f>
        <v>-3.9609118312339375E-2</v>
      </c>
      <c r="E68" s="5"/>
      <c r="F68" s="5"/>
    </row>
    <row r="69" spans="2:12" ht="28.8">
      <c r="B69" s="206" t="s">
        <v>201</v>
      </c>
      <c r="C69" s="207"/>
      <c r="D69" s="207"/>
      <c r="E69" s="5"/>
      <c r="F69" s="5"/>
    </row>
    <row r="70" spans="2:12" ht="22.95" customHeight="1">
      <c r="B70" s="208" t="s">
        <v>342</v>
      </c>
      <c r="C70" s="195">
        <f>VLOOKUP("Transport maritime domestique",'Résultats détaillés GES'!$A$169:$BJ$204,MATCH(C$13,'Résultats détaillés GES'!$A$169:$BJ$169),FALSE)+VLOOKUP("Transport autres navigations",'Résultats détaillés GES'!$A$169:$BJ$204,MATCH(C$13,'Résultats détaillés GES'!$A$169:$BJ$169),FALSE)+VLOOKUP("Transport fluvial de marchandises",'Résultats détaillés GES'!$A$169:$BJ$204,MATCH(C$13,'Résultats détaillés GES'!$A$169:$BJ$169),FALSE)</f>
        <v>3.2687914957992565</v>
      </c>
      <c r="D70" s="195">
        <f>VLOOKUP("Transport maritime domestique",'Résultats détaillés GES'!$A$169:$BJ$204,MATCH(D$13,'Résultats détaillés GES'!$A$169:$BJ$169),FALSE)+VLOOKUP("Transport autres navigations",'Résultats détaillés GES'!$A$169:$BJ$204,MATCH(D$13,'Résultats détaillés GES'!$A$169:$BJ$169),FALSE)+VLOOKUP("Transport fluvial de marchandises",'Résultats détaillés GES'!$A$169:$BJ$204,MATCH(D$13,'Résultats détaillés GES'!$A$169:$BJ$169),FALSE)</f>
        <v>2.9827997211636892</v>
      </c>
    </row>
    <row r="71" spans="2:12" ht="22.95" customHeight="1">
      <c r="B71" s="209" t="str">
        <f>"% de baisse vs "&amp;TEXT($C$13,"#")</f>
        <v>% de baisse vs 2019</v>
      </c>
      <c r="C71" s="196"/>
      <c r="D71" s="197">
        <f>1-(D70/C70)</f>
        <v>8.7491592841910215E-2</v>
      </c>
      <c r="E71" s="5"/>
      <c r="F71" s="5"/>
    </row>
    <row r="72" spans="2:12" ht="33.6" customHeight="1">
      <c r="B72" s="210" t="str">
        <f>"Variation annuelle moyenne entre "&amp;TEXT($D$13,"#")&amp;" et "&amp;TEXT($C$13,"#")&amp;" "</f>
        <v xml:space="preserve">Variation annuelle moyenne entre 2030 et 2019 </v>
      </c>
      <c r="C72" s="196"/>
      <c r="D72" s="205">
        <f>((D70/C70)^(1/($D$13-$C$13))-1)</f>
        <v>-8.2889087249112814E-3</v>
      </c>
      <c r="E72" s="5"/>
      <c r="F72" s="5"/>
      <c r="G72" s="42"/>
      <c r="H72" s="42"/>
      <c r="I72" s="42"/>
      <c r="J72" s="42"/>
      <c r="K72" s="42"/>
    </row>
    <row r="73" spans="2:12">
      <c r="B73" s="206" t="s">
        <v>202</v>
      </c>
      <c r="C73" s="207"/>
      <c r="D73" s="207"/>
      <c r="E73" s="5"/>
      <c r="F73" s="5"/>
      <c r="G73" s="42"/>
      <c r="H73" s="42"/>
      <c r="I73" s="42"/>
      <c r="J73" s="42"/>
      <c r="K73" s="42"/>
    </row>
    <row r="74" spans="2:12" ht="22.95" customHeight="1">
      <c r="B74" s="208" t="s">
        <v>342</v>
      </c>
      <c r="C74" s="195">
        <f>VLOOKUP("Transport fluvial international - hors total national",'Résultats détaillés GES'!$A$169:$BJ$204,MATCH(C$13,'Résultats détaillés GES'!$A$169:$BJ$169),FALSE)+VLOOKUP("Transport maritime international - hors total national",'Résultats détaillés GES'!$A$169:$BJ$204,MATCH(C$13,'Résultats détaillés GES'!$A$169:$BJ$169),FALSE)</f>
        <v>4.9149908317574864</v>
      </c>
      <c r="D74" s="195">
        <f>VLOOKUP("Transport fluvial international - hors total national",'Résultats détaillés GES'!$A$169:$BJ$204,MATCH(D$13,'Résultats détaillés GES'!$A$169:$BJ$169),FALSE)+VLOOKUP("Transport maritime international - hors total national",'Résultats détaillés GES'!$A$169:$BJ$204,MATCH(D$13,'Résultats détaillés GES'!$A$169:$BJ$169),FALSE)</f>
        <v>2.2638537135805632</v>
      </c>
      <c r="G74" s="42"/>
      <c r="H74" s="42"/>
      <c r="I74" s="42"/>
      <c r="J74" s="42"/>
      <c r="K74" s="42"/>
    </row>
    <row r="75" spans="2:12" ht="22.95" customHeight="1">
      <c r="B75" s="209" t="str">
        <f>"% de baisse vs "&amp;TEXT($C$13,"#")</f>
        <v>% de baisse vs 2019</v>
      </c>
      <c r="C75" s="196"/>
      <c r="D75" s="197">
        <f>1-(D74/C74)</f>
        <v>0.53939818179252597</v>
      </c>
      <c r="E75" s="5"/>
      <c r="F75" s="5"/>
      <c r="G75" s="42"/>
      <c r="H75" s="42"/>
      <c r="I75" s="42"/>
      <c r="J75" s="42"/>
      <c r="K75" s="42"/>
    </row>
    <row r="76" spans="2:12" ht="31.95" customHeight="1">
      <c r="B76" s="210" t="str">
        <f>"Variation annuelle moyenne entre "&amp;TEXT($D$13,"#")&amp;" et "&amp;TEXT($C$13,"#")&amp;" "</f>
        <v xml:space="preserve">Variation annuelle moyenne entre 2030 et 2019 </v>
      </c>
      <c r="C76" s="196"/>
      <c r="D76" s="205">
        <f>((D74/C74)^(1/($D$13-$C$13))-1)</f>
        <v>-6.8048652253578035E-2</v>
      </c>
      <c r="E76" s="5"/>
      <c r="F76" s="5"/>
      <c r="G76" s="42"/>
      <c r="H76" s="42"/>
      <c r="I76" s="42"/>
      <c r="J76" s="42"/>
      <c r="K76" s="42"/>
    </row>
    <row r="77" spans="2:12">
      <c r="H77" s="42"/>
      <c r="I77" s="42"/>
      <c r="J77" s="42"/>
      <c r="K77" s="42"/>
      <c r="L77" s="42"/>
    </row>
    <row r="78" spans="2:12">
      <c r="B78" s="187" t="s">
        <v>368</v>
      </c>
      <c r="C78" s="188">
        <f>C48</f>
        <v>2019</v>
      </c>
      <c r="D78" s="188">
        <f>D48</f>
        <v>2030</v>
      </c>
      <c r="H78" s="42"/>
      <c r="I78" s="42"/>
      <c r="J78" s="42"/>
      <c r="K78" s="42"/>
      <c r="L78" s="42"/>
    </row>
    <row r="79" spans="2:12">
      <c r="B79" s="211" t="s">
        <v>369</v>
      </c>
      <c r="C79" s="212"/>
      <c r="D79" s="212"/>
      <c r="H79" s="42"/>
      <c r="I79" s="42"/>
      <c r="J79" s="42"/>
      <c r="K79" s="42"/>
      <c r="L79" s="42"/>
    </row>
    <row r="80" spans="2:12">
      <c r="B80" s="212" t="s">
        <v>342</v>
      </c>
      <c r="C80" s="189">
        <f>IF('Choix années'!C9="1,5 °C",VLOOKUP("Déplacements",'Résultats détaillés GES'!$A$232:$BJ$238,MATCH(C$13,'Résultats détaillés GES'!$A$232:$BJ$232),FALSE),0)+IF('Choix années'!C9="2 °C",VLOOKUP("Déplacements",'Résultats détaillés GES'!$A$240:$BJ$246,MATCH(C$13,'Résultats détaillés GES'!$A$240:$BJ$240),FALSE),0)+IF('Choix années'!C9="3 °C",VLOOKUP("Déplacements",'Résultats détaillés GES'!$A$248:$BJ$254,MATCH(C$13,'Résultats détaillés GES'!$A$248:$BJ$248),FALSE),0)</f>
        <v>159.84575599999999</v>
      </c>
      <c r="D80" s="189">
        <f>IF('Choix années'!C9="1,5 °C",VLOOKUP("Déplacements",'Résultats détaillés GES'!$A$232:$BJ$238,MATCH(D$13,'Résultats détaillés GES'!$A$232:$BJ$232),FALSE),0)+IF('Choix années'!C9="2 °C",VLOOKUP("Déplacements",'Résultats détaillés GES'!$A$240:$BJ$246,MATCH(D$13,'Résultats détaillés GES'!$A$240:$BJ$240),FALSE),0)+IF('Choix années'!C9="3 °C",VLOOKUP("Déplacements",'Résultats détaillés GES'!$A$248:$BJ$254,MATCH(D$13,'Résultats détaillés GES'!$A$248:$BJ$248),FALSE),0)</f>
        <v>120.34859157476069</v>
      </c>
      <c r="H80" s="42"/>
      <c r="I80" s="42"/>
      <c r="J80" s="42"/>
      <c r="K80" s="42"/>
      <c r="L80" s="42"/>
    </row>
    <row r="81" spans="2:12">
      <c r="B81" s="186" t="str">
        <f>"% de baisse vs "&amp;TEXT($C$13,"#")</f>
        <v>% de baisse vs 2019</v>
      </c>
      <c r="C81" s="190"/>
      <c r="D81" s="191">
        <f>1-(D80/C80)</f>
        <v>0.24709548388159464</v>
      </c>
      <c r="H81" s="42"/>
      <c r="I81" s="42"/>
      <c r="J81" s="42"/>
      <c r="K81" s="42"/>
      <c r="L81" s="42"/>
    </row>
    <row r="82" spans="2:12" ht="28.8">
      <c r="B82" s="186" t="str">
        <f>"Variation annuelle moyenne entre "&amp;TEXT($D$13,"#")&amp;" et "&amp;TEXT($C$13,"#")&amp;" "</f>
        <v xml:space="preserve">Variation annuelle moyenne entre 2030 et 2019 </v>
      </c>
      <c r="C82" s="190"/>
      <c r="D82" s="197">
        <f>((D80/C80)^(1/($D$13-$C$13))-1)</f>
        <v>-2.5471517913609465E-2</v>
      </c>
    </row>
    <row r="83" spans="2:12">
      <c r="B83" s="192" t="s">
        <v>376</v>
      </c>
      <c r="C83" s="193"/>
      <c r="D83" s="194"/>
    </row>
    <row r="84" spans="2:12">
      <c r="B84" s="193" t="s">
        <v>342</v>
      </c>
      <c r="C84" s="195">
        <f>IF('Choix années'!C9="1,5 °C",VLOOKUP("Déplacements",'Résultats détaillés GES'!$A$258:$BJ$264,MATCH(C$13,'Résultats détaillés GES'!$A$258:$BJ$258),FALSE),0)+IF('Choix années'!C9="2 °C",VLOOKUP("Déplacements",'Résultats détaillés GES'!$A$266:$BJ$272,MATCH(C$13,'Résultats détaillés GES'!$A$266:$BJ$266),FALSE),0)+IF('Choix années'!C9="3 °C",VLOOKUP("Déplacements",'Résultats détaillés GES'!$A$274:$BJ$280,MATCH(C$13,'Résultats détaillés GES'!$A$274:$BJ$274),FALSE),0)</f>
        <v>62.733806999999999</v>
      </c>
      <c r="D84" s="195">
        <f>IF('Choix années'!C9="1,5 °C",VLOOKUP("Déplacements",'Résultats détaillés GES'!$A$258:$BJ$264,MATCH(D$13,'Résultats détaillés GES'!$A$258:$BJ$258),FALSE),0)+IF('Choix années'!C9="2 °C",VLOOKUP("Déplacements",'Résultats détaillés GES'!$A$266:$BJ$272,MATCH(D$13,'Résultats détaillés GES'!$A$266:$BJ$266),FALSE),0)+IF('Choix années'!C9="3 °C",VLOOKUP("Déplacements",'Résultats détaillés GES'!$A$274:$BJ$280,MATCH(D$13,'Résultats détaillés GES'!$A$274:$BJ$274),FALSE),0)</f>
        <v>51.971385719541139</v>
      </c>
    </row>
    <row r="85" spans="2:12">
      <c r="B85" s="193" t="str">
        <f>"% de baisse vs "&amp;TEXT($C$13,"#")</f>
        <v>% de baisse vs 2019</v>
      </c>
      <c r="C85" s="196"/>
      <c r="D85" s="197">
        <f>1-(D84/C84)</f>
        <v>0.17155696099327844</v>
      </c>
    </row>
    <row r="86" spans="2:12" ht="28.8">
      <c r="B86" s="198" t="str">
        <f>"Variation annuelle moyenne entre "&amp;TEXT($D$13,"#")&amp;" et "&amp;TEXT($C$13,"#")&amp;" "</f>
        <v xml:space="preserve">Variation annuelle moyenne entre 2030 et 2019 </v>
      </c>
      <c r="C86" s="196"/>
      <c r="D86" s="197">
        <f>((D84/C84)^(1/($D$13-$C$13))-1)</f>
        <v>-1.6964204676503836E-2</v>
      </c>
    </row>
    <row r="87" spans="2:12">
      <c r="B87" s="316"/>
      <c r="C87" s="317"/>
      <c r="D87" s="318"/>
    </row>
    <row r="89" spans="2:12">
      <c r="B89" s="28" t="s">
        <v>601</v>
      </c>
    </row>
    <row r="90" spans="2:12">
      <c r="B90" s="28"/>
    </row>
    <row r="91" spans="2:12">
      <c r="B91" s="23" t="s">
        <v>203</v>
      </c>
      <c r="C91" t="s">
        <v>188</v>
      </c>
    </row>
    <row r="92" spans="2:12" ht="28.2" customHeight="1">
      <c r="B92" s="22" t="str">
        <f>"Baisse globale entre "&amp;TEXT($D$13,"#")&amp;" et "&amp;TEXT($C$13,"#")&amp;" "</f>
        <v xml:space="preserve">Baisse globale entre 2030 et 2019 </v>
      </c>
      <c r="C92" s="463">
        <f>D16</f>
        <v>0.33278519928839112</v>
      </c>
      <c r="D92" s="463"/>
      <c r="E92" s="464"/>
    </row>
    <row r="93" spans="2:12" ht="36" customHeight="1">
      <c r="B93" s="21" t="s">
        <v>189</v>
      </c>
      <c r="C93" s="455" t="s">
        <v>600</v>
      </c>
      <c r="D93" s="455"/>
      <c r="E93" s="456"/>
      <c r="F93" s="44"/>
    </row>
    <row r="94" spans="2:12" ht="45" customHeight="1">
      <c r="B94" s="170" t="s">
        <v>146</v>
      </c>
      <c r="C94" s="451" t="s">
        <v>618</v>
      </c>
      <c r="D94" s="451"/>
      <c r="E94" s="451"/>
    </row>
    <row r="95" spans="2:12" ht="68.400000000000006" customHeight="1">
      <c r="B95" s="170" t="s">
        <v>147</v>
      </c>
      <c r="C95" s="451" t="s">
        <v>524</v>
      </c>
      <c r="D95" s="451"/>
      <c r="E95" s="451"/>
      <c r="F95" s="1"/>
    </row>
    <row r="96" spans="2:12" ht="74.400000000000006" customHeight="1">
      <c r="B96" s="169" t="s">
        <v>148</v>
      </c>
      <c r="C96" s="451" t="s">
        <v>619</v>
      </c>
      <c r="D96" s="451"/>
      <c r="E96" s="451"/>
      <c r="F96" s="356"/>
    </row>
    <row r="97" spans="2:12" ht="45" customHeight="1">
      <c r="B97" s="452" t="s">
        <v>149</v>
      </c>
      <c r="C97" s="451" t="s">
        <v>525</v>
      </c>
      <c r="D97" s="451"/>
      <c r="E97" s="451"/>
    </row>
    <row r="98" spans="2:12" ht="63" customHeight="1">
      <c r="B98" s="452"/>
      <c r="C98" s="446" t="s">
        <v>527</v>
      </c>
      <c r="D98" s="447"/>
      <c r="E98" s="448"/>
    </row>
    <row r="99" spans="2:12" ht="45" customHeight="1">
      <c r="B99" s="452"/>
      <c r="C99" s="470" t="s">
        <v>522</v>
      </c>
      <c r="D99" s="471"/>
      <c r="E99" s="472"/>
    </row>
    <row r="100" spans="2:12" ht="93" customHeight="1">
      <c r="B100" s="452"/>
      <c r="C100" s="465" t="s">
        <v>588</v>
      </c>
      <c r="D100" s="465"/>
      <c r="E100" s="465"/>
      <c r="F100" s="356"/>
    </row>
    <row r="101" spans="2:12" ht="56.4" customHeight="1">
      <c r="B101" s="353" t="s">
        <v>150</v>
      </c>
      <c r="C101" s="459" t="s">
        <v>523</v>
      </c>
      <c r="D101" s="459"/>
      <c r="E101" s="459"/>
      <c r="F101" s="1"/>
    </row>
    <row r="102" spans="2:12" ht="42" customHeight="1">
      <c r="B102" s="452" t="s">
        <v>151</v>
      </c>
      <c r="C102" s="466" t="s">
        <v>579</v>
      </c>
      <c r="D102" s="466"/>
      <c r="E102" s="466"/>
      <c r="F102" s="357"/>
    </row>
    <row r="103" spans="2:12" ht="42" customHeight="1">
      <c r="B103" s="452"/>
      <c r="C103" s="467" t="s">
        <v>627</v>
      </c>
      <c r="D103" s="468"/>
      <c r="E103" s="469"/>
      <c r="F103" s="354"/>
    </row>
    <row r="104" spans="2:12" ht="42" customHeight="1">
      <c r="B104" s="452"/>
      <c r="C104" s="466" t="s">
        <v>620</v>
      </c>
      <c r="D104" s="466"/>
      <c r="E104" s="466"/>
      <c r="F104" s="1"/>
    </row>
    <row r="105" spans="2:12" ht="42" customHeight="1">
      <c r="B105" s="452"/>
      <c r="C105" s="466" t="s">
        <v>621</v>
      </c>
      <c r="D105" s="466"/>
      <c r="E105" s="466"/>
    </row>
    <row r="106" spans="2:12" ht="13.95" customHeight="1">
      <c r="B106" s="43"/>
      <c r="C106" s="7"/>
    </row>
    <row r="108" spans="2:12" ht="30.45" customHeight="1">
      <c r="B108" s="23" t="s">
        <v>204</v>
      </c>
      <c r="C108" t="s">
        <v>188</v>
      </c>
    </row>
    <row r="109" spans="2:12" ht="22.95" customHeight="1">
      <c r="B109" s="22" t="str">
        <f>"Baisse globale entre "&amp;TEXT($D$13,"#")&amp;" et "&amp;TEXT($C$13,"#")&amp;" "</f>
        <v xml:space="preserve">Baisse globale entre 2030 et 2019 </v>
      </c>
      <c r="C109" s="463">
        <f>D51</f>
        <v>0.29179468516278451</v>
      </c>
      <c r="D109" s="463"/>
      <c r="E109" s="464"/>
    </row>
    <row r="110" spans="2:12" s="42" customFormat="1" ht="36.450000000000003" customHeight="1">
      <c r="B110" s="21" t="s">
        <v>189</v>
      </c>
      <c r="C110" s="455" t="s">
        <v>600</v>
      </c>
      <c r="D110" s="455"/>
      <c r="E110" s="456"/>
      <c r="H110"/>
      <c r="I110"/>
      <c r="J110"/>
      <c r="K110"/>
      <c r="L110"/>
    </row>
    <row r="111" spans="2:12" s="42" customFormat="1" ht="74.400000000000006" customHeight="1">
      <c r="B111" s="333" t="s">
        <v>153</v>
      </c>
      <c r="C111" s="451" t="s">
        <v>626</v>
      </c>
      <c r="D111" s="451"/>
      <c r="E111" s="451"/>
      <c r="F111" s="355"/>
      <c r="H111"/>
      <c r="I111"/>
      <c r="J111"/>
      <c r="K111"/>
      <c r="L111"/>
    </row>
    <row r="112" spans="2:12" s="42" customFormat="1" ht="45" customHeight="1">
      <c r="B112" s="333" t="s">
        <v>154</v>
      </c>
      <c r="C112" s="451" t="s">
        <v>529</v>
      </c>
      <c r="D112" s="451"/>
      <c r="E112" s="451"/>
      <c r="F112" s="355"/>
      <c r="H112"/>
      <c r="I112"/>
      <c r="J112"/>
      <c r="K112"/>
      <c r="L112"/>
    </row>
    <row r="113" spans="1:12" s="42" customFormat="1" ht="41.4" customHeight="1">
      <c r="B113" s="452" t="s">
        <v>526</v>
      </c>
      <c r="C113" s="451" t="s">
        <v>528</v>
      </c>
      <c r="D113" s="451"/>
      <c r="E113" s="451"/>
      <c r="H113"/>
      <c r="I113"/>
      <c r="J113"/>
      <c r="K113"/>
      <c r="L113"/>
    </row>
    <row r="114" spans="1:12" s="42" customFormat="1" ht="29.4" customHeight="1">
      <c r="B114" s="452"/>
      <c r="C114" s="451" t="s">
        <v>575</v>
      </c>
      <c r="D114" s="451"/>
      <c r="E114" s="451"/>
      <c r="H114"/>
      <c r="I114"/>
      <c r="J114"/>
      <c r="K114"/>
      <c r="L114"/>
    </row>
    <row r="115" spans="1:12" s="42" customFormat="1" ht="52.8" customHeight="1">
      <c r="B115" s="379" t="s">
        <v>643</v>
      </c>
      <c r="C115" s="446" t="s">
        <v>644</v>
      </c>
      <c r="D115" s="447"/>
      <c r="E115" s="448"/>
      <c r="H115" s="386"/>
      <c r="I115" s="386"/>
      <c r="J115" s="386"/>
      <c r="K115" s="386"/>
      <c r="L115" s="386"/>
    </row>
    <row r="116" spans="1:12" s="42" customFormat="1" ht="70.95" customHeight="1">
      <c r="B116" s="334" t="s">
        <v>136</v>
      </c>
      <c r="C116" s="451" t="s">
        <v>622</v>
      </c>
      <c r="D116" s="451"/>
      <c r="E116" s="451"/>
      <c r="F116" s="336"/>
      <c r="H116"/>
      <c r="I116"/>
      <c r="J116"/>
      <c r="K116"/>
      <c r="L116"/>
    </row>
    <row r="117" spans="1:12" s="42" customFormat="1" ht="89.4" customHeight="1">
      <c r="B117" s="334" t="s">
        <v>156</v>
      </c>
      <c r="C117" s="451" t="s">
        <v>580</v>
      </c>
      <c r="D117" s="451"/>
      <c r="E117" s="451"/>
      <c r="F117" s="336"/>
      <c r="H117"/>
      <c r="I117"/>
      <c r="J117"/>
      <c r="K117"/>
      <c r="L117"/>
    </row>
    <row r="123" spans="1:12">
      <c r="B123" s="211" t="s">
        <v>194</v>
      </c>
      <c r="C123" s="211">
        <f>C78</f>
        <v>2019</v>
      </c>
      <c r="D123" s="211">
        <f>D78</f>
        <v>2030</v>
      </c>
      <c r="E123" s="211" t="s">
        <v>195</v>
      </c>
      <c r="F123" s="211" t="s">
        <v>196</v>
      </c>
    </row>
    <row r="124" spans="1:12">
      <c r="A124" s="323" t="str">
        <f>Intensités!B6</f>
        <v>Trafic (tous modes)</v>
      </c>
      <c r="B124" s="193" t="s">
        <v>145</v>
      </c>
      <c r="C124" s="273">
        <f>VLOOKUP($A124,Tableau14[[Variables]:[Intégrée au calcul d''intensité]],MATCH(TEXT(C$13,"#"),Tableau14[[#Headers],[2019]:[2050]])+2,FALSE)</f>
        <v>0.12380613786653248</v>
      </c>
      <c r="D124" s="273">
        <f>VLOOKUP($A124,Tableau14[[Variables]:[Intégrée au calcul d''intensité]],MATCH(TEXT(D$13,"#"),Tableau14[[#Headers],[2019]:[2050]])+2,FALSE)</f>
        <v>8.1131961984623732E-2</v>
      </c>
      <c r="E124" s="273" t="str">
        <f>VLOOKUP($A124,Tableau14[[Variables]:[Intégrée au calcul d''intensité]],MATCH("Unité",Tableau14[#Headers],0)-1,FALSE)</f>
        <v>kgCO2e/pkm</v>
      </c>
      <c r="F124" s="236" t="s">
        <v>197</v>
      </c>
    </row>
    <row r="125" spans="1:12">
      <c r="A125" s="323" t="str">
        <f>Intensités!B7</f>
        <v>Trafic voitures particulières</v>
      </c>
      <c r="B125" s="325" t="s">
        <v>205</v>
      </c>
      <c r="C125" s="273">
        <f>VLOOKUP($A125,Tableau14[[Variables]:[Intégrée au calcul d''intensité]],MATCH(TEXT(C$13,"#"),Tableau14[[#Headers],[2019]:[2050]])+2,FALSE)</f>
        <v>9.052917166372737E-2</v>
      </c>
      <c r="D125" s="273">
        <f>VLOOKUP($A125,Tableau14[[Variables]:[Intégrée au calcul d''intensité]],MATCH(TEXT(D$13,"#"),Tableau14[[#Headers],[2019]:[2050]])+2,FALSE)</f>
        <v>6.0920749238428759E-2</v>
      </c>
      <c r="E125" s="273" t="str">
        <f>VLOOKUP($A125,Tableau14[[Variables]:[Intégrée au calcul d''intensité]],MATCH("Unité",Tableau14[#Headers],0)-1,FALSE)</f>
        <v>kgCO2e/pkm</v>
      </c>
      <c r="F125" s="236" t="s">
        <v>197</v>
      </c>
    </row>
    <row r="126" spans="1:12">
      <c r="A126" s="323" t="str">
        <f>Intensités!B9</f>
        <v>Trafic bus et cars</v>
      </c>
      <c r="B126" s="325" t="s">
        <v>206</v>
      </c>
      <c r="C126" s="273">
        <f>VLOOKUP($A126,Tableau14[[Variables]:[Intégrée au calcul d''intensité]],MATCH(TEXT(C$13,"#"),Tableau14[[#Headers],[2019]:[2050]])+2,FALSE)</f>
        <v>4.5854295544744746E-2</v>
      </c>
      <c r="D126" s="273">
        <f>VLOOKUP($A126,Tableau14[[Variables]:[Intégrée au calcul d''intensité]],MATCH(TEXT(D$13,"#"),Tableau14[[#Headers],[2019]:[2050]])+2,FALSE)</f>
        <v>3.4096079025204028E-2</v>
      </c>
      <c r="E126" s="273" t="str">
        <f>VLOOKUP($A126,Tableau14[[Variables]:[Intégrée au calcul d''intensité]],MATCH("Unité",Tableau14[#Headers],0)-1,FALSE)</f>
        <v>kgCO2e/pkm</v>
      </c>
      <c r="F126" s="236" t="s">
        <v>197</v>
      </c>
    </row>
    <row r="127" spans="1:12">
      <c r="A127" s="323" t="str">
        <f>Intensités!B8</f>
        <v>Trafic deux roues</v>
      </c>
      <c r="B127" s="325" t="s">
        <v>207</v>
      </c>
      <c r="C127" s="273">
        <f>VLOOKUP($A127,Tableau14[[Variables]:[Intégrée au calcul d''intensité]],MATCH(TEXT(C$13,"#"),Tableau14[[#Headers],[2019]:[2050]])+2,FALSE)</f>
        <v>0.12901152904969257</v>
      </c>
      <c r="D127" s="273">
        <f>VLOOKUP($A127,Tableau14[[Variables]:[Intégrée au calcul d''intensité]],MATCH(TEXT(D$13,"#"),Tableau14[[#Headers],[2019]:[2050]])+2,FALSE)</f>
        <v>8.9623991588717533E-2</v>
      </c>
      <c r="E127" s="273" t="str">
        <f>VLOOKUP($A127,Tableau14[[Variables]:[Intégrée au calcul d''intensité]],MATCH("Unité",Tableau14[#Headers],0)-1,FALSE)</f>
        <v>kgCO2e/pkm</v>
      </c>
      <c r="F127" s="236" t="s">
        <v>197</v>
      </c>
    </row>
    <row r="128" spans="1:12">
      <c r="A128" s="323" t="str">
        <f>Intensités!B10</f>
        <v>Trafic ferroviaire de passagers</v>
      </c>
      <c r="B128" s="325" t="s">
        <v>208</v>
      </c>
      <c r="C128" s="273">
        <f>VLOOKUP($A128,Tableau14[[Variables]:[Intégrée au calcul d''intensité]],MATCH(TEXT(C$13,"#"),Tableau14[[#Headers],[2019]:[2050]])+2,FALSE)</f>
        <v>3.3481726171202221E-3</v>
      </c>
      <c r="D128" s="273">
        <f>VLOOKUP($A128,Tableau14[[Variables]:[Intégrée au calcul d''intensité]],MATCH(TEXT(D$13,"#"),Tableau14[[#Headers],[2019]:[2050]])+2,FALSE)</f>
        <v>2.0001787096650269E-3</v>
      </c>
      <c r="E128" s="273" t="str">
        <f>VLOOKUP($A128,Tableau14[[Variables]:[Intégrée au calcul d''intensité]],MATCH("Unité",Tableau14[#Headers],0)-1,FALSE)</f>
        <v>kgCO2e/pkm</v>
      </c>
      <c r="F128" s="236" t="s">
        <v>197</v>
      </c>
    </row>
    <row r="129" spans="1:6" ht="27" customHeight="1">
      <c r="A129" s="323" t="str">
        <f>Intensités!B11</f>
        <v>Trafic aérien domestique</v>
      </c>
      <c r="B129" s="325" t="s">
        <v>209</v>
      </c>
      <c r="C129" s="273">
        <f>VLOOKUP($A129,Tableau14[[Variables]:[Intégrée au calcul d''intensité]],MATCH(TEXT(C$13,"#"),Tableau14[[#Headers],[2019]:[2050]])+2,FALSE)</f>
        <v>9.4236780049164262E-2</v>
      </c>
      <c r="D129" s="273">
        <f>VLOOKUP($A129,Tableau14[[Variables]:[Intégrée au calcul d''intensité]],MATCH(TEXT(D$13,"#"),Tableau14[[#Headers],[2019]:[2050]])+2,FALSE)</f>
        <v>7.4449978019513502E-2</v>
      </c>
      <c r="E129" s="273" t="str">
        <f>VLOOKUP($A129,Tableau14[[Variables]:[Intégrée au calcul d''intensité]],MATCH("Unité",Tableau14[#Headers],0)-1,FALSE)</f>
        <v>kgCO2e/pkm</v>
      </c>
      <c r="F129" s="237" t="s">
        <v>499</v>
      </c>
    </row>
    <row r="130" spans="1:6">
      <c r="A130" s="323" t="str">
        <f>Intensités!B12</f>
        <v>Trafic aérien international</v>
      </c>
      <c r="B130" s="193" t="s">
        <v>403</v>
      </c>
      <c r="C130" s="273">
        <f>VLOOKUP($A130,Tableau14[[Variables]:[Intégrée au calcul d''intensité]],MATCH(TEXT(C$13,"#"),Tableau14[[#Headers],[2019]:[2050]])+2,FALSE)</f>
        <v>0.10465168633673391</v>
      </c>
      <c r="D130" s="273">
        <f>VLOOKUP($A130,Tableau14[[Variables]:[Intégrée au calcul d''intensité]],MATCH(TEXT(D$13,"#"),Tableau14[[#Headers],[2019]:[2050]])+2,FALSE)</f>
        <v>8.6325385983479816E-2</v>
      </c>
      <c r="E130" s="273" t="str">
        <f>VLOOKUP($A130,Tableau14[[Variables]:[Intégrée au calcul d''intensité]],MATCH("Unité",Tableau14[#Headers],0)-1,FALSE)</f>
        <v>kgCO2e/pkm</v>
      </c>
      <c r="F130" s="236" t="s">
        <v>197</v>
      </c>
    </row>
    <row r="131" spans="1:6" ht="28.8">
      <c r="A131" s="323" t="str">
        <f>Intensités!B13</f>
        <v>Trafic de marchandises (tous modes)</v>
      </c>
      <c r="B131" s="198" t="s">
        <v>210</v>
      </c>
      <c r="C131" s="273">
        <f>VLOOKUP($A131,Tableau14[[Variables]:[Intégrée au calcul d''intensité]],MATCH(TEXT(C$13,"#"),Tableau14[[#Headers],[2019]:[2050]])+2,FALSE)</f>
        <v>9.0460181646136131E-2</v>
      </c>
      <c r="D131" s="273">
        <f>VLOOKUP($A131,Tableau14[[Variables]:[Intégrée au calcul d''intensité]],MATCH(TEXT(D$13,"#"),Tableau14[[#Headers],[2019]:[2050]])+2,FALSE)</f>
        <v>5.7452374652437209E-2</v>
      </c>
      <c r="E131" s="273" t="str">
        <f>VLOOKUP($A131,Tableau14[[Variables]:[Intégrée au calcul d''intensité]],MATCH("Unité",Tableau14[#Headers],0)-1,FALSE)</f>
        <v>kg CO2e/tkm</v>
      </c>
      <c r="F131" s="236" t="s">
        <v>197</v>
      </c>
    </row>
    <row r="132" spans="1:6">
      <c r="A132" s="323" t="str">
        <f>Intensités!B14</f>
        <v>Trafic PL</v>
      </c>
      <c r="B132" s="325" t="s">
        <v>211</v>
      </c>
      <c r="C132" s="273">
        <f>VLOOKUP($A132,Tableau14[[Variables]:[Intégrée au calcul d''intensité]],MATCH(TEXT(C$13,"#"),Tableau14[[#Headers],[2019]:[2050]])+2,FALSE)</f>
        <v>0.10119724415664821</v>
      </c>
      <c r="D132" s="273">
        <f>VLOOKUP($A132,Tableau14[[Variables]:[Intégrée au calcul d''intensité]],MATCH(TEXT(D$13,"#"),Tableau14[[#Headers],[2019]:[2050]])+2,FALSE)</f>
        <v>7.0715997810627804E-2</v>
      </c>
      <c r="E132" s="273" t="str">
        <f>VLOOKUP($A132,Tableau14[[Variables]:[Intégrée au calcul d''intensité]],MATCH("Unité",Tableau14[#Headers],0)-1,FALSE)</f>
        <v>kg CO2e/tkm</v>
      </c>
      <c r="F132" s="236" t="s">
        <v>197</v>
      </c>
    </row>
    <row r="133" spans="1:6">
      <c r="A133" s="323" t="str">
        <f>Intensités!B17</f>
        <v>Trafic fluvial</v>
      </c>
      <c r="B133" s="325" t="s">
        <v>212</v>
      </c>
      <c r="C133" s="273">
        <f>VLOOKUP($A133,Tableau14[[Variables]:[Intégrée au calcul d''intensité]],MATCH(TEXT(C$13,"#"),Tableau14[[#Headers],[2019]:[2050]])+2,FALSE)</f>
        <v>1.5569413982035396E-2</v>
      </c>
      <c r="D133" s="273">
        <f>VLOOKUP($A133,Tableau14[[Variables]:[Intégrée au calcul d''intensité]],MATCH(TEXT(D$13,"#"),Tableau14[[#Headers],[2019]:[2050]])+2,FALSE)</f>
        <v>1.3629988728511207E-2</v>
      </c>
      <c r="E133" s="273" t="str">
        <f>VLOOKUP($A133,Tableau14[[Variables]:[Intégrée au calcul d''intensité]],MATCH("Unité",Tableau14[#Headers],0)-1,FALSE)</f>
        <v>kg CO2e/tkm</v>
      </c>
      <c r="F133" s="236" t="s">
        <v>197</v>
      </c>
    </row>
    <row r="134" spans="1:6">
      <c r="A134" s="323" t="str">
        <f>Intensités!B15</f>
        <v>Trafic VUL</v>
      </c>
      <c r="B134" s="325" t="s">
        <v>213</v>
      </c>
      <c r="C134" s="273">
        <f>VLOOKUP($A134,Tableau14[[Variables]:[Intégrée au calcul d''intensité]],MATCH(TEXT(C$13,"#"),Tableau14[[#Headers],[2019]:[2050]])+2,FALSE)</f>
        <v>0.20784800516646559</v>
      </c>
      <c r="D134" s="273">
        <f>VLOOKUP($A134,Tableau14[[Variables]:[Intégrée au calcul d''intensité]],MATCH(TEXT(D$13,"#"),Tableau14[[#Headers],[2019]:[2050]])+2,FALSE)</f>
        <v>0.16402710127091441</v>
      </c>
      <c r="E134" s="389" t="str">
        <f>VLOOKUP($A134,Tableau14[[Variables]:[Intégrée au calcul d''intensité]],MATCH("Unité",Tableau14[#Headers],0)-1,FALSE)</f>
        <v>kg CO2e/Milliards de véhicules km</v>
      </c>
      <c r="F134" s="236" t="s">
        <v>197</v>
      </c>
    </row>
  </sheetData>
  <mergeCells count="27">
    <mergeCell ref="C111:E111"/>
    <mergeCell ref="C117:E117"/>
    <mergeCell ref="C116:E116"/>
    <mergeCell ref="C113:E113"/>
    <mergeCell ref="C112:E112"/>
    <mergeCell ref="C115:E115"/>
    <mergeCell ref="C110:E110"/>
    <mergeCell ref="C95:E95"/>
    <mergeCell ref="C103:E103"/>
    <mergeCell ref="C98:E98"/>
    <mergeCell ref="C99:E99"/>
    <mergeCell ref="B113:B114"/>
    <mergeCell ref="C114:E114"/>
    <mergeCell ref="B6:E6"/>
    <mergeCell ref="B97:B100"/>
    <mergeCell ref="C109:E109"/>
    <mergeCell ref="C92:E92"/>
    <mergeCell ref="C93:E93"/>
    <mergeCell ref="C100:E100"/>
    <mergeCell ref="C97:E97"/>
    <mergeCell ref="C101:E101"/>
    <mergeCell ref="C102:E102"/>
    <mergeCell ref="C104:E104"/>
    <mergeCell ref="C105:E105"/>
    <mergeCell ref="B102:B105"/>
    <mergeCell ref="C96:E96"/>
    <mergeCell ref="C94:E9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P98"/>
  <sheetViews>
    <sheetView showGridLines="0" workbookViewId="0"/>
  </sheetViews>
  <sheetFormatPr baseColWidth="10" defaultColWidth="11.44140625" defaultRowHeight="14.4"/>
  <cols>
    <col min="2" max="2" width="31.33203125" customWidth="1"/>
    <col min="3" max="5" width="30.6640625" customWidth="1"/>
    <col min="6" max="6" width="30" customWidth="1"/>
    <col min="7" max="7" width="26.6640625" customWidth="1"/>
    <col min="9" max="9" width="24.88671875" customWidth="1"/>
    <col min="10" max="10" width="12.33203125" bestFit="1" customWidth="1"/>
  </cols>
  <sheetData>
    <row r="3" spans="2:6">
      <c r="B3" s="41" t="s">
        <v>172</v>
      </c>
    </row>
    <row r="4" spans="2:6">
      <c r="D4" s="480"/>
      <c r="E4" s="480"/>
    </row>
    <row r="6" spans="2:6">
      <c r="B6" s="457" t="s">
        <v>173</v>
      </c>
      <c r="C6" s="457"/>
      <c r="D6" s="457"/>
      <c r="E6" s="457"/>
    </row>
    <row r="7" spans="2:6">
      <c r="B7" s="19"/>
      <c r="C7" s="19"/>
      <c r="D7" s="19"/>
      <c r="E7" s="19"/>
    </row>
    <row r="8" spans="2:6" ht="22.95" customHeight="1">
      <c r="B8" s="214" t="s">
        <v>214</v>
      </c>
      <c r="C8" s="215">
        <f>'Choix années'!C4</f>
        <v>2019</v>
      </c>
      <c r="D8" s="215">
        <f>'Choix années'!C5</f>
        <v>2030</v>
      </c>
    </row>
    <row r="9" spans="2:6" ht="22.95" customHeight="1">
      <c r="B9" s="212" t="s">
        <v>342</v>
      </c>
      <c r="C9" s="216">
        <f>SUM(C16,C38,C52)</f>
        <v>82.758895836800519</v>
      </c>
      <c r="D9" s="216">
        <f>SUM(D16,D38,D52)</f>
        <v>68.320807910034347</v>
      </c>
      <c r="E9" s="38"/>
    </row>
    <row r="10" spans="2:6" ht="30" customHeight="1">
      <c r="B10" s="186" t="str">
        <f>"% de baisse vs "&amp;TEXT($C$14,"#")</f>
        <v>% de baisse vs 2019</v>
      </c>
      <c r="C10" s="212"/>
      <c r="D10" s="217">
        <f>1-(D9/C9)</f>
        <v>0.17445964909002531</v>
      </c>
    </row>
    <row r="11" spans="2:6" ht="30" customHeight="1">
      <c r="B11" s="186" t="str">
        <f>"Variation annuelle moyenne entre "&amp;TEXT($D$14,"#")&amp;" et "&amp;TEXT($C$14,"#")&amp;" "</f>
        <v xml:space="preserve">Variation annuelle moyenne entre 2030 et 2019 </v>
      </c>
      <c r="C11" s="212"/>
      <c r="D11" s="223">
        <f>((D9/C9)^(1/($D$14-$C$14))-1)</f>
        <v>-1.7277827044724914E-2</v>
      </c>
    </row>
    <row r="12" spans="2:6" ht="27" customHeight="1"/>
    <row r="14" spans="2:6">
      <c r="B14" s="187" t="s">
        <v>215</v>
      </c>
      <c r="C14" s="188">
        <f>C8</f>
        <v>2019</v>
      </c>
      <c r="D14" s="188">
        <f>D8</f>
        <v>2030</v>
      </c>
      <c r="E14" s="4"/>
      <c r="F14" s="4"/>
    </row>
    <row r="15" spans="2:6">
      <c r="B15" s="211" t="s">
        <v>216</v>
      </c>
      <c r="C15" s="212"/>
      <c r="D15" s="212"/>
    </row>
    <row r="16" spans="2:6" ht="22.95" customHeight="1">
      <c r="B16" s="212" t="s">
        <v>342</v>
      </c>
      <c r="C16" s="234">
        <f>SUM(C20,C24,C28,C32)</f>
        <v>50.028403202956753</v>
      </c>
      <c r="D16" s="234">
        <f>SUM(D20,D24,D28,D32)</f>
        <v>42.15274318879024</v>
      </c>
      <c r="E16" s="5"/>
      <c r="F16" s="5"/>
    </row>
    <row r="17" spans="1:12" ht="22.95" customHeight="1">
      <c r="B17" s="186" t="str">
        <f>"% de baisse vs "&amp;TEXT($C$14,"#")</f>
        <v>% de baisse vs 2019</v>
      </c>
      <c r="C17" s="190"/>
      <c r="D17" s="191">
        <f>1-(D16/C16)</f>
        <v>0.15742377349555403</v>
      </c>
    </row>
    <row r="18" spans="1:12" ht="28.95" customHeight="1">
      <c r="B18" s="186" t="str">
        <f>"Variation annuelle moyenne entre "&amp;TEXT($D$14,"#")&amp;" et "&amp;TEXT($C$14,"#")&amp;" "</f>
        <v xml:space="preserve">Variation annuelle moyenne entre 2030 et 2019 </v>
      </c>
      <c r="C18" s="190"/>
      <c r="D18" s="197">
        <f>((D16/C16)^(1/($D$14-$C$14))-1)</f>
        <v>-1.5451306710424384E-2</v>
      </c>
    </row>
    <row r="19" spans="1:12">
      <c r="B19" s="192" t="s">
        <v>217</v>
      </c>
      <c r="C19" s="193"/>
      <c r="D19" s="194"/>
    </row>
    <row r="20" spans="1:12" ht="22.95" customHeight="1">
      <c r="B20" s="193" t="s">
        <v>342</v>
      </c>
      <c r="C20" s="195">
        <f>VLOOKUP($B$19,'Résultats détaillés GES'!$A$152:$BJ$166,MATCH(C$14,'Résultats détaillés GES'!$A$152:$BJ$152),FALSE)</f>
        <v>42.278311151183757</v>
      </c>
      <c r="D20" s="195">
        <f>VLOOKUP($B$19,'Résultats détaillés GES'!$A$152:$BJ$166,MATCH(D$14,'Résultats détaillés GES'!$A$152:$BJ$152),FALSE)</f>
        <v>35.300192652104535</v>
      </c>
      <c r="E20" s="5"/>
      <c r="F20" s="5"/>
    </row>
    <row r="21" spans="1:12" ht="30.6" customHeight="1">
      <c r="B21" s="193" t="str">
        <f>"% de baisse vs "&amp;TEXT($C$14,"#")</f>
        <v>% de baisse vs 2019</v>
      </c>
      <c r="C21" s="196"/>
      <c r="D21" s="197">
        <f>1-(D20/C20)</f>
        <v>0.16505196894280016</v>
      </c>
    </row>
    <row r="22" spans="1:12" ht="30.6" customHeight="1">
      <c r="B22" s="198" t="str">
        <f>"Variation annuelle moyenne entre "&amp;TEXT($D$14,"#")&amp;" et "&amp;TEXT($C$14,"#")&amp;" "</f>
        <v xml:space="preserve">Variation annuelle moyenne entre 2030 et 2019 </v>
      </c>
      <c r="C22" s="196"/>
      <c r="D22" s="197">
        <f>((D20/C20)^(1/($D$14-$C$14))-1)</f>
        <v>-1.6264981733694284E-2</v>
      </c>
    </row>
    <row r="23" spans="1:12">
      <c r="B23" s="192" t="s">
        <v>218</v>
      </c>
      <c r="C23" s="193"/>
      <c r="D23" s="194"/>
    </row>
    <row r="24" spans="1:12" ht="22.95" customHeight="1">
      <c r="B24" s="193" t="s">
        <v>342</v>
      </c>
      <c r="C24" s="195">
        <f>VLOOKUP($B$23,'Résultats détaillés GES'!$A$152:$BJ$166,MATCH(C$14,'Résultats détaillés GES'!$A$152:$BJ$152),FALSE)</f>
        <v>2.8914327053934663</v>
      </c>
      <c r="D24" s="195">
        <f>VLOOKUP($B$23,'Résultats détaillés GES'!$A$152:$BJ$166,MATCH(D$14,'Résultats détaillés GES'!$A$152:$BJ$152),FALSE)</f>
        <v>2.3213846470598205</v>
      </c>
      <c r="E24" s="5"/>
      <c r="F24" s="5"/>
    </row>
    <row r="25" spans="1:12" ht="22.95" customHeight="1">
      <c r="B25" s="193" t="str">
        <f>"% de baisse vs "&amp;TEXT($C$14,"#")</f>
        <v>% de baisse vs 2019</v>
      </c>
      <c r="C25" s="199"/>
      <c r="D25" s="200">
        <f>1-(D24/C24)</f>
        <v>0.19715072644447851</v>
      </c>
    </row>
    <row r="26" spans="1:12" ht="31.2" customHeight="1">
      <c r="B26" s="198" t="str">
        <f>"Variation annuelle moyenne entre "&amp;TEXT($D$14,"#")&amp;" et "&amp;TEXT($C$14,"#")&amp;" "</f>
        <v xml:space="preserve">Variation annuelle moyenne entre 2030 et 2019 </v>
      </c>
      <c r="C26" s="199"/>
      <c r="D26" s="197">
        <f>((D24/C24)^(1/($D$14-$C$14))-1)</f>
        <v>-1.9764638669041323E-2</v>
      </c>
      <c r="H26" s="51"/>
      <c r="I26" s="38"/>
      <c r="J26" s="38"/>
      <c r="K26" s="38"/>
      <c r="L26" s="38"/>
    </row>
    <row r="27" spans="1:12">
      <c r="B27" s="192" t="s">
        <v>219</v>
      </c>
      <c r="C27" s="193"/>
      <c r="D27" s="193"/>
      <c r="H27" s="26"/>
    </row>
    <row r="28" spans="1:12" ht="22.95" customHeight="1">
      <c r="B28" s="193" t="s">
        <v>342</v>
      </c>
      <c r="C28" s="195">
        <f>VLOOKUP($B$27,'Résultats détaillés GES'!$A$152:$BJ$166,MATCH(C$14,'Résultats détaillés GES'!$A$152:$BJ$152),FALSE)</f>
        <v>0.23981249072333255</v>
      </c>
      <c r="D28" s="195">
        <f>VLOOKUP($B$27,'Résultats détaillés GES'!$A$152:$BJ$166,MATCH(D$14,'Résultats détaillés GES'!$A$152:$BJ$152),FALSE)</f>
        <v>0.25892145833796415</v>
      </c>
      <c r="E28" s="5"/>
      <c r="F28" s="5"/>
    </row>
    <row r="29" spans="1:12" ht="22.95" customHeight="1">
      <c r="A29" t="s">
        <v>188</v>
      </c>
      <c r="B29" s="193" t="str">
        <f>"% de baisse vs "&amp;TEXT($C$14,"#")</f>
        <v>% de baisse vs 2019</v>
      </c>
      <c r="C29" s="190"/>
      <c r="D29" s="201">
        <f>1-(D28/C28)</f>
        <v>-7.968295378190815E-2</v>
      </c>
    </row>
    <row r="30" spans="1:12" ht="27" customHeight="1">
      <c r="B30" s="198" t="str">
        <f>"Variation annuelle moyenne entre "&amp;TEXT($D$14,"#")&amp;" et "&amp;TEXT($C$14,"#")&amp;" "</f>
        <v xml:space="preserve">Variation annuelle moyenne entre 2030 et 2019 </v>
      </c>
      <c r="C30" s="190"/>
      <c r="D30" s="197">
        <f>((D28/C28)^(1/($D$14-$C$14))-1)</f>
        <v>6.9941123285046647E-3</v>
      </c>
    </row>
    <row r="31" spans="1:12">
      <c r="B31" s="192" t="s">
        <v>220</v>
      </c>
      <c r="C31" s="193"/>
      <c r="D31" s="193"/>
    </row>
    <row r="32" spans="1:12" ht="22.95" customHeight="1">
      <c r="B32" s="193" t="s">
        <v>342</v>
      </c>
      <c r="C32" s="195">
        <f>VLOOKUP($B$31,'Résultats détaillés GES'!$A$152:$BJ$166,MATCH(C$14,'Résultats détaillés GES'!$A$152:$BJ$152),FALSE)</f>
        <v>4.6188468556561926</v>
      </c>
      <c r="D32" s="195">
        <f>VLOOKUP($B$31,'Résultats détaillés GES'!$A$152:$BJ$166,MATCH(D$14,'Résultats détaillés GES'!$A$152:$BJ$152),FALSE)</f>
        <v>4.2722444312879135</v>
      </c>
      <c r="E32" s="5"/>
      <c r="F32" s="5"/>
    </row>
    <row r="33" spans="1:11" ht="22.95" customHeight="1">
      <c r="A33" t="s">
        <v>188</v>
      </c>
      <c r="B33" s="193" t="str">
        <f>"% de baisse vs "&amp;TEXT($C$14,"#")</f>
        <v>% de baisse vs 2019</v>
      </c>
      <c r="C33" s="190"/>
      <c r="D33" s="201">
        <f>1-(D32/C32)</f>
        <v>7.5040899860932431E-2</v>
      </c>
    </row>
    <row r="34" spans="1:11" ht="30" customHeight="1">
      <c r="B34" s="198" t="str">
        <f>"Variation annuelle moyenne entre "&amp;TEXT($D$14,"#")&amp;" et "&amp;TEXT($C$14,"#")&amp;" "</f>
        <v xml:space="preserve">Variation annuelle moyenne entre 2030 et 2019 </v>
      </c>
      <c r="C34" s="190"/>
      <c r="D34" s="197">
        <f>((D32/C32)^(1/($D$14-$C$14))-1)</f>
        <v>-7.0663477149295328E-3</v>
      </c>
    </row>
    <row r="36" spans="1:11">
      <c r="B36" s="187" t="s">
        <v>221</v>
      </c>
      <c r="C36" s="188">
        <f>C8</f>
        <v>2019</v>
      </c>
      <c r="D36" s="188">
        <f>D8</f>
        <v>2030</v>
      </c>
    </row>
    <row r="37" spans="1:11">
      <c r="B37" s="184" t="s">
        <v>53</v>
      </c>
      <c r="C37" s="185"/>
      <c r="D37" s="185"/>
    </row>
    <row r="38" spans="1:11" ht="22.95" customHeight="1">
      <c r="B38" s="185" t="s">
        <v>342</v>
      </c>
      <c r="C38" s="195">
        <f>VLOOKUP("sous-total Culture",'Résultats détaillés GES'!$A$152:$BJ$166,MATCH(C$14,'Résultats détaillés GES'!$A$152:$BJ$152),FALSE)</f>
        <v>22.342155080852116</v>
      </c>
      <c r="D38" s="195">
        <f>VLOOKUP("sous-total Culture",'Résultats détaillés GES'!$A$152:$BJ$166,MATCH(D$14,'Résultats détaillés GES'!$A$152:$BJ$152),FALSE)</f>
        <v>17.426969059167188</v>
      </c>
      <c r="E38" s="5"/>
      <c r="F38" s="5"/>
    </row>
    <row r="39" spans="1:11" ht="22.95" customHeight="1">
      <c r="B39" s="186" t="str">
        <f>"% de baisse vs "&amp;TEXT($C$14,"#")</f>
        <v>% de baisse vs 2019</v>
      </c>
      <c r="C39" s="190"/>
      <c r="D39" s="191">
        <f>1-(D38/C38)</f>
        <v>0.21999605695591051</v>
      </c>
    </row>
    <row r="40" spans="1:11" ht="27.6" customHeight="1">
      <c r="B40" s="186" t="str">
        <f>"Variation annuelle moyenne entre "&amp;TEXT($D$14,"#")&amp;" et "&amp;TEXT($C$14,"#")&amp;" "</f>
        <v xml:space="preserve">Variation annuelle moyenne entre 2030 et 2019 </v>
      </c>
      <c r="C40" s="190"/>
      <c r="D40" s="197">
        <f>((D38/C38)^(1/($D$14-$C$14))-1)</f>
        <v>-2.2333761615747183E-2</v>
      </c>
    </row>
    <row r="41" spans="1:11">
      <c r="B41" s="192" t="s">
        <v>222</v>
      </c>
      <c r="C41" s="193"/>
      <c r="D41" s="194"/>
    </row>
    <row r="42" spans="1:11" ht="22.95" customHeight="1">
      <c r="B42" s="193" t="s">
        <v>342</v>
      </c>
      <c r="C42" s="195">
        <f>VLOOKUP($B$41,'Résultats détaillés GES'!$A$152:$BJ$166,MATCH(C$14,'Résultats détaillés GES'!$A$152:$BJ$152),FALSE)</f>
        <v>11.337846382997732</v>
      </c>
      <c r="D42" s="195">
        <f>VLOOKUP($B$41,'Résultats détaillés GES'!$A$152:$BJ$166,MATCH(D$14,'Résultats détaillés GES'!$A$152:$BJ$152),FALSE)</f>
        <v>7.9010321975717126</v>
      </c>
      <c r="E42" s="5"/>
      <c r="F42" s="5"/>
    </row>
    <row r="43" spans="1:11" ht="22.95" customHeight="1">
      <c r="B43" s="193" t="str">
        <f>"% de baisse vs "&amp;TEXT($C$14,"#")</f>
        <v>% de baisse vs 2019</v>
      </c>
      <c r="C43" s="196"/>
      <c r="D43" s="197">
        <f>1-(D42/C42)</f>
        <v>0.30312760195621247</v>
      </c>
    </row>
    <row r="44" spans="1:11" ht="27.6" customHeight="1">
      <c r="B44" s="198" t="str">
        <f>"Variation annuelle moyenne entre "&amp;TEXT($D$14,"#")&amp;" et "&amp;TEXT($C$14,"#")&amp;" "</f>
        <v xml:space="preserve">Variation annuelle moyenne entre 2030 et 2019 </v>
      </c>
      <c r="C44" s="196"/>
      <c r="D44" s="197">
        <f>((D42/C42)^(1/($D$14-$C$14))-1)</f>
        <v>-3.2298964564123844E-2</v>
      </c>
    </row>
    <row r="45" spans="1:11">
      <c r="B45" s="192" t="s">
        <v>56</v>
      </c>
      <c r="C45" s="202"/>
      <c r="D45" s="203"/>
    </row>
    <row r="46" spans="1:11" ht="22.95" customHeight="1">
      <c r="B46" s="193" t="s">
        <v>342</v>
      </c>
      <c r="C46" s="195">
        <f>C38-C42</f>
        <v>11.004308697854384</v>
      </c>
      <c r="D46" s="195">
        <f>D38-D42</f>
        <v>9.5259368615954756</v>
      </c>
      <c r="E46" s="5"/>
      <c r="F46" s="5"/>
    </row>
    <row r="47" spans="1:11" ht="22.95" customHeight="1">
      <c r="B47" s="193" t="str">
        <f>"% de baisse vs "&amp;TEXT($C$14,"#")</f>
        <v>% de baisse vs 2019</v>
      </c>
      <c r="C47" s="196"/>
      <c r="D47" s="205">
        <f>1-(D46/C46)</f>
        <v>0.13434481682135657</v>
      </c>
      <c r="H47" s="48"/>
      <c r="I47" s="47"/>
      <c r="J47" s="473"/>
      <c r="K47" s="473"/>
    </row>
    <row r="48" spans="1:11" ht="28.2" customHeight="1">
      <c r="B48" s="198" t="str">
        <f>"Variation annuelle moyenne entre "&amp;TEXT($D$14,"#")&amp;" et "&amp;TEXT($C$14,"#")&amp;" "</f>
        <v xml:space="preserve">Variation annuelle moyenne entre 2030 et 2019 </v>
      </c>
      <c r="C48" s="196"/>
      <c r="D48" s="197">
        <f>((D46/C46)^(1/($D$14-$C$14))-1)</f>
        <v>-1.3029698071400975E-2</v>
      </c>
      <c r="H48" s="48"/>
      <c r="I48" s="47"/>
      <c r="J48" s="50"/>
      <c r="K48" s="50"/>
    </row>
    <row r="49" spans="2:11">
      <c r="H49" s="48"/>
      <c r="I49" s="47"/>
      <c r="J49" s="50"/>
      <c r="K49" s="50"/>
    </row>
    <row r="50" spans="2:11">
      <c r="B50" s="187" t="s">
        <v>223</v>
      </c>
      <c r="C50" s="188">
        <f>C8</f>
        <v>2019</v>
      </c>
      <c r="D50" s="188">
        <f>D8</f>
        <v>2030</v>
      </c>
      <c r="H50" s="48"/>
      <c r="I50" s="47"/>
      <c r="J50" s="50"/>
      <c r="K50" s="50"/>
    </row>
    <row r="51" spans="2:11" ht="28.8">
      <c r="B51" s="184" t="s">
        <v>57</v>
      </c>
      <c r="C51" s="185"/>
      <c r="D51" s="185"/>
      <c r="H51" s="48"/>
      <c r="I51" s="47"/>
      <c r="J51" s="50"/>
      <c r="K51" s="50"/>
    </row>
    <row r="52" spans="2:11" ht="22.95" customHeight="1">
      <c r="B52" s="185" t="s">
        <v>342</v>
      </c>
      <c r="C52" s="195">
        <f>VLOOKUP("sous-total Engins, moteurs et chaudières",'Résultats détaillés GES'!$A$152:$BJ$166,MATCH(C$14,'Résultats détaillés GES'!$A$152:$BJ$152),FALSE)</f>
        <v>10.388337552991661</v>
      </c>
      <c r="D52" s="195">
        <f>VLOOKUP("sous-total Engins, moteurs et chaudières",'Résultats détaillés GES'!$A$152:$BJ$166,MATCH(D$14,'Résultats détaillés GES'!$A$152:$BJ$152),FALSE)</f>
        <v>8.741095662076912</v>
      </c>
      <c r="E52" s="5"/>
      <c r="F52" s="5"/>
      <c r="H52" s="48"/>
      <c r="I52" s="47"/>
      <c r="J52" s="474"/>
      <c r="K52" s="474"/>
    </row>
    <row r="53" spans="2:11" ht="22.95" customHeight="1">
      <c r="B53" s="186" t="str">
        <f>"% de baisse vs "&amp;TEXT($C$14,"#")</f>
        <v>% de baisse vs 2019</v>
      </c>
      <c r="C53" s="190"/>
      <c r="D53" s="191">
        <f>1-(D52/C52)</f>
        <v>0.15856645806049807</v>
      </c>
      <c r="H53" s="48"/>
      <c r="I53" s="47"/>
    </row>
    <row r="54" spans="2:11" ht="27.6" customHeight="1">
      <c r="B54" s="186" t="str">
        <f>"Variation annuelle moyenne entre "&amp;TEXT($D$14,"#")&amp;" et "&amp;TEXT($C$14,"#")&amp;" "</f>
        <v xml:space="preserve">Variation annuelle moyenne entre 2030 et 2019 </v>
      </c>
      <c r="C54" s="190"/>
      <c r="D54" s="197">
        <f>((D52/C52)^(1/($D$14-$C$14))-1)</f>
        <v>-1.5572765665972987E-2</v>
      </c>
      <c r="H54" s="48"/>
      <c r="I54" s="47"/>
    </row>
    <row r="56" spans="2:11">
      <c r="B56" s="187" t="s">
        <v>368</v>
      </c>
      <c r="C56" s="188">
        <f>C50</f>
        <v>2019</v>
      </c>
      <c r="D56" s="188">
        <f>D50</f>
        <v>2030</v>
      </c>
    </row>
    <row r="57" spans="2:11" ht="28.8">
      <c r="B57" s="211" t="s">
        <v>374</v>
      </c>
      <c r="C57" s="212"/>
      <c r="D57" s="212"/>
    </row>
    <row r="58" spans="2:11">
      <c r="B58" s="212" t="s">
        <v>342</v>
      </c>
      <c r="C58" s="189">
        <f>IF('Choix années'!$C$9="1,5 °C",VLOOKUP("Alimentation",'Résultats détaillés GES'!$A$232:$BJ$238,MATCH(C$14,'Résultats détaillés GES'!$A$232:$BJ$232),FALSE),0)+IF('Choix années'!$C$9="2 °C",VLOOKUP("Alimentation",'Résultats détaillés GES'!$A$240:$BJ$246,MATCH(C$14,'Résultats détaillés GES'!$A$240:$BJ$240),FALSE),0)+IF('Choix années'!$C$9="3 °C",VLOOKUP("Alimentation",'Résultats détaillés GES'!$A$248:$BJ$254,MATCH(C$14,'Résultats détaillés GES'!$A$248:$BJ$248),FALSE),0)</f>
        <v>142.392055</v>
      </c>
      <c r="D58" s="189">
        <f>IF('Choix années'!$C$9="1,5 °C",VLOOKUP("Alimentation",'Résultats détaillés GES'!$A$232:$BJ$238,MATCH(D$14,'Résultats détaillés GES'!$A$232:$BJ$232),FALSE),0)+IF('Choix années'!$C$9="2 °C",VLOOKUP("Alimentation",'Résultats détaillés GES'!$A$240:$BJ$246,MATCH(D$14,'Résultats détaillés GES'!$A$240:$BJ$240),FALSE),0)+IF('Choix années'!$C$9="3 °C",VLOOKUP("Alimentation",'Résultats détaillés GES'!$A$248:$BJ$254,MATCH(D$14,'Résultats détaillés GES'!$A$248:$BJ$248),FALSE),0)</f>
        <v>116.56174793465917</v>
      </c>
    </row>
    <row r="59" spans="2:11">
      <c r="B59" s="186" t="str">
        <f>"% de baisse vs "&amp;TEXT($C$8,"#")</f>
        <v>% de baisse vs 2019</v>
      </c>
      <c r="C59" s="190"/>
      <c r="D59" s="191">
        <f>1-(D58/C58)</f>
        <v>0.1814027268961097</v>
      </c>
    </row>
    <row r="60" spans="2:11" ht="28.8">
      <c r="B60" s="186" t="str">
        <f>"Variation annuelle moyenne entre "&amp;TEXT($D$8,"#")&amp;" et "&amp;TEXT($C$8,"#")&amp;" "</f>
        <v xml:space="preserve">Variation annuelle moyenne entre 2030 et 2019 </v>
      </c>
      <c r="C60" s="190"/>
      <c r="D60" s="197">
        <f>((D58/C58)^(1/($D$14-$C$14))-1)</f>
        <v>-1.803208134412293E-2</v>
      </c>
    </row>
    <row r="61" spans="2:11">
      <c r="B61" s="192" t="s">
        <v>375</v>
      </c>
      <c r="C61" s="193"/>
      <c r="D61" s="194"/>
    </row>
    <row r="62" spans="2:11">
      <c r="B62" s="193" t="s">
        <v>342</v>
      </c>
      <c r="C62" s="195">
        <f>IF('Choix années'!$C$9="1,5 °C",VLOOKUP("Alimentation",'Résultats détaillés GES'!$A$258:$BJ$264,MATCH(C$14,'Résultats détaillés GES'!$A$258:$BJ$258),FALSE),0)+IF('Choix années'!$C$9="2 °C",VLOOKUP("Alimentation",'Résultats détaillés GES'!$A$266:$BJ$272,MATCH(C$14,'Résultats détaillés GES'!$A$266:$BJ$266),FALSE),0)+IF('Choix années'!$C$9="3 °C",VLOOKUP("Alimentation",'Résultats détaillés GES'!$A$274:$BJ$280,MATCH(C$14,'Résultats détaillés GES'!$A$274:$BJ$274),FALSE),0)</f>
        <v>61.897629000000002</v>
      </c>
      <c r="D62" s="195">
        <f>IF('Choix années'!$C$9="1,5 °C",VLOOKUP("Alimentation",'Résultats détaillés GES'!$A$258:$BJ$264,MATCH(D$14,'Résultats détaillés GES'!$A$258:$BJ$258),FALSE),0)+IF('Choix années'!$C$9="2 °C",VLOOKUP("Alimentation",'Résultats détaillés GES'!$A$266:$BJ$272,MATCH(D$14,'Résultats détaillés GES'!$A$266:$BJ$266),FALSE),0)+IF('Choix années'!$C$9="3 °C",VLOOKUP("Alimentation",'Résultats détaillés GES'!$A$274:$BJ$280,MATCH(D$14,'Résultats détaillés GES'!$A$274:$BJ$274),FALSE),0)</f>
        <v>52.846355502429816</v>
      </c>
    </row>
    <row r="63" spans="2:11">
      <c r="B63" s="193" t="str">
        <f>"% de baisse vs "&amp;TEXT($C$8,"#")</f>
        <v>% de baisse vs 2019</v>
      </c>
      <c r="C63" s="196"/>
      <c r="D63" s="197">
        <f>1-(D62/C62)</f>
        <v>0.14622972872789985</v>
      </c>
    </row>
    <row r="64" spans="2:11" ht="28.8">
      <c r="B64" s="198" t="str">
        <f>"Variation annuelle moyenne entre "&amp;TEXT($D$8,"#")&amp;" et "&amp;TEXT($C$8,"#")&amp;" "</f>
        <v xml:space="preserve">Variation annuelle moyenne entre 2030 et 2019 </v>
      </c>
      <c r="C64" s="196"/>
      <c r="D64" s="197">
        <f>((D62/C62)^(1/($D$14-$C$14))-1)</f>
        <v>-1.4269316577348645E-2</v>
      </c>
    </row>
    <row r="68" spans="2:16">
      <c r="B68" s="28" t="s">
        <v>601</v>
      </c>
      <c r="I68" s="48"/>
      <c r="J68" s="47"/>
      <c r="K68" s="473"/>
      <c r="L68" s="473"/>
    </row>
    <row r="69" spans="2:16">
      <c r="B69" s="28"/>
      <c r="I69" s="48"/>
      <c r="J69" s="47"/>
      <c r="K69" s="474"/>
      <c r="L69" s="474"/>
    </row>
    <row r="70" spans="2:16" ht="34.5" customHeight="1">
      <c r="B70" s="22" t="str">
        <f>"Baisse globale entre "&amp;TEXT($D$8,"#")&amp;" et "&amp;TEXT($C$8,"#")&amp;" "</f>
        <v xml:space="preserve">Baisse globale entre 2030 et 2019 </v>
      </c>
      <c r="C70" s="463">
        <f>D10</f>
        <v>0.17445964909002531</v>
      </c>
      <c r="D70" s="463"/>
      <c r="E70" s="464"/>
      <c r="H70" s="42"/>
      <c r="I70" s="48"/>
      <c r="J70" s="47"/>
      <c r="K70" s="473"/>
      <c r="L70" s="474"/>
      <c r="M70" s="42"/>
      <c r="N70" s="42"/>
      <c r="O70" s="42"/>
      <c r="P70" s="42"/>
    </row>
    <row r="71" spans="2:16" ht="36" customHeight="1">
      <c r="B71" s="21" t="s">
        <v>189</v>
      </c>
      <c r="C71" s="455" t="s">
        <v>600</v>
      </c>
      <c r="D71" s="455"/>
      <c r="E71" s="456"/>
      <c r="H71" s="42"/>
      <c r="I71" s="48"/>
      <c r="J71" s="47"/>
      <c r="K71" s="473"/>
      <c r="L71" s="473"/>
      <c r="M71" s="42"/>
      <c r="N71" s="42"/>
      <c r="O71" s="42"/>
      <c r="P71" s="42"/>
    </row>
    <row r="72" spans="2:16" ht="43.2" customHeight="1">
      <c r="B72" s="444" t="s">
        <v>158</v>
      </c>
      <c r="C72" s="475" t="s">
        <v>540</v>
      </c>
      <c r="D72" s="475"/>
      <c r="E72" s="475"/>
      <c r="H72" s="42"/>
      <c r="I72" s="42"/>
      <c r="J72" s="42"/>
      <c r="K72" s="42"/>
      <c r="L72" s="42"/>
      <c r="M72" s="42"/>
      <c r="N72" s="42"/>
      <c r="O72" s="42"/>
      <c r="P72" s="42"/>
    </row>
    <row r="73" spans="2:16" ht="54" customHeight="1">
      <c r="B73" s="453"/>
      <c r="C73" s="476" t="s">
        <v>582</v>
      </c>
      <c r="D73" s="477"/>
      <c r="E73" s="478"/>
      <c r="H73" s="42"/>
      <c r="I73" s="42"/>
      <c r="J73" s="42"/>
      <c r="K73" s="42"/>
      <c r="L73" s="42"/>
      <c r="M73" s="42"/>
      <c r="N73" s="42"/>
      <c r="O73" s="42"/>
      <c r="P73" s="42"/>
    </row>
    <row r="74" spans="2:16" ht="61.95" customHeight="1">
      <c r="B74" s="453"/>
      <c r="C74" s="475" t="s">
        <v>568</v>
      </c>
      <c r="D74" s="475"/>
      <c r="E74" s="475"/>
    </row>
    <row r="75" spans="2:16" ht="37.950000000000003" customHeight="1">
      <c r="B75" s="445"/>
      <c r="C75" s="475" t="s">
        <v>542</v>
      </c>
      <c r="D75" s="475"/>
      <c r="E75" s="475"/>
    </row>
    <row r="76" spans="2:16" ht="59.7" customHeight="1">
      <c r="B76" s="444" t="s">
        <v>159</v>
      </c>
      <c r="C76" s="451" t="s">
        <v>603</v>
      </c>
      <c r="D76" s="451"/>
      <c r="E76" s="451"/>
    </row>
    <row r="77" spans="2:16" s="386" customFormat="1" ht="59.7" customHeight="1">
      <c r="B77" s="445"/>
      <c r="C77" s="446" t="s">
        <v>629</v>
      </c>
      <c r="D77" s="447"/>
      <c r="E77" s="448"/>
    </row>
    <row r="78" spans="2:16" ht="39" customHeight="1">
      <c r="B78" s="444" t="s">
        <v>160</v>
      </c>
      <c r="C78" s="481" t="s">
        <v>628</v>
      </c>
      <c r="D78" s="481"/>
      <c r="E78" s="481"/>
    </row>
    <row r="79" spans="2:16" ht="47.4" customHeight="1">
      <c r="B79" s="453"/>
      <c r="C79" s="451" t="s">
        <v>581</v>
      </c>
      <c r="D79" s="451"/>
      <c r="E79" s="451"/>
    </row>
    <row r="80" spans="2:16" ht="47.4" customHeight="1">
      <c r="B80" s="445"/>
      <c r="C80" s="446" t="s">
        <v>541</v>
      </c>
      <c r="D80" s="447"/>
      <c r="E80" s="448"/>
    </row>
    <row r="81" spans="1:15" ht="47.4" customHeight="1">
      <c r="B81" s="362" t="s">
        <v>584</v>
      </c>
      <c r="C81" s="446" t="s">
        <v>609</v>
      </c>
      <c r="D81" s="447"/>
      <c r="E81" s="448"/>
    </row>
    <row r="82" spans="1:15" ht="17.399999999999999" customHeight="1">
      <c r="B82" s="444" t="s">
        <v>161</v>
      </c>
      <c r="C82" s="482" t="s">
        <v>545</v>
      </c>
      <c r="D82" s="482"/>
      <c r="E82" s="482"/>
    </row>
    <row r="83" spans="1:15" ht="30.45" customHeight="1">
      <c r="B83" s="445"/>
      <c r="C83" s="451" t="s">
        <v>544</v>
      </c>
      <c r="D83" s="451"/>
      <c r="E83" s="451"/>
    </row>
    <row r="84" spans="1:15" ht="30.45" customHeight="1">
      <c r="B84" s="444" t="s">
        <v>162</v>
      </c>
      <c r="C84" s="451" t="s">
        <v>604</v>
      </c>
      <c r="D84" s="451"/>
      <c r="E84" s="451"/>
    </row>
    <row r="85" spans="1:15" ht="30.45" customHeight="1">
      <c r="B85" s="445"/>
      <c r="C85" s="451" t="s">
        <v>543</v>
      </c>
      <c r="D85" s="451"/>
      <c r="E85" s="451"/>
    </row>
    <row r="86" spans="1:15" ht="30.45" customHeight="1">
      <c r="B86" s="49"/>
      <c r="C86" s="479"/>
      <c r="D86" s="479"/>
      <c r="E86" s="479"/>
    </row>
    <row r="87" spans="1:15" ht="49.95" customHeight="1">
      <c r="B87" s="41" t="s">
        <v>193</v>
      </c>
    </row>
    <row r="88" spans="1:15" ht="17.399999999999999" customHeight="1">
      <c r="B88" s="41"/>
    </row>
    <row r="89" spans="1:15" s="42" customFormat="1" ht="33" customHeight="1">
      <c r="B89" s="211" t="s">
        <v>194</v>
      </c>
      <c r="C89" s="211">
        <f>C56</f>
        <v>2019</v>
      </c>
      <c r="D89" s="211">
        <f>D56</f>
        <v>2030</v>
      </c>
      <c r="E89" s="211" t="s">
        <v>195</v>
      </c>
      <c r="G89"/>
      <c r="H89"/>
      <c r="I89"/>
      <c r="J89"/>
      <c r="K89"/>
      <c r="L89"/>
      <c r="M89"/>
      <c r="N89"/>
      <c r="O89"/>
    </row>
    <row r="90" spans="1:15">
      <c r="A90" s="323" t="str">
        <f>Intensités!B23</f>
        <v>Quantité de viande produite</v>
      </c>
      <c r="B90" s="193" t="s">
        <v>224</v>
      </c>
      <c r="C90" s="195">
        <f>VLOOKUP($A90,Tableau14[[Variables]:[Intégrée au calcul d''intensité]],MATCH(TEXT(C$89,"#"),Tableau14[[#Headers],[2019]:[2050]])+2,FALSE)</f>
        <v>8.0331201123282838</v>
      </c>
      <c r="D90" s="195">
        <f>VLOOKUP($A90,Tableau14[[Variables]:[Intégrée au calcul d''intensité]],MATCH(TEXT(D$89,"#"),Tableau14[[#Headers],[2019]:[2050]])+2,FALSE)</f>
        <v>7.2146399897524889</v>
      </c>
      <c r="E90" s="195" t="str">
        <f>VLOOKUP($A90,Tableau14[[Variables]:[Intégrée au calcul d''intensité]],MATCH("Unité",Tableau14[#Headers],0)-1,FALSE)</f>
        <v>t CO2e/tViande produite</v>
      </c>
    </row>
    <row r="91" spans="1:15">
      <c r="A91" s="323" t="str">
        <f>'Données d''activité'!B18</f>
        <v>Nombre de têtes Cheptel bovin</v>
      </c>
      <c r="B91" s="325" t="s">
        <v>225</v>
      </c>
      <c r="C91" s="195">
        <f>VLOOKUP($A91,Tableau14[[Variables]:[Intégrée au calcul d''intensité]],MATCH(TEXT(C$89,"#"),Tableau14[[#Headers],[2019]:[2050]])+2,FALSE)</f>
        <v>2.3421904771741016</v>
      </c>
      <c r="D91" s="195">
        <f>VLOOKUP($A91,Tableau14[[Variables]:[Intégrée au calcul d''intensité]],MATCH(TEXT(D$89,"#"),Tableau14[[#Headers],[2019]:[2050]])+2,FALSE)</f>
        <v>2.2694916465118</v>
      </c>
      <c r="E91" s="195" t="str">
        <f>VLOOKUP($A91,Tableau14[[Variables]:[Intégrée au calcul d''intensité]],MATCH("Unité",Tableau14[#Headers],0)-1,FALSE)</f>
        <v>t CO2e/tête</v>
      </c>
    </row>
    <row r="92" spans="1:15">
      <c r="A92" s="323" t="str">
        <f>Intensités!B19</f>
        <v>Nombre de têtes porcs</v>
      </c>
      <c r="B92" s="325" t="s">
        <v>226</v>
      </c>
      <c r="C92" s="195">
        <f>VLOOKUP($A92,Tableau14[[Variables]:[Intégrée au calcul d''intensité]],MATCH(TEXT(C$89,"#"),Tableau14[[#Headers],[2019]:[2050]])+2,FALSE)</f>
        <v>0.21764204704304907</v>
      </c>
      <c r="D92" s="195">
        <f>VLOOKUP($A92,Tableau14[[Variables]:[Intégrée au calcul d''intensité]],MATCH(TEXT(D$89,"#"),Tableau14[[#Headers],[2019]:[2050]])+2,FALSE)</f>
        <v>0.19385266107082477</v>
      </c>
      <c r="E92" s="195" t="str">
        <f>VLOOKUP($A92,Tableau14[[Variables]:[Intégrée au calcul d''intensité]],MATCH("Unité",Tableau14[#Headers],0)-1,FALSE)</f>
        <v>t CO2e/tête</v>
      </c>
    </row>
    <row r="93" spans="1:15">
      <c r="A93" s="323" t="str">
        <f>'Données d''activité'!B20</f>
        <v>Nombre de têtes volailles</v>
      </c>
      <c r="B93" s="325" t="s">
        <v>227</v>
      </c>
      <c r="C93" s="234">
        <f>VLOOKUP($A93,Tableau14[[Variables]:[Intégrée au calcul d''intensité]],MATCH(TEXT(C$89,"#"),Tableau14[[#Headers],[2019]:[2050]])+2,FALSE)</f>
        <v>0.81613012045062661</v>
      </c>
      <c r="D93" s="234">
        <f>VLOOKUP($A93,Tableau14[[Variables]:[Intégrée au calcul d''intensité]],MATCH(TEXT(D$89,"#"),Tableau14[[#Headers],[2019]:[2050]])+2,FALSE)</f>
        <v>0.88675376501076808</v>
      </c>
      <c r="E93" s="195" t="str">
        <f>VLOOKUP($A93,Tableau14[[Variables]:[Intégrée au calcul d''intensité]],MATCH("Unité",Tableau14[#Headers],0)-1,FALSE)</f>
        <v>kg CO2e/tête</v>
      </c>
    </row>
    <row r="96" spans="1:15">
      <c r="B96" s="211" t="s">
        <v>194</v>
      </c>
      <c r="C96" s="211">
        <f>C89</f>
        <v>2019</v>
      </c>
      <c r="D96" s="211">
        <f>D89</f>
        <v>2030</v>
      </c>
      <c r="E96" s="211" t="s">
        <v>195</v>
      </c>
    </row>
    <row r="97" spans="1:5">
      <c r="A97" s="323" t="str">
        <f>Intensités!B21</f>
        <v>Evolution de la SAU</v>
      </c>
      <c r="B97" s="193" t="s">
        <v>228</v>
      </c>
      <c r="C97" s="195">
        <f>VLOOKUP($A97,Tableau14[[Variables]:[Intégrée au calcul d''intensité]],MATCH(TEXT(C$89,"#"),Tableau14[[#Headers],[2019]:[2050]])+2,FALSE)</f>
        <v>0.83855871594334508</v>
      </c>
      <c r="D97" s="195">
        <f>VLOOKUP($A97,Tableau14[[Variables]:[Intégrée au calcul d''intensité]],MATCH(TEXT(D$89,"#"),Tableau14[[#Headers],[2019]:[2050]])+2,FALSE)</f>
        <v>0.67425268492866153</v>
      </c>
      <c r="E97" s="195" t="str">
        <f>VLOOKUP($A97,Tableau14[[Variables]:[Intégrée au calcul d''intensité]],MATCH("Unité",Tableau14[#Headers],0)-1,FALSE)</f>
        <v>t CO2e/haSAU</v>
      </c>
    </row>
    <row r="98" spans="1:5">
      <c r="A98" s="323" t="str">
        <f>'Données d''activité'!B24</f>
        <v>Consommation agroéquipements</v>
      </c>
      <c r="B98" s="193" t="s">
        <v>229</v>
      </c>
      <c r="C98" s="195">
        <f>VLOOKUP($A98,Tableau14[[Variables]:[Intégrée au calcul d''intensité]],MATCH(TEXT(C$89,"#"),Tableau14[[#Headers],[2019]:[2050]])+2,FALSE)</f>
        <v>0.37219305875854197</v>
      </c>
      <c r="D98" s="195">
        <f>VLOOKUP($A98,Tableau14[[Variables]:[Intégrée au calcul d''intensité]],MATCH(TEXT(D$89,"#"),Tableau14[[#Headers],[2019]:[2050]])+2,FALSE)</f>
        <v>0.34075215780862117</v>
      </c>
      <c r="E98" s="195" t="str">
        <f>VLOOKUP($A98,Tableau14[[Variables]:[Intégrée au calcul d''intensité]],MATCH("Unité",Tableau14[#Headers],0)-1,FALSE)</f>
        <v>Mt CO2e/TWh</v>
      </c>
    </row>
  </sheetData>
  <mergeCells count="30">
    <mergeCell ref="C85:E85"/>
    <mergeCell ref="C86:E86"/>
    <mergeCell ref="B82:B83"/>
    <mergeCell ref="B84:B85"/>
    <mergeCell ref="D4:E4"/>
    <mergeCell ref="C79:E79"/>
    <mergeCell ref="C78:E78"/>
    <mergeCell ref="C76:E76"/>
    <mergeCell ref="C82:E82"/>
    <mergeCell ref="C83:E83"/>
    <mergeCell ref="C84:E84"/>
    <mergeCell ref="C81:E81"/>
    <mergeCell ref="B78:B80"/>
    <mergeCell ref="C80:E80"/>
    <mergeCell ref="B76:B77"/>
    <mergeCell ref="C77:E77"/>
    <mergeCell ref="K70:L70"/>
    <mergeCell ref="K71:L71"/>
    <mergeCell ref="B72:B75"/>
    <mergeCell ref="B6:E6"/>
    <mergeCell ref="C70:E70"/>
    <mergeCell ref="C71:E71"/>
    <mergeCell ref="C75:E75"/>
    <mergeCell ref="C74:E74"/>
    <mergeCell ref="C72:E72"/>
    <mergeCell ref="J47:K47"/>
    <mergeCell ref="J52:K52"/>
    <mergeCell ref="K68:L68"/>
    <mergeCell ref="K69:L69"/>
    <mergeCell ref="C73:E7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A5C2D3BB858F40A15FCF1AAD71451D" ma:contentTypeVersion="2" ma:contentTypeDescription="Crée un document." ma:contentTypeScope="" ma:versionID="8a38837c1ebfecbfe71575907bed78f8">
  <xsd:schema xmlns:xsd="http://www.w3.org/2001/XMLSchema" xmlns:xs="http://www.w3.org/2001/XMLSchema" xmlns:p="http://schemas.microsoft.com/office/2006/metadata/properties" xmlns:ns2="1f00af46-f5d5-48a3-a990-ac6ff05f15fa" targetNamespace="http://schemas.microsoft.com/office/2006/metadata/properties" ma:root="true" ma:fieldsID="1a41af4c2a3e40126f3070a9c70020d8" ns2:_="">
    <xsd:import namespace="1f00af46-f5d5-48a3-a990-ac6ff05f15fa"/>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00af46-f5d5-48a3-a990-ac6ff05f15fa"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2C52B5-13EF-4400-9CE2-97C93FF42C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00af46-f5d5-48a3-a990-ac6ff05f15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D106BD-4626-4671-B934-39133CD5A856}">
  <ds:schemaRefs>
    <ds:schemaRef ds:uri="1f00af46-f5d5-48a3-a990-ac6ff05f15fa"/>
    <ds:schemaRef ds:uri="http://www.w3.org/XML/1998/namespace"/>
    <ds:schemaRef ds:uri="http://schemas.microsoft.com/office/2006/documentManagement/types"/>
    <ds:schemaRef ds:uri="http://purl.org/dc/term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D9217739-AF76-4B64-87BD-240E835014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20</vt:i4>
      </vt:variant>
    </vt:vector>
  </HeadingPairs>
  <TitlesOfParts>
    <vt:vector size="20" baseType="lpstr">
      <vt:lpstr>Notice d'utilisation et FAQ</vt:lpstr>
      <vt:lpstr>Choix années</vt:lpstr>
      <vt:lpstr>Scope 1</vt:lpstr>
      <vt:lpstr>Scope 2</vt:lpstr>
      <vt:lpstr>Scope 3</vt:lpstr>
      <vt:lpstr>Objectifs physiques sectoriels</vt:lpstr>
      <vt:lpstr>Bâtiment</vt:lpstr>
      <vt:lpstr>Transport</vt:lpstr>
      <vt:lpstr>Agriculture</vt:lpstr>
      <vt:lpstr>Industrie</vt:lpstr>
      <vt:lpstr>Energie</vt:lpstr>
      <vt:lpstr>Déchets</vt:lpstr>
      <vt:lpstr>UTCATF</vt:lpstr>
      <vt:lpstr>Empreinte</vt:lpstr>
      <vt:lpstr>Résultats détaillés GES</vt:lpstr>
      <vt:lpstr>Résultats détaillés N2O</vt:lpstr>
      <vt:lpstr>Résultats détaillés CH4</vt:lpstr>
      <vt:lpstr>Résultats détaillés Gaz F</vt:lpstr>
      <vt:lpstr>Données d'activité</vt:lpstr>
      <vt:lpstr>Intensités</vt:lpstr>
    </vt:vector>
  </TitlesOfParts>
  <Manager/>
  <Company>MTES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ROUX Maxime</dc:creator>
  <cp:keywords/>
  <dc:description/>
  <cp:lastModifiedBy>Maxime Roux</cp:lastModifiedBy>
  <cp:revision/>
  <dcterms:created xsi:type="dcterms:W3CDTF">2024-01-12T15:52:03Z</dcterms:created>
  <dcterms:modified xsi:type="dcterms:W3CDTF">2026-07-15T14:19:16Z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0x01010009A5C2D3BB858F40A15FCF1AAD71451D</vt:lpwstr>
  </property>
</Properties>
</file>