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J:\3-DURABILITE BIOENERGIES RED II\MO électricité chaleur\2026 Déclaration 2025\"/>
    </mc:Choice>
  </mc:AlternateContent>
  <xr:revisionPtr revIDLastSave="0" documentId="13_ncr:1_{75D5B3F6-D429-46AF-9ABD-71FDE85BF7DD}" xr6:coauthVersionLast="47" xr6:coauthVersionMax="47" xr10:uidLastSave="{00000000-0000-0000-0000-000000000000}"/>
  <bookViews>
    <workbookView xWindow="-108" yWindow="-108" windowWidth="23256" windowHeight="12456" firstSheet="3" activeTab="4" xr2:uid="{00000000-000D-0000-FFFF-FFFF00000000}"/>
  </bookViews>
  <sheets>
    <sheet name="0. Installation" sheetId="9" r:id="rId1"/>
    <sheet name="1. Déclaration" sheetId="1" r:id="rId2"/>
    <sheet name="2. Détail calcul GES" sheetId="2" r:id="rId3"/>
    <sheet name="3. Attestation durabilité" sheetId="10" r:id="rId4"/>
    <sheet name="4. Attestations GES" sheetId="3" r:id="rId5"/>
    <sheet name="5. Effic. éner." sheetId="4" r:id="rId6"/>
    <sheet name="Contrôle global" sheetId="7" r:id="rId7"/>
    <sheet name="Références GES" sheetId="5" r:id="rId8"/>
    <sheet name="Listes" sheetId="6" r:id="rId9"/>
    <sheet name="Feuil1" sheetId="8"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10" i="1" l="1"/>
  <c r="I25" i="5"/>
  <c r="L25" i="5"/>
  <c r="M5" i="9" l="1"/>
  <c r="B2" i="7"/>
  <c r="S4" i="2"/>
  <c r="P9" i="1"/>
  <c r="P8" i="1"/>
  <c r="E134" i="1" l="1"/>
  <c r="U100" i="1"/>
  <c r="U101" i="1"/>
  <c r="U102" i="1"/>
  <c r="U103" i="1"/>
  <c r="U104" i="1"/>
  <c r="U105" i="1"/>
  <c r="U106" i="1"/>
  <c r="U107" i="1"/>
  <c r="U108" i="1"/>
  <c r="U109" i="1"/>
  <c r="U110" i="1"/>
  <c r="U111" i="1"/>
  <c r="U112" i="1"/>
  <c r="U113" i="1"/>
  <c r="U114" i="1"/>
  <c r="U115" i="1"/>
  <c r="U116" i="1"/>
  <c r="U117" i="1"/>
  <c r="U118" i="1"/>
  <c r="U119" i="1"/>
  <c r="U120" i="1"/>
  <c r="U121" i="1"/>
  <c r="U122" i="1"/>
  <c r="U123" i="1"/>
  <c r="U124" i="1"/>
  <c r="U125" i="1"/>
  <c r="U126" i="1"/>
  <c r="U73" i="1"/>
  <c r="U74" i="1"/>
  <c r="U75" i="1"/>
  <c r="U76" i="1"/>
  <c r="U77" i="1"/>
  <c r="U78" i="1"/>
  <c r="U79" i="1"/>
  <c r="U80" i="1"/>
  <c r="U81" i="1"/>
  <c r="U82" i="1"/>
  <c r="U83" i="1"/>
  <c r="U84" i="1"/>
  <c r="U85" i="1"/>
  <c r="U86" i="1"/>
  <c r="U87" i="1"/>
  <c r="U88" i="1"/>
  <c r="U89" i="1"/>
  <c r="U90" i="1"/>
  <c r="U91" i="1"/>
  <c r="U72"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7" i="1"/>
  <c r="U8" i="1"/>
  <c r="U9" i="1"/>
  <c r="U10" i="1"/>
  <c r="U11" i="1"/>
  <c r="U12" i="1"/>
  <c r="U13" i="1"/>
  <c r="U6" i="1"/>
  <c r="AE4" i="2" l="1"/>
  <c r="O72" i="1"/>
  <c r="O73" i="1"/>
  <c r="P73" i="1"/>
  <c r="O74" i="1"/>
  <c r="P74" i="1"/>
  <c r="P72" i="1"/>
  <c r="O51" i="1"/>
  <c r="P51" i="1"/>
  <c r="O52" i="1"/>
  <c r="P52" i="1"/>
  <c r="O53" i="1"/>
  <c r="P53" i="1"/>
  <c r="O54" i="1"/>
  <c r="P54" i="1"/>
  <c r="O55" i="1"/>
  <c r="P55" i="1"/>
  <c r="O56" i="1"/>
  <c r="P56" i="1"/>
  <c r="O57" i="1"/>
  <c r="P57" i="1"/>
  <c r="O58" i="1"/>
  <c r="P58" i="1"/>
  <c r="O59" i="1"/>
  <c r="P59" i="1"/>
  <c r="O60" i="1"/>
  <c r="P60" i="1"/>
  <c r="O61" i="1"/>
  <c r="P61" i="1"/>
  <c r="O62" i="1"/>
  <c r="P62" i="1"/>
  <c r="O63" i="1"/>
  <c r="P63" i="1"/>
  <c r="O64" i="1"/>
  <c r="P64" i="1"/>
  <c r="O65" i="1"/>
  <c r="P65" i="1"/>
  <c r="O43" i="1"/>
  <c r="P43" i="1"/>
  <c r="O44" i="1"/>
  <c r="P44" i="1"/>
  <c r="O45" i="1"/>
  <c r="P45" i="1"/>
  <c r="O46" i="1"/>
  <c r="P46" i="1"/>
  <c r="O47" i="1"/>
  <c r="P47" i="1"/>
  <c r="O48" i="1"/>
  <c r="P48" i="1"/>
  <c r="O49" i="1"/>
  <c r="P49" i="1"/>
  <c r="O50" i="1"/>
  <c r="P50" i="1"/>
  <c r="P42" i="1"/>
  <c r="O42" i="1"/>
  <c r="O23" i="1"/>
  <c r="P23" i="1"/>
  <c r="O24" i="1"/>
  <c r="P24" i="1"/>
  <c r="O25" i="1"/>
  <c r="P25" i="1"/>
  <c r="O26" i="1"/>
  <c r="P26" i="1"/>
  <c r="O27" i="1"/>
  <c r="P27" i="1"/>
  <c r="O28" i="1"/>
  <c r="P28" i="1"/>
  <c r="O29" i="1"/>
  <c r="P29" i="1"/>
  <c r="P22" i="1"/>
  <c r="O22" i="1"/>
  <c r="O7" i="1"/>
  <c r="P7" i="1"/>
  <c r="O8" i="1"/>
  <c r="O9" i="1"/>
  <c r="P6" i="1"/>
  <c r="O6" i="1"/>
  <c r="E135" i="1"/>
  <c r="B163" i="1"/>
  <c r="C2" i="7" s="1"/>
  <c r="AJ10" i="2"/>
  <c r="AJ11" i="2"/>
  <c r="AJ12" i="2"/>
  <c r="AJ13" i="2"/>
  <c r="AJ14" i="2"/>
  <c r="AJ15" i="2"/>
  <c r="AJ16" i="2"/>
  <c r="AJ17" i="2"/>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AJ47" i="2"/>
  <c r="AJ48" i="2"/>
  <c r="AJ49" i="2"/>
  <c r="AJ50" i="2"/>
  <c r="AJ51" i="2"/>
  <c r="AJ52" i="2"/>
  <c r="AJ53" i="2"/>
  <c r="AJ54" i="2"/>
  <c r="AJ55" i="2"/>
  <c r="AJ56" i="2"/>
  <c r="AJ57" i="2"/>
  <c r="AJ58" i="2"/>
  <c r="AJ59" i="2"/>
  <c r="AJ60" i="2"/>
  <c r="AJ61" i="2"/>
  <c r="AJ62" i="2"/>
  <c r="AJ63" i="2"/>
  <c r="AJ64" i="2"/>
  <c r="AJ65" i="2"/>
  <c r="AJ66" i="2"/>
  <c r="AJ67" i="2"/>
  <c r="AJ68" i="2"/>
  <c r="AJ69" i="2"/>
  <c r="AJ70" i="2"/>
  <c r="AJ71" i="2"/>
  <c r="AJ72" i="2"/>
  <c r="AJ73" i="2"/>
  <c r="AJ74" i="2"/>
  <c r="AJ75" i="2"/>
  <c r="AJ76" i="2"/>
  <c r="AJ77" i="2"/>
  <c r="AJ78" i="2"/>
  <c r="AJ79" i="2"/>
  <c r="C80" i="2"/>
  <c r="B6" i="7" s="1"/>
  <c r="C6" i="7" s="1"/>
  <c r="Q15" i="1"/>
  <c r="R15" i="1"/>
  <c r="Q16" i="1"/>
  <c r="R16" i="1"/>
  <c r="Q17" i="1"/>
  <c r="R17" i="1"/>
  <c r="Q18" i="1"/>
  <c r="R18" i="1"/>
  <c r="Q19" i="1"/>
  <c r="R19" i="1"/>
  <c r="Q20" i="1"/>
  <c r="R20" i="1"/>
  <c r="Q21" i="1"/>
  <c r="R21" i="1"/>
  <c r="H30" i="5"/>
  <c r="H31" i="5"/>
  <c r="H32" i="5"/>
  <c r="H29" i="5"/>
  <c r="E32" i="5"/>
  <c r="E31" i="5"/>
  <c r="E30" i="5"/>
  <c r="E29" i="5"/>
  <c r="C135" i="1" l="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97" i="1"/>
  <c r="S97" i="1" l="1"/>
  <c r="T97" i="1"/>
  <c r="C134" i="1"/>
  <c r="C133" i="1"/>
  <c r="C132" i="1"/>
  <c r="M4" i="9"/>
  <c r="M6" i="9"/>
  <c r="Z79" i="2"/>
  <c r="Z78" i="2"/>
  <c r="Z77" i="2"/>
  <c r="Z76" i="2"/>
  <c r="Z75" i="2"/>
  <c r="Z74" i="2"/>
  <c r="Z73" i="2"/>
  <c r="Z72" i="2"/>
  <c r="Z71" i="2"/>
  <c r="Z70" i="2"/>
  <c r="Z69" i="2"/>
  <c r="Z68" i="2"/>
  <c r="Z67" i="2"/>
  <c r="Z66" i="2"/>
  <c r="Z65" i="2"/>
  <c r="Z64" i="2"/>
  <c r="Z63" i="2"/>
  <c r="Z62" i="2"/>
  <c r="Z61" i="2"/>
  <c r="Z60" i="2"/>
  <c r="Z59" i="2"/>
  <c r="Z58" i="2"/>
  <c r="Z57" i="2"/>
  <c r="Z56" i="2"/>
  <c r="Z55" i="2"/>
  <c r="Z54" i="2"/>
  <c r="Z53" i="2"/>
  <c r="Z52" i="2"/>
  <c r="Z51" i="2"/>
  <c r="Z50" i="2"/>
  <c r="Z49" i="2"/>
  <c r="Z48" i="2"/>
  <c r="Z47" i="2"/>
  <c r="Z46" i="2"/>
  <c r="Z45" i="2"/>
  <c r="Z44" i="2"/>
  <c r="Z43" i="2"/>
  <c r="Z42" i="2"/>
  <c r="Z41" i="2"/>
  <c r="Z40" i="2"/>
  <c r="Z39" i="2"/>
  <c r="Z38" i="2"/>
  <c r="Z37" i="2"/>
  <c r="Z36" i="2"/>
  <c r="Z35" i="2"/>
  <c r="Z34" i="2"/>
  <c r="Z33" i="2"/>
  <c r="Z32" i="2"/>
  <c r="Z31" i="2"/>
  <c r="Z30" i="2"/>
  <c r="Z29" i="2"/>
  <c r="Z28" i="2"/>
  <c r="Z27" i="2"/>
  <c r="Z26" i="2"/>
  <c r="Z25" i="2"/>
  <c r="Z24" i="2"/>
  <c r="Z23" i="2"/>
  <c r="Z22" i="2"/>
  <c r="Z21" i="2"/>
  <c r="Z20" i="2"/>
  <c r="Z19" i="2"/>
  <c r="Z18" i="2"/>
  <c r="Z17" i="2"/>
  <c r="Z16" i="2"/>
  <c r="Z15" i="2"/>
  <c r="Z14" i="2"/>
  <c r="Z13" i="2"/>
  <c r="Z12" i="2"/>
  <c r="Z11" i="2"/>
  <c r="Z10" i="2"/>
  <c r="Z9" i="2"/>
  <c r="Z8" i="2"/>
  <c r="Z7" i="2"/>
  <c r="Z6" i="2"/>
  <c r="Z5" i="2"/>
  <c r="L16" i="5"/>
  <c r="L15" i="5"/>
  <c r="L14" i="5"/>
  <c r="L13" i="5"/>
  <c r="Z4" i="2"/>
  <c r="V5" i="2"/>
  <c r="V6" i="2"/>
  <c r="V7" i="2"/>
  <c r="V8" i="2"/>
  <c r="V9" i="2"/>
  <c r="V10" i="2"/>
  <c r="V11" i="2"/>
  <c r="V12" i="2"/>
  <c r="V13" i="2"/>
  <c r="V14" i="2"/>
  <c r="V15" i="2"/>
  <c r="V16" i="2"/>
  <c r="V17" i="2"/>
  <c r="V18" i="2"/>
  <c r="V19" i="2"/>
  <c r="V20" i="2"/>
  <c r="V21" i="2"/>
  <c r="V22" i="2"/>
  <c r="V23" i="2"/>
  <c r="V24" i="2"/>
  <c r="V25" i="2"/>
  <c r="V26" i="2"/>
  <c r="V27" i="2"/>
  <c r="V28" i="2"/>
  <c r="V29" i="2"/>
  <c r="V30" i="2"/>
  <c r="V31" i="2"/>
  <c r="V32" i="2"/>
  <c r="V33" i="2"/>
  <c r="V34" i="2"/>
  <c r="V35" i="2"/>
  <c r="V36" i="2"/>
  <c r="V37" i="2"/>
  <c r="V38" i="2"/>
  <c r="V39" i="2"/>
  <c r="V40" i="2"/>
  <c r="V41" i="2"/>
  <c r="V42" i="2"/>
  <c r="V43" i="2"/>
  <c r="V44" i="2"/>
  <c r="V45" i="2"/>
  <c r="V46" i="2"/>
  <c r="V47" i="2"/>
  <c r="V48" i="2"/>
  <c r="V49" i="2"/>
  <c r="V50" i="2"/>
  <c r="V51" i="2"/>
  <c r="V52" i="2"/>
  <c r="V53" i="2"/>
  <c r="V54" i="2"/>
  <c r="V55" i="2"/>
  <c r="V56" i="2"/>
  <c r="V57" i="2"/>
  <c r="V58" i="2"/>
  <c r="V59" i="2"/>
  <c r="V60" i="2"/>
  <c r="V61" i="2"/>
  <c r="V62" i="2"/>
  <c r="V63" i="2"/>
  <c r="V64" i="2"/>
  <c r="V65" i="2"/>
  <c r="V66" i="2"/>
  <c r="V67" i="2"/>
  <c r="V68" i="2"/>
  <c r="V69" i="2"/>
  <c r="V70" i="2"/>
  <c r="V71" i="2"/>
  <c r="V72" i="2"/>
  <c r="V73" i="2"/>
  <c r="V74" i="2"/>
  <c r="V75" i="2"/>
  <c r="V76" i="2"/>
  <c r="V77" i="2"/>
  <c r="V78" i="2"/>
  <c r="V79" i="2"/>
  <c r="U5" i="2"/>
  <c r="U6" i="2"/>
  <c r="U7" i="2"/>
  <c r="U8" i="2"/>
  <c r="U9" i="2"/>
  <c r="U10" i="2"/>
  <c r="U11" i="2"/>
  <c r="U12" i="2"/>
  <c r="U13" i="2"/>
  <c r="U14" i="2"/>
  <c r="U15" i="2"/>
  <c r="U16" i="2"/>
  <c r="U17" i="2"/>
  <c r="U18" i="2"/>
  <c r="U19" i="2"/>
  <c r="U20" i="2"/>
  <c r="U21" i="2"/>
  <c r="U22" i="2"/>
  <c r="U23" i="2"/>
  <c r="U24" i="2"/>
  <c r="U25" i="2"/>
  <c r="U26" i="2"/>
  <c r="U27" i="2"/>
  <c r="U28" i="2"/>
  <c r="U29" i="2"/>
  <c r="U30" i="2"/>
  <c r="U31" i="2"/>
  <c r="U32" i="2"/>
  <c r="U33" i="2"/>
  <c r="U34" i="2"/>
  <c r="U35" i="2"/>
  <c r="U36" i="2"/>
  <c r="U37" i="2"/>
  <c r="U38" i="2"/>
  <c r="U39" i="2"/>
  <c r="U40" i="2"/>
  <c r="U41" i="2"/>
  <c r="U42" i="2"/>
  <c r="U43" i="2"/>
  <c r="U44" i="2"/>
  <c r="U45" i="2"/>
  <c r="U46" i="2"/>
  <c r="U47" i="2"/>
  <c r="U48" i="2"/>
  <c r="U49" i="2"/>
  <c r="U50" i="2"/>
  <c r="U51" i="2"/>
  <c r="U52" i="2"/>
  <c r="U53" i="2"/>
  <c r="U54" i="2"/>
  <c r="U55" i="2"/>
  <c r="U56" i="2"/>
  <c r="U57" i="2"/>
  <c r="U58" i="2"/>
  <c r="U59" i="2"/>
  <c r="U60" i="2"/>
  <c r="U61" i="2"/>
  <c r="U62" i="2"/>
  <c r="U63" i="2"/>
  <c r="U64" i="2"/>
  <c r="U65" i="2"/>
  <c r="U66" i="2"/>
  <c r="U67" i="2"/>
  <c r="U68" i="2"/>
  <c r="U69" i="2"/>
  <c r="U70" i="2"/>
  <c r="U71" i="2"/>
  <c r="U72" i="2"/>
  <c r="U73" i="2"/>
  <c r="U74" i="2"/>
  <c r="U75" i="2"/>
  <c r="U76" i="2"/>
  <c r="U77" i="2"/>
  <c r="U78" i="2"/>
  <c r="U79" i="2"/>
  <c r="T5" i="2"/>
  <c r="W5" i="2" s="1"/>
  <c r="AF5" i="2" s="1"/>
  <c r="T6" i="2"/>
  <c r="W6" i="2" s="1"/>
  <c r="AF6" i="2" s="1"/>
  <c r="T7" i="2"/>
  <c r="W7" i="2" s="1"/>
  <c r="AF7" i="2" s="1"/>
  <c r="T8" i="2"/>
  <c r="T9" i="2"/>
  <c r="T10" i="2"/>
  <c r="T11" i="2"/>
  <c r="T12" i="2"/>
  <c r="T13" i="2"/>
  <c r="T14" i="2"/>
  <c r="W14" i="2" s="1"/>
  <c r="AF14" i="2" s="1"/>
  <c r="T15" i="2"/>
  <c r="W15" i="2" s="1"/>
  <c r="AF15" i="2" s="1"/>
  <c r="T16" i="2"/>
  <c r="W16" i="2" s="1"/>
  <c r="AF16" i="2" s="1"/>
  <c r="T17" i="2"/>
  <c r="W17" i="2" s="1"/>
  <c r="AF17" i="2" s="1"/>
  <c r="T18" i="2"/>
  <c r="W18" i="2" s="1"/>
  <c r="AF18" i="2" s="1"/>
  <c r="T19" i="2"/>
  <c r="W19" i="2" s="1"/>
  <c r="AF19" i="2" s="1"/>
  <c r="T20" i="2"/>
  <c r="T21" i="2"/>
  <c r="T22" i="2"/>
  <c r="T23" i="2"/>
  <c r="T24" i="2"/>
  <c r="T25" i="2"/>
  <c r="T26" i="2"/>
  <c r="W26" i="2" s="1"/>
  <c r="AF26" i="2" s="1"/>
  <c r="T27" i="2"/>
  <c r="W27" i="2" s="1"/>
  <c r="AF27" i="2" s="1"/>
  <c r="T28" i="2"/>
  <c r="W28" i="2" s="1"/>
  <c r="AF28" i="2" s="1"/>
  <c r="T29" i="2"/>
  <c r="W29" i="2" s="1"/>
  <c r="AF29" i="2" s="1"/>
  <c r="T30" i="2"/>
  <c r="W30" i="2" s="1"/>
  <c r="AF30" i="2" s="1"/>
  <c r="T31" i="2"/>
  <c r="W31" i="2" s="1"/>
  <c r="AF31" i="2" s="1"/>
  <c r="T32" i="2"/>
  <c r="T33" i="2"/>
  <c r="T34" i="2"/>
  <c r="T35" i="2"/>
  <c r="T36" i="2"/>
  <c r="T37" i="2"/>
  <c r="T38" i="2"/>
  <c r="W38" i="2" s="1"/>
  <c r="AF38" i="2" s="1"/>
  <c r="T39" i="2"/>
  <c r="W39" i="2" s="1"/>
  <c r="AF39" i="2" s="1"/>
  <c r="T40" i="2"/>
  <c r="W40" i="2" s="1"/>
  <c r="AF40" i="2" s="1"/>
  <c r="T41" i="2"/>
  <c r="W41" i="2" s="1"/>
  <c r="AF41" i="2" s="1"/>
  <c r="T42" i="2"/>
  <c r="W42" i="2" s="1"/>
  <c r="AF42" i="2" s="1"/>
  <c r="T43" i="2"/>
  <c r="W43" i="2" s="1"/>
  <c r="AF43" i="2" s="1"/>
  <c r="T44" i="2"/>
  <c r="T45" i="2"/>
  <c r="T46" i="2"/>
  <c r="T47" i="2"/>
  <c r="T48" i="2"/>
  <c r="T49" i="2"/>
  <c r="T50" i="2"/>
  <c r="W50" i="2" s="1"/>
  <c r="AF50" i="2" s="1"/>
  <c r="T51" i="2"/>
  <c r="W51" i="2" s="1"/>
  <c r="AF51" i="2" s="1"/>
  <c r="T52" i="2"/>
  <c r="W52" i="2" s="1"/>
  <c r="AF52" i="2" s="1"/>
  <c r="T53" i="2"/>
  <c r="W53" i="2" s="1"/>
  <c r="AF53" i="2" s="1"/>
  <c r="T54" i="2"/>
  <c r="W54" i="2" s="1"/>
  <c r="AF54" i="2" s="1"/>
  <c r="T55" i="2"/>
  <c r="W55" i="2" s="1"/>
  <c r="AF55" i="2" s="1"/>
  <c r="T56" i="2"/>
  <c r="T57" i="2"/>
  <c r="T58" i="2"/>
  <c r="T59" i="2"/>
  <c r="T60" i="2"/>
  <c r="T61" i="2"/>
  <c r="T62" i="2"/>
  <c r="W62" i="2" s="1"/>
  <c r="AF62" i="2" s="1"/>
  <c r="T63" i="2"/>
  <c r="W63" i="2" s="1"/>
  <c r="AF63" i="2" s="1"/>
  <c r="T64" i="2"/>
  <c r="W64" i="2" s="1"/>
  <c r="AF64" i="2" s="1"/>
  <c r="T65" i="2"/>
  <c r="W65" i="2" s="1"/>
  <c r="AF65" i="2" s="1"/>
  <c r="T66" i="2"/>
  <c r="W66" i="2" s="1"/>
  <c r="AF66" i="2" s="1"/>
  <c r="T67" i="2"/>
  <c r="W67" i="2" s="1"/>
  <c r="AF67" i="2" s="1"/>
  <c r="T68" i="2"/>
  <c r="T69" i="2"/>
  <c r="T70" i="2"/>
  <c r="T71" i="2"/>
  <c r="T72" i="2"/>
  <c r="T73" i="2"/>
  <c r="T74" i="2"/>
  <c r="W74" i="2" s="1"/>
  <c r="AF74" i="2" s="1"/>
  <c r="T75" i="2"/>
  <c r="W75" i="2" s="1"/>
  <c r="AF75" i="2" s="1"/>
  <c r="T76" i="2"/>
  <c r="W76" i="2" s="1"/>
  <c r="AF76" i="2" s="1"/>
  <c r="T77" i="2"/>
  <c r="W77" i="2" s="1"/>
  <c r="AF77" i="2" s="1"/>
  <c r="T78" i="2"/>
  <c r="W78" i="2" s="1"/>
  <c r="AF78" i="2" s="1"/>
  <c r="T79" i="2"/>
  <c r="W79" i="2" s="1"/>
  <c r="AF79" i="2" s="1"/>
  <c r="V4" i="2"/>
  <c r="U4" i="2"/>
  <c r="T4" i="2"/>
  <c r="Y5" i="2"/>
  <c r="Y6" i="2"/>
  <c r="Y7" i="2"/>
  <c r="Y8" i="2"/>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Y42" i="2"/>
  <c r="Y43" i="2"/>
  <c r="Y44" i="2"/>
  <c r="Y45" i="2"/>
  <c r="Y46" i="2"/>
  <c r="Y47" i="2"/>
  <c r="Y48" i="2"/>
  <c r="Y49" i="2"/>
  <c r="Y50" i="2"/>
  <c r="Y51" i="2"/>
  <c r="Y52" i="2"/>
  <c r="Y53" i="2"/>
  <c r="Y54" i="2"/>
  <c r="Y55" i="2"/>
  <c r="Y56" i="2"/>
  <c r="Y57" i="2"/>
  <c r="Y58" i="2"/>
  <c r="Y59" i="2"/>
  <c r="Y60" i="2"/>
  <c r="Y61" i="2"/>
  <c r="Y62" i="2"/>
  <c r="Y63" i="2"/>
  <c r="Y64" i="2"/>
  <c r="Y65" i="2"/>
  <c r="Y66" i="2"/>
  <c r="Y67" i="2"/>
  <c r="Y68" i="2"/>
  <c r="Y69" i="2"/>
  <c r="Y70" i="2"/>
  <c r="Y71" i="2"/>
  <c r="Y72" i="2"/>
  <c r="Y73" i="2"/>
  <c r="Y74" i="2"/>
  <c r="Y75" i="2"/>
  <c r="Y76" i="2"/>
  <c r="Y77" i="2"/>
  <c r="Y78" i="2"/>
  <c r="Y79" i="2"/>
  <c r="Y4" i="2"/>
  <c r="M7" i="9"/>
  <c r="S5" i="2"/>
  <c r="AJ5" i="2" s="1"/>
  <c r="S6" i="2"/>
  <c r="AJ6" i="2" s="1"/>
  <c r="S7" i="2"/>
  <c r="AJ7" i="2" s="1"/>
  <c r="S8" i="2"/>
  <c r="AJ8" i="2" s="1"/>
  <c r="S9" i="2"/>
  <c r="AJ9" i="2" s="1"/>
  <c r="S10" i="2"/>
  <c r="S11" i="2"/>
  <c r="S12" i="2"/>
  <c r="S13" i="2"/>
  <c r="S14" i="2"/>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2" i="2"/>
  <c r="S53" i="2"/>
  <c r="S54" i="2"/>
  <c r="S55" i="2"/>
  <c r="S56" i="2"/>
  <c r="S57" i="2"/>
  <c r="S58" i="2"/>
  <c r="S59" i="2"/>
  <c r="S60" i="2"/>
  <c r="S61" i="2"/>
  <c r="S62" i="2"/>
  <c r="S63" i="2"/>
  <c r="S64" i="2"/>
  <c r="S65" i="2"/>
  <c r="S66" i="2"/>
  <c r="S67" i="2"/>
  <c r="S68" i="2"/>
  <c r="S69" i="2"/>
  <c r="S70" i="2"/>
  <c r="S71" i="2"/>
  <c r="S72" i="2"/>
  <c r="S73" i="2"/>
  <c r="S74" i="2"/>
  <c r="S75" i="2"/>
  <c r="S76" i="2"/>
  <c r="S77" i="2"/>
  <c r="S78" i="2"/>
  <c r="S79" i="2"/>
  <c r="W73" i="2" l="1"/>
  <c r="AF73" i="2" s="1"/>
  <c r="W49" i="2"/>
  <c r="AF49" i="2" s="1"/>
  <c r="W25" i="2"/>
  <c r="AF25" i="2" s="1"/>
  <c r="W13" i="2"/>
  <c r="AF13" i="2" s="1"/>
  <c r="W72" i="2"/>
  <c r="AF72" i="2" s="1"/>
  <c r="W60" i="2"/>
  <c r="AF60" i="2" s="1"/>
  <c r="W48" i="2"/>
  <c r="AF48" i="2" s="1"/>
  <c r="W36" i="2"/>
  <c r="AF36" i="2" s="1"/>
  <c r="W24" i="2"/>
  <c r="AF24" i="2" s="1"/>
  <c r="W12" i="2"/>
  <c r="AF12" i="2" s="1"/>
  <c r="W71" i="2"/>
  <c r="AF71" i="2" s="1"/>
  <c r="W61" i="2"/>
  <c r="AF61" i="2" s="1"/>
  <c r="W37" i="2"/>
  <c r="AF37" i="2" s="1"/>
  <c r="W59" i="2"/>
  <c r="AF59" i="2" s="1"/>
  <c r="W47" i="2"/>
  <c r="AF47" i="2" s="1"/>
  <c r="W35" i="2"/>
  <c r="AF35" i="2" s="1"/>
  <c r="W23" i="2"/>
  <c r="AF23" i="2" s="1"/>
  <c r="W11" i="2"/>
  <c r="AF11" i="2" s="1"/>
  <c r="W70" i="2"/>
  <c r="AF70" i="2" s="1"/>
  <c r="W58" i="2"/>
  <c r="AF58" i="2" s="1"/>
  <c r="W46" i="2"/>
  <c r="AF46" i="2" s="1"/>
  <c r="W34" i="2"/>
  <c r="AF34" i="2" s="1"/>
  <c r="W22" i="2"/>
  <c r="AF22" i="2" s="1"/>
  <c r="W10" i="2"/>
  <c r="AF10" i="2" s="1"/>
  <c r="W45" i="2"/>
  <c r="AF45" i="2" s="1"/>
  <c r="W69" i="2"/>
  <c r="AF69" i="2" s="1"/>
  <c r="W57" i="2"/>
  <c r="AF57" i="2" s="1"/>
  <c r="W33" i="2"/>
  <c r="AF33" i="2" s="1"/>
  <c r="W21" i="2"/>
  <c r="AF21" i="2" s="1"/>
  <c r="W9" i="2"/>
  <c r="AF9" i="2" s="1"/>
  <c r="W68" i="2"/>
  <c r="AF68" i="2" s="1"/>
  <c r="W56" i="2"/>
  <c r="AF56" i="2" s="1"/>
  <c r="W44" i="2"/>
  <c r="AF44" i="2" s="1"/>
  <c r="W32" i="2"/>
  <c r="AF32" i="2" s="1"/>
  <c r="W20" i="2"/>
  <c r="AF20" i="2" s="1"/>
  <c r="W8" i="2"/>
  <c r="AF8" i="2" s="1"/>
  <c r="J25" i="5"/>
  <c r="X4" i="2"/>
  <c r="AH4" i="2" s="1"/>
  <c r="W4" i="2"/>
  <c r="AF4" i="2" s="1"/>
  <c r="A2" i="2"/>
  <c r="B80" i="2"/>
  <c r="I26" i="5"/>
  <c r="I30" i="5"/>
  <c r="K30" i="5" s="1"/>
  <c r="K25" i="5"/>
  <c r="I31" i="5"/>
  <c r="K31" i="5" s="1"/>
  <c r="I32" i="5"/>
  <c r="K32" i="5" s="1"/>
  <c r="I29" i="5"/>
  <c r="K29" i="5" s="1"/>
  <c r="R14" i="1" s="1"/>
  <c r="J31" i="5"/>
  <c r="L31" i="5" s="1"/>
  <c r="J32" i="5"/>
  <c r="L32" i="5" s="1"/>
  <c r="J29" i="5"/>
  <c r="L29" i="5" s="1"/>
  <c r="Q14" i="1" s="1"/>
  <c r="J30" i="5"/>
  <c r="L30" i="5" s="1"/>
  <c r="X78" i="2"/>
  <c r="AH78" i="2" s="1"/>
  <c r="X74" i="2"/>
  <c r="AH74" i="2" s="1"/>
  <c r="X70" i="2"/>
  <c r="AH70" i="2" s="1"/>
  <c r="X66" i="2"/>
  <c r="AH66" i="2" s="1"/>
  <c r="X62" i="2"/>
  <c r="AH62" i="2" s="1"/>
  <c r="X58" i="2"/>
  <c r="AH58" i="2" s="1"/>
  <c r="X54" i="2"/>
  <c r="AH54" i="2" s="1"/>
  <c r="X50" i="2"/>
  <c r="AH50" i="2" s="1"/>
  <c r="X46" i="2"/>
  <c r="AH46" i="2" s="1"/>
  <c r="X42" i="2"/>
  <c r="AH42" i="2" s="1"/>
  <c r="X38" i="2"/>
  <c r="AH38" i="2" s="1"/>
  <c r="X34" i="2"/>
  <c r="AH34" i="2" s="1"/>
  <c r="X30" i="2"/>
  <c r="AH30" i="2" s="1"/>
  <c r="X26" i="2"/>
  <c r="AH26" i="2" s="1"/>
  <c r="X22" i="2"/>
  <c r="AH22" i="2" s="1"/>
  <c r="X18" i="2"/>
  <c r="AH18" i="2" s="1"/>
  <c r="X14" i="2"/>
  <c r="AH14" i="2" s="1"/>
  <c r="X10" i="2"/>
  <c r="AH10" i="2" s="1"/>
  <c r="X6" i="2"/>
  <c r="AH6" i="2" s="1"/>
  <c r="X65" i="2"/>
  <c r="AH65" i="2" s="1"/>
  <c r="X33" i="2"/>
  <c r="AH33" i="2" s="1"/>
  <c r="X73" i="2"/>
  <c r="AH73" i="2" s="1"/>
  <c r="X57" i="2"/>
  <c r="AH57" i="2" s="1"/>
  <c r="X49" i="2"/>
  <c r="AH49" i="2" s="1"/>
  <c r="X41" i="2"/>
  <c r="AH41" i="2" s="1"/>
  <c r="X25" i="2"/>
  <c r="AH25" i="2" s="1"/>
  <c r="X17" i="2"/>
  <c r="AH17" i="2" s="1"/>
  <c r="X9" i="2"/>
  <c r="AH9" i="2" s="1"/>
  <c r="I82" i="5"/>
  <c r="X77" i="2"/>
  <c r="AH77" i="2" s="1"/>
  <c r="X69" i="2"/>
  <c r="AH69" i="2" s="1"/>
  <c r="X61" i="2"/>
  <c r="AH61" i="2" s="1"/>
  <c r="X53" i="2"/>
  <c r="AH53" i="2" s="1"/>
  <c r="X45" i="2"/>
  <c r="AH45" i="2" s="1"/>
  <c r="X37" i="2"/>
  <c r="AH37" i="2" s="1"/>
  <c r="X29" i="2"/>
  <c r="AH29" i="2" s="1"/>
  <c r="X21" i="2"/>
  <c r="AH21" i="2" s="1"/>
  <c r="X13" i="2"/>
  <c r="AH13" i="2" s="1"/>
  <c r="X5" i="2"/>
  <c r="AH5" i="2" s="1"/>
  <c r="X76" i="2"/>
  <c r="AH76" i="2" s="1"/>
  <c r="X72" i="2"/>
  <c r="AH72" i="2" s="1"/>
  <c r="X68" i="2"/>
  <c r="AH68" i="2" s="1"/>
  <c r="X64" i="2"/>
  <c r="AH64" i="2" s="1"/>
  <c r="X60" i="2"/>
  <c r="AH60" i="2" s="1"/>
  <c r="X56" i="2"/>
  <c r="AH56" i="2" s="1"/>
  <c r="X52" i="2"/>
  <c r="AH52" i="2" s="1"/>
  <c r="X48" i="2"/>
  <c r="AH48" i="2" s="1"/>
  <c r="X44" i="2"/>
  <c r="AH44" i="2" s="1"/>
  <c r="X40" i="2"/>
  <c r="AH40" i="2" s="1"/>
  <c r="X36" i="2"/>
  <c r="AH36" i="2" s="1"/>
  <c r="X32" i="2"/>
  <c r="AH32" i="2" s="1"/>
  <c r="X28" i="2"/>
  <c r="AH28" i="2" s="1"/>
  <c r="X24" i="2"/>
  <c r="AH24" i="2" s="1"/>
  <c r="X20" i="2"/>
  <c r="AH20" i="2" s="1"/>
  <c r="X16" i="2"/>
  <c r="AH16" i="2" s="1"/>
  <c r="X12" i="2"/>
  <c r="AH12" i="2" s="1"/>
  <c r="X8" i="2"/>
  <c r="AH8" i="2" s="1"/>
  <c r="X79" i="2"/>
  <c r="AH79" i="2" s="1"/>
  <c r="X75" i="2"/>
  <c r="AH75" i="2" s="1"/>
  <c r="X67" i="2"/>
  <c r="AH67" i="2" s="1"/>
  <c r="X63" i="2"/>
  <c r="AH63" i="2" s="1"/>
  <c r="X59" i="2"/>
  <c r="AH59" i="2" s="1"/>
  <c r="X55" i="2"/>
  <c r="AH55" i="2" s="1"/>
  <c r="X51" i="2"/>
  <c r="AH51" i="2" s="1"/>
  <c r="X47" i="2"/>
  <c r="AH47" i="2" s="1"/>
  <c r="X43" i="2"/>
  <c r="AH43" i="2" s="1"/>
  <c r="X39" i="2"/>
  <c r="AH39" i="2" s="1"/>
  <c r="X35" i="2"/>
  <c r="AH35" i="2" s="1"/>
  <c r="X31" i="2"/>
  <c r="AH31" i="2" s="1"/>
  <c r="X27" i="2"/>
  <c r="AH27" i="2" s="1"/>
  <c r="X23" i="2"/>
  <c r="AH23" i="2" s="1"/>
  <c r="X19" i="2"/>
  <c r="AH19" i="2" s="1"/>
  <c r="X15" i="2"/>
  <c r="AH15" i="2" s="1"/>
  <c r="X11" i="2"/>
  <c r="AH11" i="2" s="1"/>
  <c r="X7" i="2"/>
  <c r="AH7" i="2" s="1"/>
  <c r="I51" i="5"/>
  <c r="I27" i="5"/>
  <c r="X71" i="2"/>
  <c r="AH71" i="2" s="1"/>
  <c r="I47" i="5"/>
  <c r="I55" i="5"/>
  <c r="I28" i="5"/>
  <c r="K28" i="5" s="1"/>
  <c r="I36" i="5"/>
  <c r="I48" i="5"/>
  <c r="I52" i="5"/>
  <c r="I56" i="5"/>
  <c r="I35" i="5"/>
  <c r="I33" i="5"/>
  <c r="I45" i="5"/>
  <c r="I49" i="5"/>
  <c r="I53" i="5"/>
  <c r="I81" i="5"/>
  <c r="I34" i="5"/>
  <c r="I46" i="5"/>
  <c r="I50" i="5"/>
  <c r="I54" i="5"/>
  <c r="AA4" i="2" l="1"/>
  <c r="E147" i="5"/>
  <c r="E146" i="5"/>
  <c r="E145" i="5"/>
  <c r="E144" i="5"/>
  <c r="E142" i="5"/>
  <c r="E143" i="5"/>
  <c r="E141" i="5"/>
  <c r="E138" i="5"/>
  <c r="E139" i="5"/>
  <c r="E140" i="5"/>
  <c r="E137" i="5"/>
  <c r="E134" i="5"/>
  <c r="E135" i="5"/>
  <c r="E136" i="5"/>
  <c r="E133" i="5"/>
  <c r="E122" i="5"/>
  <c r="E123" i="5"/>
  <c r="E124" i="5"/>
  <c r="E125" i="5"/>
  <c r="E126" i="5"/>
  <c r="E127" i="5"/>
  <c r="E128" i="5"/>
  <c r="E129" i="5"/>
  <c r="E130" i="5"/>
  <c r="E131" i="5"/>
  <c r="E132" i="5"/>
  <c r="E121" i="5"/>
  <c r="E102" i="5"/>
  <c r="E101" i="5"/>
  <c r="E113" i="5"/>
  <c r="E114" i="5"/>
  <c r="E115" i="5"/>
  <c r="E116" i="5"/>
  <c r="E117" i="5"/>
  <c r="E118" i="5"/>
  <c r="E119" i="5"/>
  <c r="E120" i="5"/>
  <c r="E112" i="5"/>
  <c r="E107" i="5"/>
  <c r="E108" i="5"/>
  <c r="E109" i="5"/>
  <c r="E110" i="5"/>
  <c r="E111" i="5"/>
  <c r="E106" i="5"/>
  <c r="E104" i="5"/>
  <c r="E105" i="5"/>
  <c r="E103" i="5"/>
  <c r="E100" i="5"/>
  <c r="E97" i="5"/>
  <c r="E98" i="5"/>
  <c r="E99" i="5"/>
  <c r="E96" i="5"/>
  <c r="E93" i="5"/>
  <c r="E94" i="5"/>
  <c r="E95" i="5"/>
  <c r="E92" i="5"/>
  <c r="E89" i="5"/>
  <c r="E90" i="5"/>
  <c r="E91" i="5"/>
  <c r="E88" i="5"/>
  <c r="E148" i="5"/>
  <c r="AJ4" i="2"/>
  <c r="W73" i="1"/>
  <c r="W74" i="1"/>
  <c r="W75" i="1"/>
  <c r="W76" i="1"/>
  <c r="W77" i="1"/>
  <c r="W78" i="1"/>
  <c r="W79" i="1"/>
  <c r="W80" i="1"/>
  <c r="W81" i="1"/>
  <c r="W82" i="1"/>
  <c r="W83" i="1"/>
  <c r="W84" i="1"/>
  <c r="W85" i="1"/>
  <c r="W86" i="1"/>
  <c r="W87" i="1"/>
  <c r="W88" i="1"/>
  <c r="W89" i="1"/>
  <c r="W90" i="1"/>
  <c r="W91" i="1"/>
  <c r="W72" i="1"/>
  <c r="E75" i="1"/>
  <c r="E76" i="1"/>
  <c r="E77" i="1"/>
  <c r="E78" i="1"/>
  <c r="E79" i="1"/>
  <c r="E80" i="1"/>
  <c r="E81" i="1"/>
  <c r="E82" i="1"/>
  <c r="E83" i="1"/>
  <c r="E84" i="1"/>
  <c r="E85" i="1"/>
  <c r="E86" i="1"/>
  <c r="E87" i="1"/>
  <c r="E88" i="1"/>
  <c r="E89" i="1"/>
  <c r="E90" i="1"/>
  <c r="E91" i="1"/>
  <c r="E183" i="5"/>
  <c r="E182" i="5"/>
  <c r="E181" i="5"/>
  <c r="E180" i="5"/>
  <c r="E179" i="5"/>
  <c r="E178" i="5"/>
  <c r="E177" i="5"/>
  <c r="E176" i="5"/>
  <c r="E175" i="5"/>
  <c r="E174" i="5"/>
  <c r="E173" i="5"/>
  <c r="E172" i="5"/>
  <c r="E171" i="5"/>
  <c r="E170" i="5"/>
  <c r="E169" i="5"/>
  <c r="E168" i="5"/>
  <c r="E167" i="5"/>
  <c r="E166" i="5"/>
  <c r="E165" i="5"/>
  <c r="E164" i="5"/>
  <c r="E163" i="5"/>
  <c r="E162" i="5"/>
  <c r="E161" i="5"/>
  <c r="E160" i="5"/>
  <c r="E159" i="5"/>
  <c r="E158" i="5"/>
  <c r="E157" i="5"/>
  <c r="E156" i="5"/>
  <c r="E155" i="5"/>
  <c r="E154" i="5"/>
  <c r="E153" i="5"/>
  <c r="E152" i="5"/>
  <c r="E151" i="5"/>
  <c r="E150" i="5"/>
  <c r="E149" i="5"/>
  <c r="O87" i="1" l="1"/>
  <c r="P87" i="1"/>
  <c r="O75" i="1"/>
  <c r="P75" i="1"/>
  <c r="O86" i="1"/>
  <c r="P86" i="1"/>
  <c r="O85" i="1"/>
  <c r="P85" i="1"/>
  <c r="O84" i="1"/>
  <c r="P84" i="1"/>
  <c r="O83" i="1"/>
  <c r="P83" i="1"/>
  <c r="O82" i="1"/>
  <c r="P82" i="1"/>
  <c r="O81" i="1"/>
  <c r="P81" i="1"/>
  <c r="O80" i="1"/>
  <c r="P80" i="1"/>
  <c r="P91" i="1"/>
  <c r="O91" i="1"/>
  <c r="O79" i="1"/>
  <c r="P79" i="1"/>
  <c r="O90" i="1"/>
  <c r="P90" i="1"/>
  <c r="O78" i="1"/>
  <c r="P78" i="1"/>
  <c r="O89" i="1"/>
  <c r="P89" i="1"/>
  <c r="O77" i="1"/>
  <c r="P77" i="1"/>
  <c r="O88" i="1"/>
  <c r="P88" i="1"/>
  <c r="O76" i="1"/>
  <c r="P76" i="1"/>
  <c r="B12" i="2"/>
  <c r="AL12" i="2" s="1"/>
  <c r="B29" i="2"/>
  <c r="AL29" i="2" s="1"/>
  <c r="B25" i="2"/>
  <c r="AL25" i="2" s="1"/>
  <c r="B72" i="2"/>
  <c r="AL72" i="2" s="1"/>
  <c r="B32" i="2"/>
  <c r="AL32" i="2" s="1"/>
  <c r="B57" i="2"/>
  <c r="AL57" i="2" s="1"/>
  <c r="B23" i="2"/>
  <c r="AL23" i="2" s="1"/>
  <c r="B34" i="2"/>
  <c r="AL34" i="2" s="1"/>
  <c r="B56" i="2"/>
  <c r="AL56" i="2" s="1"/>
  <c r="B53" i="2"/>
  <c r="AL53" i="2" s="1"/>
  <c r="B51" i="2"/>
  <c r="AL51" i="2" s="1"/>
  <c r="B62" i="2"/>
  <c r="AL62" i="2" s="1"/>
  <c r="B69" i="2"/>
  <c r="AL69" i="2" s="1"/>
  <c r="B20" i="2"/>
  <c r="AL20" i="2" s="1"/>
  <c r="B79" i="2"/>
  <c r="AL79" i="2" s="1"/>
  <c r="B15" i="2"/>
  <c r="AL15" i="2" s="1"/>
  <c r="B26" i="2"/>
  <c r="AL26" i="2" s="1"/>
  <c r="B43" i="2"/>
  <c r="AL43" i="2" s="1"/>
  <c r="B28" i="2"/>
  <c r="AL28" i="2" s="1"/>
  <c r="B16" i="2"/>
  <c r="AL16" i="2" s="1"/>
  <c r="B27" i="2"/>
  <c r="AL27" i="2" s="1"/>
  <c r="B64" i="2"/>
  <c r="AL64" i="2" s="1"/>
  <c r="B73" i="2"/>
  <c r="AL73" i="2" s="1"/>
  <c r="B75" i="2"/>
  <c r="AL75" i="2" s="1"/>
  <c r="B11" i="2"/>
  <c r="AL11" i="2" s="1"/>
  <c r="B22" i="2"/>
  <c r="AL22" i="2" s="1"/>
  <c r="B60" i="2"/>
  <c r="AL60" i="2" s="1"/>
  <c r="B61" i="2"/>
  <c r="AL61" i="2" s="1"/>
  <c r="B71" i="2"/>
  <c r="AL71" i="2" s="1"/>
  <c r="B18" i="2"/>
  <c r="AL18" i="2" s="1"/>
  <c r="B40" i="2"/>
  <c r="AL40" i="2" s="1"/>
  <c r="B37" i="2"/>
  <c r="AL37" i="2" s="1"/>
  <c r="B35" i="2"/>
  <c r="AL35" i="2" s="1"/>
  <c r="B46" i="2"/>
  <c r="AL46" i="2" s="1"/>
  <c r="B68" i="2"/>
  <c r="AL68" i="2" s="1"/>
  <c r="B49" i="2"/>
  <c r="AL49" i="2" s="1"/>
  <c r="B63" i="2"/>
  <c r="AL63" i="2" s="1"/>
  <c r="B74" i="2"/>
  <c r="AL74" i="2" s="1"/>
  <c r="B10" i="2"/>
  <c r="AL10" i="2" s="1"/>
  <c r="B13" i="2"/>
  <c r="AL13" i="2" s="1"/>
  <c r="B38" i="2"/>
  <c r="AL38" i="2" s="1"/>
  <c r="B76" i="2"/>
  <c r="AL76" i="2" s="1"/>
  <c r="B48" i="2"/>
  <c r="AL48" i="2" s="1"/>
  <c r="B45" i="2"/>
  <c r="AL45" i="2" s="1"/>
  <c r="B59" i="2"/>
  <c r="AL59" i="2" s="1"/>
  <c r="B70" i="2"/>
  <c r="AL70" i="2" s="1"/>
  <c r="B44" i="2"/>
  <c r="AL44" i="2" s="1"/>
  <c r="B41" i="2"/>
  <c r="AL41" i="2" s="1"/>
  <c r="B55" i="2"/>
  <c r="AL55" i="2" s="1"/>
  <c r="B66" i="2"/>
  <c r="AL66" i="2" s="1"/>
  <c r="B77" i="2"/>
  <c r="AL77" i="2" s="1"/>
  <c r="B24" i="2"/>
  <c r="AL24" i="2" s="1"/>
  <c r="B21" i="2"/>
  <c r="AL21" i="2" s="1"/>
  <c r="B19" i="2"/>
  <c r="AL19" i="2" s="1"/>
  <c r="B30" i="2"/>
  <c r="AL30" i="2" s="1"/>
  <c r="B52" i="2"/>
  <c r="AL52" i="2" s="1"/>
  <c r="B33" i="2"/>
  <c r="AL33" i="2" s="1"/>
  <c r="B47" i="2"/>
  <c r="AL47" i="2" s="1"/>
  <c r="B58" i="2"/>
  <c r="AL58" i="2" s="1"/>
  <c r="B65" i="2"/>
  <c r="AL65" i="2" s="1"/>
  <c r="B54" i="2"/>
  <c r="AL54" i="2" s="1"/>
  <c r="B39" i="2"/>
  <c r="AL39" i="2" s="1"/>
  <c r="B50" i="2"/>
  <c r="AL50" i="2" s="1"/>
  <c r="B67" i="2"/>
  <c r="AL67" i="2" s="1"/>
  <c r="B78" i="2"/>
  <c r="AL78" i="2" s="1"/>
  <c r="B14" i="2"/>
  <c r="AL14" i="2" s="1"/>
  <c r="B36" i="2"/>
  <c r="AL36" i="2" s="1"/>
  <c r="B17" i="2"/>
  <c r="AL17" i="2" s="1"/>
  <c r="B31" i="2"/>
  <c r="AL31" i="2" s="1"/>
  <c r="B42" i="2"/>
  <c r="AL42" i="2" s="1"/>
  <c r="W103" i="1"/>
  <c r="W98" i="1"/>
  <c r="B5" i="2" s="1"/>
  <c r="W99" i="1"/>
  <c r="W100" i="1"/>
  <c r="W101" i="1"/>
  <c r="W102" i="1"/>
  <c r="W104" i="1"/>
  <c r="W105" i="1"/>
  <c r="W106" i="1"/>
  <c r="W107" i="1"/>
  <c r="W108" i="1"/>
  <c r="W109" i="1"/>
  <c r="W110" i="1"/>
  <c r="W111" i="1"/>
  <c r="W112" i="1"/>
  <c r="W113" i="1"/>
  <c r="W114" i="1"/>
  <c r="W115" i="1"/>
  <c r="W116" i="1"/>
  <c r="W117" i="1"/>
  <c r="W118" i="1"/>
  <c r="W119" i="1"/>
  <c r="W120" i="1"/>
  <c r="W121" i="1"/>
  <c r="W122" i="1"/>
  <c r="W123" i="1"/>
  <c r="W124" i="1"/>
  <c r="W125" i="1"/>
  <c r="W126" i="1"/>
  <c r="W127"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97" i="1"/>
  <c r="B4" i="2" s="1"/>
  <c r="B8" i="2" l="1"/>
  <c r="AL8" i="2" s="1"/>
  <c r="B9" i="2"/>
  <c r="AL9" i="2" s="1"/>
  <c r="AL4" i="2"/>
  <c r="AL5" i="2"/>
  <c r="B6" i="2"/>
  <c r="AL6" i="2" s="1"/>
  <c r="B7" i="2"/>
  <c r="AL7" i="2" s="1"/>
  <c r="S136" i="1"/>
  <c r="T136" i="1"/>
  <c r="S137" i="1"/>
  <c r="T137" i="1"/>
  <c r="S138" i="1"/>
  <c r="T138" i="1"/>
  <c r="S139" i="1"/>
  <c r="T139" i="1"/>
  <c r="S140" i="1"/>
  <c r="T140" i="1"/>
  <c r="S141" i="1"/>
  <c r="T141" i="1"/>
  <c r="S142" i="1"/>
  <c r="T142" i="1"/>
  <c r="S143" i="1"/>
  <c r="T143" i="1"/>
  <c r="S144" i="1"/>
  <c r="T144" i="1"/>
  <c r="S145" i="1"/>
  <c r="T145" i="1"/>
  <c r="S146" i="1"/>
  <c r="T146" i="1"/>
  <c r="S147" i="1"/>
  <c r="T147" i="1"/>
  <c r="S148" i="1"/>
  <c r="T148" i="1"/>
  <c r="S149" i="1"/>
  <c r="T149" i="1"/>
  <c r="S150" i="1"/>
  <c r="T150" i="1"/>
  <c r="S151" i="1"/>
  <c r="T151" i="1"/>
  <c r="S152" i="1"/>
  <c r="T152" i="1"/>
  <c r="S153" i="1"/>
  <c r="T153" i="1"/>
  <c r="S154" i="1"/>
  <c r="T154" i="1"/>
  <c r="S155" i="1"/>
  <c r="T155" i="1"/>
  <c r="S156" i="1"/>
  <c r="T156" i="1"/>
  <c r="S157" i="1"/>
  <c r="T157" i="1"/>
  <c r="S158" i="1"/>
  <c r="T158" i="1"/>
  <c r="S159" i="1"/>
  <c r="T159" i="1"/>
  <c r="S160" i="1"/>
  <c r="T160" i="1"/>
  <c r="S161" i="1"/>
  <c r="T16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A4" i="3" l="1"/>
  <c r="A6" i="3"/>
  <c r="A8" i="3"/>
  <c r="AG5" i="2"/>
  <c r="AG6" i="2"/>
  <c r="AG7" i="2"/>
  <c r="AG8" i="2"/>
  <c r="AG9" i="2"/>
  <c r="AG10" i="2"/>
  <c r="AG11" i="2"/>
  <c r="AG12" i="2"/>
  <c r="AG13" i="2"/>
  <c r="AG14" i="2"/>
  <c r="AG15" i="2"/>
  <c r="AG16" i="2"/>
  <c r="AG17" i="2"/>
  <c r="AG18" i="2"/>
  <c r="AG19" i="2"/>
  <c r="AG20" i="2"/>
  <c r="AG21" i="2"/>
  <c r="AG22" i="2"/>
  <c r="AG23" i="2"/>
  <c r="AG24" i="2"/>
  <c r="AG25" i="2"/>
  <c r="AG26" i="2"/>
  <c r="AG27" i="2"/>
  <c r="AG28" i="2"/>
  <c r="AG29" i="2"/>
  <c r="AG30" i="2"/>
  <c r="AG31" i="2"/>
  <c r="AG32" i="2"/>
  <c r="AG33" i="2"/>
  <c r="AG34" i="2"/>
  <c r="AG35" i="2"/>
  <c r="AG36" i="2"/>
  <c r="AG37" i="2"/>
  <c r="AG38" i="2"/>
  <c r="AG39" i="2"/>
  <c r="AG40" i="2"/>
  <c r="AG41" i="2"/>
  <c r="AG42" i="2"/>
  <c r="AG43" i="2"/>
  <c r="AG44" i="2"/>
  <c r="AG45" i="2"/>
  <c r="AG46" i="2"/>
  <c r="AG47" i="2"/>
  <c r="AG48" i="2"/>
  <c r="AG49" i="2"/>
  <c r="AG50" i="2"/>
  <c r="AG51" i="2"/>
  <c r="AG52" i="2"/>
  <c r="AG53" i="2"/>
  <c r="AG54" i="2"/>
  <c r="AG55" i="2"/>
  <c r="AG56" i="2"/>
  <c r="AG57" i="2"/>
  <c r="AG58" i="2"/>
  <c r="AG59" i="2"/>
  <c r="AG60" i="2"/>
  <c r="AG61" i="2"/>
  <c r="AG62" i="2"/>
  <c r="AG63" i="2"/>
  <c r="AG64" i="2"/>
  <c r="AG65" i="2"/>
  <c r="AG66" i="2"/>
  <c r="AG67" i="2"/>
  <c r="AG68" i="2"/>
  <c r="AG69" i="2"/>
  <c r="AG70" i="2"/>
  <c r="AG71" i="2"/>
  <c r="AG72" i="2"/>
  <c r="AG73" i="2"/>
  <c r="AG74" i="2"/>
  <c r="AG75" i="2"/>
  <c r="AG76" i="2"/>
  <c r="AG77" i="2"/>
  <c r="AG78" i="2"/>
  <c r="AG79" i="2"/>
  <c r="AG4" i="2"/>
  <c r="AE5" i="2"/>
  <c r="AE6" i="2"/>
  <c r="AE7" i="2"/>
  <c r="AE8" i="2"/>
  <c r="AE9" i="2"/>
  <c r="AE10" i="2"/>
  <c r="AE11" i="2"/>
  <c r="AE12" i="2"/>
  <c r="AE13" i="2"/>
  <c r="AE14" i="2"/>
  <c r="AE15" i="2"/>
  <c r="AE16" i="2"/>
  <c r="AE17" i="2"/>
  <c r="AE18" i="2"/>
  <c r="AE19" i="2"/>
  <c r="AE20" i="2"/>
  <c r="AE21" i="2"/>
  <c r="AE22" i="2"/>
  <c r="AE23" i="2"/>
  <c r="AE24" i="2"/>
  <c r="AE25" i="2"/>
  <c r="AE26" i="2"/>
  <c r="AE27" i="2"/>
  <c r="AE28" i="2"/>
  <c r="AE29" i="2"/>
  <c r="AE30" i="2"/>
  <c r="AE31" i="2"/>
  <c r="AE32" i="2"/>
  <c r="AE33" i="2"/>
  <c r="AE34" i="2"/>
  <c r="AE35" i="2"/>
  <c r="AE36" i="2"/>
  <c r="AE37" i="2"/>
  <c r="AE38" i="2"/>
  <c r="AE39" i="2"/>
  <c r="AE40" i="2"/>
  <c r="AE41" i="2"/>
  <c r="AE42" i="2"/>
  <c r="AE43" i="2"/>
  <c r="AE44" i="2"/>
  <c r="AE45" i="2"/>
  <c r="AE46" i="2"/>
  <c r="AE47" i="2"/>
  <c r="AE48" i="2"/>
  <c r="AE49" i="2"/>
  <c r="AE50" i="2"/>
  <c r="AE51" i="2"/>
  <c r="AE52" i="2"/>
  <c r="AE53" i="2"/>
  <c r="AE54" i="2"/>
  <c r="AE55" i="2"/>
  <c r="AE56" i="2"/>
  <c r="AE57" i="2"/>
  <c r="AE58" i="2"/>
  <c r="AE59" i="2"/>
  <c r="AE60" i="2"/>
  <c r="AE61" i="2"/>
  <c r="AE62" i="2"/>
  <c r="AE63" i="2"/>
  <c r="AE64" i="2"/>
  <c r="AE65" i="2"/>
  <c r="AE66" i="2"/>
  <c r="AE67" i="2"/>
  <c r="AE68" i="2"/>
  <c r="AE69" i="2"/>
  <c r="AE70" i="2"/>
  <c r="AE71" i="2"/>
  <c r="AE72" i="2"/>
  <c r="AE73" i="2"/>
  <c r="AE74" i="2"/>
  <c r="AE75" i="2"/>
  <c r="AE76" i="2"/>
  <c r="AE77" i="2"/>
  <c r="AE78" i="2"/>
  <c r="AE79" i="2"/>
  <c r="AB5" i="2"/>
  <c r="AB6" i="2"/>
  <c r="AB7" i="2"/>
  <c r="AB8" i="2"/>
  <c r="AB9" i="2"/>
  <c r="AB10" i="2"/>
  <c r="AB11" i="2"/>
  <c r="AB12" i="2"/>
  <c r="AB13" i="2"/>
  <c r="AB14" i="2"/>
  <c r="AB15" i="2"/>
  <c r="AB16" i="2"/>
  <c r="AB17" i="2"/>
  <c r="AB18" i="2"/>
  <c r="AB19" i="2"/>
  <c r="AB20" i="2"/>
  <c r="AB21" i="2"/>
  <c r="AB22" i="2"/>
  <c r="AB23" i="2"/>
  <c r="AB24" i="2"/>
  <c r="AB25" i="2"/>
  <c r="AB26" i="2"/>
  <c r="AB27" i="2"/>
  <c r="AB28" i="2"/>
  <c r="AB29" i="2"/>
  <c r="AB30" i="2"/>
  <c r="AB31" i="2"/>
  <c r="AB32" i="2"/>
  <c r="AB33" i="2"/>
  <c r="AB34" i="2"/>
  <c r="AB35" i="2"/>
  <c r="AB36" i="2"/>
  <c r="AB37" i="2"/>
  <c r="AB38" i="2"/>
  <c r="AB39" i="2"/>
  <c r="AB40" i="2"/>
  <c r="AB41" i="2"/>
  <c r="AB42" i="2"/>
  <c r="AB43" i="2"/>
  <c r="AB44" i="2"/>
  <c r="AB45" i="2"/>
  <c r="AB46" i="2"/>
  <c r="AB47" i="2"/>
  <c r="AB48" i="2"/>
  <c r="AB49" i="2"/>
  <c r="AB50" i="2"/>
  <c r="AB51" i="2"/>
  <c r="AB52" i="2"/>
  <c r="AB53" i="2"/>
  <c r="AB54" i="2"/>
  <c r="AB55" i="2"/>
  <c r="AB56" i="2"/>
  <c r="AB57" i="2"/>
  <c r="AB58" i="2"/>
  <c r="AB59" i="2"/>
  <c r="AB60" i="2"/>
  <c r="AB61" i="2"/>
  <c r="AB62" i="2"/>
  <c r="AB63" i="2"/>
  <c r="AB64" i="2"/>
  <c r="AB65" i="2"/>
  <c r="AB66" i="2"/>
  <c r="AB67" i="2"/>
  <c r="AB68" i="2"/>
  <c r="AB69" i="2"/>
  <c r="AB70" i="2"/>
  <c r="AB71" i="2"/>
  <c r="AB72" i="2"/>
  <c r="AB73" i="2"/>
  <c r="AB74" i="2"/>
  <c r="AB75" i="2"/>
  <c r="AB76" i="2"/>
  <c r="AB77" i="2"/>
  <c r="AB78" i="2"/>
  <c r="AB79" i="2"/>
  <c r="AB4" i="2"/>
  <c r="R41" i="1"/>
  <c r="Q41" i="1"/>
  <c r="R40" i="1"/>
  <c r="Q40" i="1"/>
  <c r="R37" i="1"/>
  <c r="Q37" i="1"/>
  <c r="R36" i="1"/>
  <c r="Q36" i="1"/>
  <c r="R35" i="1"/>
  <c r="Q35" i="1"/>
  <c r="R34" i="1"/>
  <c r="Q34" i="1"/>
  <c r="R32" i="1"/>
  <c r="Q32" i="1"/>
  <c r="R31" i="1"/>
  <c r="Q31" i="1"/>
  <c r="R30" i="1"/>
  <c r="Q30" i="1"/>
  <c r="R13" i="1"/>
  <c r="R12" i="1"/>
  <c r="Q12" i="1"/>
  <c r="R10" i="1"/>
  <c r="E82" i="5"/>
  <c r="E81" i="5"/>
  <c r="E80" i="5"/>
  <c r="E79" i="5"/>
  <c r="E78" i="5"/>
  <c r="E77" i="5"/>
  <c r="E76" i="5"/>
  <c r="E75" i="5"/>
  <c r="E74" i="5"/>
  <c r="E73" i="5"/>
  <c r="E72" i="5"/>
  <c r="E71" i="5"/>
  <c r="E70" i="5"/>
  <c r="E69" i="5"/>
  <c r="E68" i="5"/>
  <c r="E67" i="5"/>
  <c r="E66" i="5"/>
  <c r="E65" i="5"/>
  <c r="E64" i="5"/>
  <c r="E63" i="5"/>
  <c r="E62" i="5"/>
  <c r="E61" i="5"/>
  <c r="E60" i="5"/>
  <c r="E59" i="5"/>
  <c r="E58" i="5"/>
  <c r="E57" i="5"/>
  <c r="E56" i="5"/>
  <c r="E55" i="5"/>
  <c r="E54" i="5"/>
  <c r="E53" i="5"/>
  <c r="E52" i="5"/>
  <c r="E51" i="5"/>
  <c r="E50" i="5"/>
  <c r="E49" i="5"/>
  <c r="E48" i="5"/>
  <c r="E47" i="5"/>
  <c r="E46" i="5"/>
  <c r="E45" i="5"/>
  <c r="E44" i="5"/>
  <c r="E43" i="5"/>
  <c r="E42" i="5"/>
  <c r="E41" i="5"/>
  <c r="E40" i="5"/>
  <c r="E39" i="5"/>
  <c r="E38" i="5"/>
  <c r="E37" i="5"/>
  <c r="E36" i="5"/>
  <c r="E35" i="5"/>
  <c r="E34" i="5"/>
  <c r="E33" i="5"/>
  <c r="E28" i="5"/>
  <c r="E27" i="5"/>
  <c r="E26" i="5"/>
  <c r="E25" i="5"/>
  <c r="E24" i="5"/>
  <c r="E23" i="5"/>
  <c r="E22" i="5"/>
  <c r="E21" i="5"/>
  <c r="J50" i="5"/>
  <c r="L50" i="5" s="1"/>
  <c r="AC5" i="2" l="1"/>
  <c r="AC24" i="2"/>
  <c r="J56" i="5"/>
  <c r="L56" i="5" s="1"/>
  <c r="K81" i="5"/>
  <c r="R66" i="1" s="1"/>
  <c r="K27" i="5"/>
  <c r="J46" i="5"/>
  <c r="L46" i="5" s="1"/>
  <c r="K51" i="5"/>
  <c r="K55" i="5"/>
  <c r="J82" i="5"/>
  <c r="L82" i="5" s="1"/>
  <c r="Q67" i="1" s="1"/>
  <c r="J81" i="5"/>
  <c r="L81" i="5" s="1"/>
  <c r="Q66" i="1" s="1"/>
  <c r="J26" i="5"/>
  <c r="L26" i="5" s="1"/>
  <c r="Q11" i="1" s="1"/>
  <c r="J34" i="5"/>
  <c r="L34" i="5" s="1"/>
  <c r="J54" i="5"/>
  <c r="L54" i="5" s="1"/>
  <c r="Q39" i="1" s="1"/>
  <c r="J27" i="5"/>
  <c r="L27" i="5" s="1"/>
  <c r="J35" i="5"/>
  <c r="L35" i="5" s="1"/>
  <c r="K36" i="5"/>
  <c r="J47" i="5"/>
  <c r="L47" i="5" s="1"/>
  <c r="K48" i="5"/>
  <c r="R33" i="1" s="1"/>
  <c r="J51" i="5"/>
  <c r="L51" i="5" s="1"/>
  <c r="K52" i="5"/>
  <c r="J55" i="5"/>
  <c r="L55" i="5" s="1"/>
  <c r="K56" i="5"/>
  <c r="K26" i="5"/>
  <c r="R11" i="1" s="1"/>
  <c r="J33" i="5"/>
  <c r="L33" i="5" s="1"/>
  <c r="K34" i="5"/>
  <c r="J45" i="5"/>
  <c r="L45" i="5" s="1"/>
  <c r="K46" i="5"/>
  <c r="J49" i="5"/>
  <c r="L49" i="5" s="1"/>
  <c r="K50" i="5"/>
  <c r="J53" i="5"/>
  <c r="L53" i="5" s="1"/>
  <c r="Q38" i="1" s="1"/>
  <c r="K54" i="5"/>
  <c r="R39" i="1" s="1"/>
  <c r="K82" i="5"/>
  <c r="R67" i="1" s="1"/>
  <c r="K35" i="5"/>
  <c r="K47" i="5"/>
  <c r="J28" i="5"/>
  <c r="L28" i="5" s="1"/>
  <c r="Q13" i="1" s="1"/>
  <c r="K33" i="5"/>
  <c r="J36" i="5"/>
  <c r="L36" i="5" s="1"/>
  <c r="K45" i="5"/>
  <c r="J48" i="5"/>
  <c r="L48" i="5" s="1"/>
  <c r="Q33" i="1" s="1"/>
  <c r="K49" i="5"/>
  <c r="J52" i="5"/>
  <c r="L52" i="5" s="1"/>
  <c r="K53" i="5"/>
  <c r="R38" i="1" s="1"/>
  <c r="AA40" i="2"/>
  <c r="AA44" i="2"/>
  <c r="AA48" i="2"/>
  <c r="AA60" i="2"/>
  <c r="AA64" i="2"/>
  <c r="AC72" i="2"/>
  <c r="AC76" i="2"/>
  <c r="AC7" i="2"/>
  <c r="AA37" i="2"/>
  <c r="AC14" i="2"/>
  <c r="AA16" i="2"/>
  <c r="AC12" i="2"/>
  <c r="AC16" i="2"/>
  <c r="AC17" i="2"/>
  <c r="AC25" i="2"/>
  <c r="AA27" i="2"/>
  <c r="AC29" i="2"/>
  <c r="AA32" i="2"/>
  <c r="AC33" i="2"/>
  <c r="AC43" i="2"/>
  <c r="AA45" i="2"/>
  <c r="AC47" i="2"/>
  <c r="AC51" i="2"/>
  <c r="AA53" i="2"/>
  <c r="AC55" i="2"/>
  <c r="AA61" i="2"/>
  <c r="AC69" i="2"/>
  <c r="AC73" i="2"/>
  <c r="AC77" i="2"/>
  <c r="AC6" i="2"/>
  <c r="T134" i="1"/>
  <c r="AA14" i="2"/>
  <c r="AC22" i="2"/>
  <c r="AA38" i="2"/>
  <c r="AA46" i="2"/>
  <c r="AC52" i="2"/>
  <c r="AA54" i="2"/>
  <c r="S135" i="1"/>
  <c r="AC30" i="2"/>
  <c r="AC37" i="2"/>
  <c r="AA43" i="2"/>
  <c r="AA51" i="2"/>
  <c r="AA59" i="2"/>
  <c r="AC79" i="2"/>
  <c r="AC67" i="2"/>
  <c r="AA57" i="2" l="1"/>
  <c r="AI33" i="2"/>
  <c r="AA62" i="2"/>
  <c r="AA29" i="2"/>
  <c r="AA56" i="2"/>
  <c r="AI40" i="2"/>
  <c r="AC78" i="2"/>
  <c r="AI52" i="2"/>
  <c r="AI37" i="2"/>
  <c r="AC40" i="2"/>
  <c r="AA41" i="2"/>
  <c r="AA21" i="2"/>
  <c r="AA49" i="2"/>
  <c r="AC28" i="2"/>
  <c r="AA30" i="2"/>
  <c r="AC34" i="2"/>
  <c r="AC56" i="2"/>
  <c r="AC10" i="2"/>
  <c r="T100" i="1" s="1"/>
  <c r="AA13" i="2"/>
  <c r="AC66" i="2"/>
  <c r="AA39" i="2"/>
  <c r="AI27" i="2"/>
  <c r="AA34" i="2"/>
  <c r="AI25" i="2"/>
  <c r="AI48" i="2"/>
  <c r="AI12" i="2"/>
  <c r="AA12" i="2"/>
  <c r="AC19" i="2"/>
  <c r="AA50" i="2"/>
  <c r="AA63" i="2"/>
  <c r="AI47" i="2"/>
  <c r="AA35" i="2"/>
  <c r="AC18" i="2"/>
  <c r="AA36" i="2"/>
  <c r="AI29" i="2"/>
  <c r="AA52" i="2"/>
  <c r="AA15" i="2"/>
  <c r="AI34" i="2"/>
  <c r="AC74" i="2"/>
  <c r="AC68" i="2"/>
  <c r="AI55" i="2"/>
  <c r="AC39" i="2"/>
  <c r="AA47" i="2"/>
  <c r="AA58" i="2"/>
  <c r="AA33" i="2"/>
  <c r="AC27" i="2"/>
  <c r="AA31" i="2"/>
  <c r="AC13" i="2"/>
  <c r="AA8" i="2"/>
  <c r="S101" i="1" s="1"/>
  <c r="AC48" i="2"/>
  <c r="AA20" i="2"/>
  <c r="AA25" i="2"/>
  <c r="AC70" i="2"/>
  <c r="AA11" i="2"/>
  <c r="AC8" i="2"/>
  <c r="T101" i="1" s="1"/>
  <c r="AC15" i="2"/>
  <c r="AI13" i="2"/>
  <c r="AC44" i="2"/>
  <c r="AC75" i="2"/>
  <c r="AC65" i="2"/>
  <c r="AI44" i="2"/>
  <c r="AA55" i="2"/>
  <c r="AI30" i="2"/>
  <c r="AI15" i="2"/>
  <c r="AI11" i="2"/>
  <c r="AC71" i="2"/>
  <c r="AA42" i="2"/>
  <c r="AC26" i="2"/>
  <c r="AC23" i="2"/>
  <c r="AA23" i="2"/>
  <c r="AC9" i="2"/>
  <c r="T99" i="1" s="1"/>
  <c r="AA7" i="2"/>
  <c r="AC11" i="2"/>
  <c r="AI42" i="2"/>
  <c r="AC42" i="2"/>
  <c r="AI31" i="2"/>
  <c r="AC31" i="2"/>
  <c r="AC61" i="2"/>
  <c r="AI57" i="2"/>
  <c r="AC57" i="2"/>
  <c r="AI41" i="2"/>
  <c r="AC41" i="2"/>
  <c r="AA78" i="2"/>
  <c r="AI78" i="2"/>
  <c r="AA74" i="2"/>
  <c r="AI74" i="2"/>
  <c r="AA70" i="2"/>
  <c r="AI70" i="2"/>
  <c r="AA66" i="2"/>
  <c r="AI66" i="2"/>
  <c r="AI39" i="2"/>
  <c r="AI20" i="2"/>
  <c r="AC20" i="2"/>
  <c r="AI28" i="2"/>
  <c r="AA28" i="2"/>
  <c r="AA9" i="2"/>
  <c r="AI56" i="2"/>
  <c r="AI19" i="2"/>
  <c r="AA19" i="2"/>
  <c r="AI23" i="2"/>
  <c r="AC54" i="2"/>
  <c r="AC38" i="2"/>
  <c r="AC64" i="2"/>
  <c r="AC60" i="2"/>
  <c r="AC53" i="2"/>
  <c r="AI36" i="2"/>
  <c r="AC36" i="2"/>
  <c r="AA79" i="2"/>
  <c r="AA75" i="2"/>
  <c r="AI75" i="2"/>
  <c r="AA71" i="2"/>
  <c r="AI71" i="2"/>
  <c r="AA67" i="2"/>
  <c r="AI67" i="2"/>
  <c r="AI10" i="2"/>
  <c r="AA10" i="2"/>
  <c r="AA22" i="2"/>
  <c r="AA5" i="2"/>
  <c r="AA17" i="2"/>
  <c r="AI50" i="2"/>
  <c r="AC50" i="2"/>
  <c r="AI35" i="2"/>
  <c r="AC35" i="2"/>
  <c r="AI63" i="2"/>
  <c r="AC63" i="2"/>
  <c r="AC59" i="2"/>
  <c r="AI49" i="2"/>
  <c r="AC49" i="2"/>
  <c r="AC32" i="2"/>
  <c r="AA76" i="2"/>
  <c r="AA72" i="2"/>
  <c r="AA68" i="2"/>
  <c r="AI68" i="2"/>
  <c r="AA24" i="2"/>
  <c r="AI21" i="2"/>
  <c r="AC21" i="2"/>
  <c r="AA6" i="2"/>
  <c r="AC46" i="2"/>
  <c r="AI62" i="2"/>
  <c r="AC62" i="2"/>
  <c r="AI58" i="2"/>
  <c r="AC58" i="2"/>
  <c r="AC45" i="2"/>
  <c r="AA77" i="2"/>
  <c r="AA73" i="2"/>
  <c r="AI73" i="2"/>
  <c r="AA69" i="2"/>
  <c r="AA65" i="2"/>
  <c r="AI65" i="2"/>
  <c r="AI26" i="2"/>
  <c r="AA26" i="2"/>
  <c r="AI18" i="2"/>
  <c r="AA18" i="2"/>
  <c r="AC4" i="2"/>
  <c r="AI8" i="2"/>
  <c r="S133" i="1" l="1"/>
  <c r="AI9" i="2"/>
  <c r="S134" i="1"/>
  <c r="T132" i="1"/>
  <c r="B92" i="1"/>
  <c r="S132" i="1"/>
  <c r="AI7" i="2"/>
  <c r="U132" i="1" s="1"/>
  <c r="T135" i="1"/>
  <c r="S100" i="1"/>
  <c r="S98" i="1"/>
  <c r="T98" i="1"/>
  <c r="S99" i="1"/>
  <c r="U99" i="1" s="1"/>
  <c r="AI51" i="2"/>
  <c r="AI6" i="2"/>
  <c r="AI32" i="2"/>
  <c r="AI38" i="2"/>
  <c r="AI22" i="2"/>
  <c r="AI72" i="2"/>
  <c r="AI5" i="2"/>
  <c r="AI24" i="2"/>
  <c r="AI4" i="2"/>
  <c r="AI59" i="2"/>
  <c r="AI76" i="2"/>
  <c r="AI77" i="2"/>
  <c r="AI17" i="2"/>
  <c r="AI54" i="2"/>
  <c r="AI14" i="2"/>
  <c r="AI45" i="2"/>
  <c r="AI43" i="2"/>
  <c r="AI79" i="2"/>
  <c r="AI64" i="2"/>
  <c r="AI69" i="2"/>
  <c r="AI53" i="2"/>
  <c r="AI16" i="2"/>
  <c r="AI46" i="2"/>
  <c r="AI60" i="2"/>
  <c r="AI61" i="2"/>
  <c r="E161" i="1"/>
  <c r="U161" i="1" s="1"/>
  <c r="E160" i="1"/>
  <c r="U160" i="1" s="1"/>
  <c r="E159" i="1"/>
  <c r="U159" i="1" s="1"/>
  <c r="E158" i="1"/>
  <c r="U158" i="1" s="1"/>
  <c r="E157" i="1"/>
  <c r="U157" i="1" s="1"/>
  <c r="E156" i="1"/>
  <c r="U156" i="1" s="1"/>
  <c r="E155" i="1"/>
  <c r="U155" i="1" s="1"/>
  <c r="E154" i="1"/>
  <c r="U154" i="1" s="1"/>
  <c r="E153" i="1"/>
  <c r="U153" i="1" s="1"/>
  <c r="E152" i="1"/>
  <c r="U152" i="1" s="1"/>
  <c r="E151" i="1"/>
  <c r="U151" i="1" s="1"/>
  <c r="E150" i="1"/>
  <c r="U150" i="1" s="1"/>
  <c r="E149" i="1"/>
  <c r="U149" i="1" s="1"/>
  <c r="E148" i="1"/>
  <c r="U148" i="1" s="1"/>
  <c r="E147" i="1"/>
  <c r="U147" i="1" s="1"/>
  <c r="E146" i="1"/>
  <c r="U146" i="1" s="1"/>
  <c r="E145" i="1"/>
  <c r="U145" i="1" s="1"/>
  <c r="E144" i="1"/>
  <c r="U144" i="1" s="1"/>
  <c r="E143" i="1"/>
  <c r="U143" i="1" s="1"/>
  <c r="E142" i="1"/>
  <c r="U142" i="1" s="1"/>
  <c r="E141" i="1"/>
  <c r="U141" i="1" s="1"/>
  <c r="E140" i="1"/>
  <c r="U140" i="1" s="1"/>
  <c r="E139" i="1"/>
  <c r="U139" i="1" s="1"/>
  <c r="E138" i="1"/>
  <c r="U138" i="1" s="1"/>
  <c r="E137" i="1"/>
  <c r="U137" i="1" s="1"/>
  <c r="E136" i="1"/>
  <c r="U135" i="1"/>
  <c r="U134"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U98" i="1" l="1"/>
  <c r="E127" i="1"/>
  <c r="U136" i="1"/>
  <c r="E162" i="1"/>
  <c r="C163" i="1"/>
  <c r="E164" i="1"/>
  <c r="B3" i="7" l="1"/>
  <c r="C3" i="7"/>
  <c r="U97" i="1"/>
  <c r="T133" i="1" l="1"/>
  <c r="U133" i="1" s="1"/>
  <c r="B127" i="1" l="1"/>
  <c r="U162" i="1"/>
  <c r="B5" i="7" s="1"/>
  <c r="C5" i="7" s="1"/>
  <c r="A14" i="3"/>
  <c r="A12" i="3"/>
  <c r="A18" i="3"/>
  <c r="A10" i="3"/>
  <c r="A16" i="3"/>
  <c r="B162" i="1" l="1"/>
  <c r="C4" i="7" s="1"/>
  <c r="B4"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Michel Duhalde</author>
  </authors>
  <commentList>
    <comment ref="B70" authorId="0" shapeId="0" xr:uid="{5FCDF5D8-5554-433E-B74E-512F1A827CFF}">
      <text>
        <r>
          <rPr>
            <sz val="9"/>
            <color indexed="81"/>
            <rFont val="Tahoma"/>
            <family val="2"/>
          </rPr>
          <t>Le cas 1 se rapporte aux filières dans lesquelles l'électricité et la chaleur nécessaires au procédé sont fournies par le moteur de cogénération lui-même.
Le cas 2 se rapporte aux filières dans lesquelles l'électricité nécessaire au procédé est fournie par le réseau et la chaleur industrielle est fournie par le moteur de cogénération lui-même. Dans certains États membres, les opérateurs ne sont pas autorisés à demander des subsides pour la production brute et le cas 1 est la configuration la plus prob</t>
        </r>
        <r>
          <rPr>
            <sz val="9"/>
            <color indexed="81"/>
            <rFont val="Tahoma"/>
            <family val="2"/>
          </rPr>
          <t>able.
Le cas 3 se rapporte aux filières dans lesquelles l'électricité nécessaire au procédé est fournie par le réseau et la chaleur industrielle est fournie par une chaudière au biogaz. Ce cas s'applique à certaines installations dans lesquelles le moteur de cogénération n'est pas situé sur le site et le biogaz est vendu (mais non valorisé en biométhane).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Michel Duhalde</author>
  </authors>
  <commentList>
    <comment ref="T2" authorId="0" shapeId="0" xr:uid="{3680612E-C520-4C73-AB78-EC6BE008FB9E}">
      <text>
        <r>
          <rPr>
            <sz val="9"/>
            <color indexed="81"/>
            <rFont val="Tahoma"/>
            <family val="2"/>
          </rPr>
          <t xml:space="preserve">Production annuelle d'électricité divisée par l'apport annuel de combustible sur la base de son contenu énergétique.
Reneigner 0 si production de chaleur seule.
</t>
        </r>
      </text>
    </comment>
    <comment ref="U2" authorId="0" shapeId="0" xr:uid="{6D32DC43-3919-421D-92D8-D37694863955}">
      <text>
        <r>
          <rPr>
            <sz val="9"/>
            <color indexed="81"/>
            <rFont val="Tahoma"/>
            <family val="2"/>
          </rPr>
          <t>Production annuelle de chaleur utile divisée par l'apport annuel de combustible sur la base de son contenu énergétique.
Renseigner 0 si production électricité seule</t>
        </r>
      </text>
    </comment>
    <comment ref="V2" authorId="0" shapeId="0" xr:uid="{799404A9-A16D-4C98-B619-B631DBBB3134}">
      <text>
        <r>
          <rPr>
            <sz val="9"/>
            <color indexed="81"/>
            <rFont val="Tahoma"/>
            <family val="2"/>
          </rPr>
          <t>Température de la chaleur utile au point de fourniture (°C)</t>
        </r>
      </text>
    </comment>
    <comment ref="C3" authorId="0" shapeId="0" xr:uid="{B9F45164-999B-4E6F-8B95-0A328732CF17}">
      <text>
        <r>
          <rPr>
            <sz val="9"/>
            <color indexed="81"/>
            <rFont val="Tahoma"/>
            <family val="2"/>
          </rPr>
          <t>Valeur Par défaut (tirée des annexes de la directive)</t>
        </r>
      </text>
    </comment>
    <comment ref="E3" authorId="0" shapeId="0" xr:uid="{D9A3EAF7-A840-4D60-B104-2A31EACBD033}">
      <text>
        <r>
          <rPr>
            <sz val="9"/>
            <color indexed="81"/>
            <rFont val="Tahoma"/>
            <family val="2"/>
          </rPr>
          <t>Valeur Par défaut (tirée des annexes de la directive)</t>
        </r>
      </text>
    </comment>
    <comment ref="G3" authorId="0" shapeId="0" xr:uid="{12EDF8A3-BEEC-491F-A1B7-B91BC2495BC7}">
      <text>
        <r>
          <rPr>
            <sz val="9"/>
            <color indexed="81"/>
            <rFont val="Tahoma"/>
            <family val="2"/>
          </rPr>
          <t>Valeur Par défaut (tirée des annexes de la directive)</t>
        </r>
      </text>
    </comment>
    <comment ref="I3" authorId="0" shapeId="0" xr:uid="{D3FA3564-28D0-449B-9CF2-2E5FFA20062F}">
      <text>
        <r>
          <rPr>
            <sz val="9"/>
            <color indexed="81"/>
            <rFont val="Tahoma"/>
            <family val="2"/>
          </rPr>
          <t>Valeur Par défaut (tirée des annexes de la directive)</t>
        </r>
      </text>
    </comment>
    <comment ref="K3" authorId="0" shapeId="0" xr:uid="{74C61DF0-1885-4D71-BA3D-979199FF1FE4}">
      <text>
        <r>
          <rPr>
            <sz val="9"/>
            <color indexed="81"/>
            <rFont val="Tahoma"/>
            <family val="2"/>
          </rPr>
          <t>Valeur Par défaut (tirée des annexes de la directive)</t>
        </r>
      </text>
    </comment>
    <comment ref="M3" authorId="0" shapeId="0" xr:uid="{ACCFC624-A85B-4ED8-8023-7C8F169A3F10}">
      <text>
        <r>
          <rPr>
            <sz val="9"/>
            <color indexed="81"/>
            <rFont val="Tahoma"/>
            <family val="2"/>
          </rPr>
          <t>Valeur Par défaut (tirée des annexes de la directive)</t>
        </r>
      </text>
    </comment>
    <comment ref="O3" authorId="0" shapeId="0" xr:uid="{9DE77516-D3A5-4948-B4BC-9D3FF8850E84}">
      <text>
        <r>
          <rPr>
            <sz val="9"/>
            <color indexed="81"/>
            <rFont val="Tahoma"/>
            <family val="2"/>
          </rPr>
          <t>Valeur Par défaut (tirée des annexes de la directive)</t>
        </r>
      </text>
    </comment>
    <comment ref="Q3" authorId="0" shapeId="0" xr:uid="{DDF12F90-8F15-4966-AE8F-4C496DC1EECC}">
      <text>
        <r>
          <rPr>
            <sz val="9"/>
            <color indexed="81"/>
            <rFont val="Tahoma"/>
            <family val="2"/>
          </rPr>
          <t>Valeur Par défaut (tirée des annexes de la directive)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Michel Duhalde</author>
  </authors>
  <commentList>
    <comment ref="H13" authorId="0" shapeId="0" xr:uid="{96FFCF45-5AFC-4727-B49F-4AB28B4467CD}">
      <text>
        <r>
          <rPr>
            <sz val="9"/>
            <color indexed="81"/>
            <rFont val="Tahoma"/>
            <family val="2"/>
          </rPr>
          <t xml:space="preserve">Production annuelle d'électricité divisée par l'apport annuel de combustible sur la base de son contenu énergétique.
Reneigner 0 si production de chaleur seule.
</t>
        </r>
      </text>
    </comment>
    <comment ref="H14" authorId="0" shapeId="0" xr:uid="{9FD9672D-1A3B-4269-B1B3-6A5273F8D9DA}">
      <text>
        <r>
          <rPr>
            <sz val="9"/>
            <color indexed="81"/>
            <rFont val="Tahoma"/>
            <family val="2"/>
          </rPr>
          <t>Production annuelle de chaleur utile divisée par l'apport annuel de combustible sur la base de son contenu énergétique.
Renseigner 0 si production électricité seule</t>
        </r>
      </text>
    </comment>
    <comment ref="H15" authorId="0" shapeId="0" xr:uid="{7ECB6A2E-16F2-44C8-89B2-2DFC26BE483A}">
      <text>
        <r>
          <rPr>
            <sz val="9"/>
            <color indexed="81"/>
            <rFont val="Tahoma"/>
            <family val="2"/>
          </rPr>
          <t>Température de la chaleur utile au point de fourniture (°C)</t>
        </r>
      </text>
    </comment>
    <comment ref="A148" authorId="0" shapeId="0" xr:uid="{D61BF43D-D9CA-49B6-9FE0-80475E85FA96}">
      <text>
        <r>
          <rPr>
            <b/>
            <sz val="9"/>
            <color indexed="81"/>
            <rFont val="Tahoma"/>
            <family val="2"/>
          </rPr>
          <t>Uniquement dans les cas de production de biogaz pour électricité</t>
        </r>
      </text>
    </comment>
    <comment ref="C148" authorId="0" shapeId="0" xr:uid="{C25E439C-E7A4-4431-A95F-CF9856A5C741}">
      <text>
        <r>
          <rPr>
            <b/>
            <sz val="9"/>
            <color indexed="81"/>
            <rFont val="Tahoma"/>
            <family val="2"/>
          </rPr>
          <t>Le cas 1 se rapporte aux filières dans lesquelles l'électricité et la chaleur nécessaires au procédé sont fournies par le moteur de cogénération lui-même.</t>
        </r>
      </text>
    </comment>
    <comment ref="C149" authorId="0" shapeId="0" xr:uid="{C0A24155-65DE-45BE-BB0A-55D9EC437C1A}">
      <text>
        <r>
          <rPr>
            <b/>
            <sz val="9"/>
            <color indexed="81"/>
            <rFont val="Tahoma"/>
            <family val="2"/>
          </rPr>
          <t>Le cas 1 se rapporte aux filières dans lesquelles l'électricité et la chaleur nécessaires au procédé sont fournies par le moteur de cogénération lui-même.</t>
        </r>
      </text>
    </comment>
    <comment ref="C150" authorId="0" shapeId="0" xr:uid="{90356088-CF45-46EC-A7FE-82D725D7CEAC}">
      <text>
        <r>
          <rPr>
            <b/>
            <sz val="9"/>
            <color indexed="81"/>
            <rFont val="Tahoma"/>
            <family val="2"/>
          </rPr>
          <t>Le cas 2 se rapporte aux filières dans lesquelles l'électricité nécessaire au procédé est fournie par le réseau et la chaleur industrielle est fournie par le moteur de cogénération lui-même. Dans certains États membres, les opérateurs ne sont pas autorisés à demander des subsides pour la production brute et le cas 1 est la configuration la plus probable.</t>
        </r>
      </text>
    </comment>
    <comment ref="C151" authorId="0" shapeId="0" xr:uid="{CBC425A2-B274-481C-B944-3017EAC7D883}">
      <text>
        <r>
          <rPr>
            <b/>
            <sz val="9"/>
            <color indexed="81"/>
            <rFont val="Tahoma"/>
            <family val="2"/>
          </rPr>
          <t>Le cas 2 se rapporte aux filières dans lesquelles l'électricité nécessaire au procédé est fournie par le réseau et la chaleur industrielle est fournie par le moteur de cogénération lui-même. Dans certains États membres, les opérateurs ne sont pas autorisés à demander des subsides pour la production brute et le cas 1 est la configuration la plus probable.</t>
        </r>
      </text>
    </comment>
    <comment ref="C152" authorId="0" shapeId="0" xr:uid="{CBC00CC0-1B89-4523-8E9C-7E8D1D18B0B4}">
      <text>
        <r>
          <rPr>
            <b/>
            <sz val="9"/>
            <color indexed="81"/>
            <rFont val="Tahoma"/>
            <family val="2"/>
          </rPr>
          <t>Le cas 3 se rapporte aux filières dans lesquelles l'électricité nécessaire au procédé est fournie par le réseau et la chaleur industrielle est fournie par une chaudière au biogaz. Ce cas s'applique à certaines installations dans lesquelles le moteur de cogénération n'est pas situé sur le site et le biogaz est vendu (mais non valorisé en biométhane).</t>
        </r>
      </text>
    </comment>
    <comment ref="C153" authorId="0" shapeId="0" xr:uid="{9BC63148-7EFE-4CBE-94FF-E7054EBCE659}">
      <text>
        <r>
          <rPr>
            <b/>
            <sz val="9"/>
            <color indexed="81"/>
            <rFont val="Tahoma"/>
            <family val="2"/>
          </rPr>
          <t>Le cas 3 se rapporte aux filières dans lesquelles l'électricité nécessaire au procédé est fournie par le réseau et la chaleur industrielle est fournie par une chaudière au biogaz. Ce cas s'applique à certaines installations dans lesquelles le moteur de cogénération n'est pas situé sur le site et le biogaz est vendu (mais non valorisé en biométhane).</t>
        </r>
      </text>
    </comment>
    <comment ref="A154" authorId="0" shapeId="0" xr:uid="{64FD1665-F7DC-4A93-8FD4-CC54B67765E5}">
      <text>
        <r>
          <rPr>
            <b/>
            <sz val="9"/>
            <color indexed="81"/>
            <rFont val="Tahoma"/>
            <family val="2"/>
          </rPr>
          <t>Uniquement dans les cas de production de biogaz pour électricité</t>
        </r>
      </text>
    </comment>
    <comment ref="C154" authorId="0" shapeId="0" xr:uid="{CA46434B-031A-4D63-9CC7-08AFBFAA9A9A}">
      <text>
        <r>
          <rPr>
            <b/>
            <sz val="9"/>
            <color indexed="81"/>
            <rFont val="Tahoma"/>
            <family val="2"/>
          </rPr>
          <t>Le cas 1 se rapporte aux filières dans lesquelles l'électricité et la chaleur nécessaires au procédé sont fournies par le moteur de cogénération lui-même.</t>
        </r>
      </text>
    </comment>
    <comment ref="C155" authorId="0" shapeId="0" xr:uid="{9217EB5E-1E7A-48B7-898E-A647BB515DC3}">
      <text>
        <r>
          <rPr>
            <b/>
            <sz val="9"/>
            <color indexed="81"/>
            <rFont val="Tahoma"/>
            <family val="2"/>
          </rPr>
          <t>Le cas 1 se rapporte aux filières dans lesquelles l'électricité et la chaleur nécessaires au procédé sont fournies par le moteur de cogénération lui-même.</t>
        </r>
      </text>
    </comment>
    <comment ref="C156" authorId="0" shapeId="0" xr:uid="{36894544-DF81-460F-AA5B-4BE8A5237EF2}">
      <text>
        <r>
          <rPr>
            <b/>
            <sz val="9"/>
            <color indexed="81"/>
            <rFont val="Tahoma"/>
            <family val="2"/>
          </rPr>
          <t>Le cas 2 se rapporte aux filières dans lesquelles l'électricité nécessaire au procédé est fournie par le réseau et la chaleur industrielle est fournie par le moteur de cogénération lui-même. Dans certains États membres, les opérateurs ne sont pas autorisés à demander des subsides pour la production brute et le cas 1 est la configuration la plus probable.</t>
        </r>
      </text>
    </comment>
    <comment ref="C157" authorId="0" shapeId="0" xr:uid="{538DDA1F-06B2-42DF-A59A-C7F8F5C0830A}">
      <text>
        <r>
          <rPr>
            <b/>
            <sz val="9"/>
            <color indexed="81"/>
            <rFont val="Tahoma"/>
            <family val="2"/>
          </rPr>
          <t>Le cas 2 se rapporte aux filières dans lesquelles l'électricité nécessaire au procédé est fournie par le réseau et la chaleur industrielle est fournie par le moteur de cogénération lui-même. Dans certains États membres, les opérateurs ne sont pas autorisés à demander des subsides pour la production brute et le cas 1 est la configuration la plus probable.</t>
        </r>
      </text>
    </comment>
    <comment ref="C158" authorId="0" shapeId="0" xr:uid="{F24D554E-7219-4084-9343-9FDB993454A9}">
      <text>
        <r>
          <rPr>
            <b/>
            <sz val="9"/>
            <color indexed="81"/>
            <rFont val="Tahoma"/>
            <family val="2"/>
          </rPr>
          <t>Le cas 3 se rapporte aux filières dans lesquelles l'électricité nécessaire au procédé est fournie par le réseau et la chaleur industrielle est fournie par une chaudière au biogaz. Ce cas s'applique à certaines installations dans lesquelles le moteur de cogénération n'est pas situé sur le site et le biogaz est vendu (mais non valorisé en biométhane).</t>
        </r>
      </text>
    </comment>
    <comment ref="C159" authorId="0" shapeId="0" xr:uid="{07F14A18-7116-41E0-9B48-CA5152D0FF14}">
      <text>
        <r>
          <rPr>
            <b/>
            <sz val="9"/>
            <color indexed="81"/>
            <rFont val="Tahoma"/>
            <family val="2"/>
          </rPr>
          <t>Le cas 3 se rapporte aux filières dans lesquelles l'électricité nécessaire au procédé est fournie par le réseau et la chaleur industrielle est fournie par une chaudière au biogaz. Ce cas s'applique à certaines installations dans lesquelles le moteur de cogénération n'est pas situé sur le site et le biogaz est vendu (mais non valorisé en biométhane).</t>
        </r>
      </text>
    </comment>
    <comment ref="A160" authorId="0" shapeId="0" xr:uid="{43B2DD9D-EFE0-4188-AC3C-3B57A007F993}">
      <text>
        <r>
          <rPr>
            <b/>
            <sz val="9"/>
            <color indexed="81"/>
            <rFont val="Tahoma"/>
            <family val="2"/>
          </rPr>
          <t>Uniquement dans les cas de production de biogaz pour électricité</t>
        </r>
      </text>
    </comment>
    <comment ref="C160" authorId="0" shapeId="0" xr:uid="{C6ADFD19-87B4-4308-B4D4-3C7DF4A3DAF3}">
      <text>
        <r>
          <rPr>
            <b/>
            <sz val="9"/>
            <color indexed="81"/>
            <rFont val="Tahoma"/>
            <family val="2"/>
          </rPr>
          <t>Le cas 1 se rapporte aux filières dans lesquelles l'électricité et la chaleur nécessaires au procédé sont fournies par le moteur de cogénération lui-même.</t>
        </r>
      </text>
    </comment>
    <comment ref="C161" authorId="0" shapeId="0" xr:uid="{62E80060-DD3C-4AA8-98F4-B27B88BCFCC3}">
      <text>
        <r>
          <rPr>
            <b/>
            <sz val="9"/>
            <color indexed="81"/>
            <rFont val="Tahoma"/>
            <family val="2"/>
          </rPr>
          <t>Le cas 1 se rapporte aux filières dans lesquelles l'électricité et la chaleur nécessaires au procédé sont fournies par le moteur de cogénération lui-même.</t>
        </r>
      </text>
    </comment>
    <comment ref="C162" authorId="0" shapeId="0" xr:uid="{BEE83463-9BA1-47D2-827A-259498F0C423}">
      <text>
        <r>
          <rPr>
            <b/>
            <sz val="9"/>
            <color indexed="81"/>
            <rFont val="Tahoma"/>
            <family val="2"/>
          </rPr>
          <t>Le cas 2 se rapporte aux filières dans lesquelles l'électricité nécessaire au procédé est fournie par le réseau et la chaleur industrielle est fournie par le moteur de cogénération lui-même. Dans certains États membres, les opérateurs ne sont pas autorisés à demander des subsides pour la production brute et le cas 1 est la configuration la plus probable.</t>
        </r>
      </text>
    </comment>
    <comment ref="C163" authorId="0" shapeId="0" xr:uid="{C8FB5753-6250-4967-B2F4-0359CEAC740A}">
      <text>
        <r>
          <rPr>
            <b/>
            <sz val="9"/>
            <color indexed="81"/>
            <rFont val="Tahoma"/>
            <family val="2"/>
          </rPr>
          <t>Le cas 2 se rapporte aux filières dans lesquelles l'électricité nécessaire au procédé est fournie par le réseau et la chaleur industrielle est fournie par le moteur de cogénération lui-même. Dans certains États membres, les opérateurs ne sont pas autorisés à demander des subsides pour la production brute et le cas 1 est la configuration la plus probable.</t>
        </r>
      </text>
    </comment>
    <comment ref="C164" authorId="0" shapeId="0" xr:uid="{BDF755A7-A235-40A4-A59A-57737974A0D0}">
      <text>
        <r>
          <rPr>
            <b/>
            <sz val="9"/>
            <color indexed="81"/>
            <rFont val="Tahoma"/>
            <family val="2"/>
          </rPr>
          <t>Le cas 3 se rapporte aux filières dans lesquelles l'électricité nécessaire au procédé est fournie par le réseau et la chaleur industrielle est fournie par une chaudière au biogaz. Ce cas s'applique à certaines installations dans lesquelles le moteur de cogénération n'est pas situé sur le site et le biogaz est vendu (mais non valorisé en biométhane).</t>
        </r>
      </text>
    </comment>
    <comment ref="C165" authorId="0" shapeId="0" xr:uid="{7AAAC00A-C180-4678-B18A-DC183F795C37}">
      <text>
        <r>
          <rPr>
            <b/>
            <sz val="9"/>
            <color indexed="81"/>
            <rFont val="Tahoma"/>
            <family val="2"/>
          </rPr>
          <t>Le cas 3 se rapporte aux filières dans lesquelles l'électricité nécessaire au procédé est fournie par le réseau et la chaleur industrielle est fournie par une chaudière au biogaz. Ce cas s'applique à certaines installations dans lesquelles le moteur de cogénération n'est pas situé sur le site et le biogaz est vendu (mais non valorisé en biométhane).</t>
        </r>
      </text>
    </comment>
    <comment ref="A166" authorId="0" shapeId="0" xr:uid="{F91C492F-E6D1-4683-87D6-CA83075726A4}">
      <text>
        <r>
          <rPr>
            <b/>
            <sz val="9"/>
            <color indexed="81"/>
            <rFont val="Tahoma"/>
            <family val="2"/>
          </rPr>
          <t>Uniquement dans les cas de production de biogaz pour électricité</t>
        </r>
      </text>
    </comment>
    <comment ref="C166" authorId="0" shapeId="0" xr:uid="{7422BC3F-FD2B-40A7-86E6-8C58D878AB63}">
      <text>
        <r>
          <rPr>
            <b/>
            <sz val="9"/>
            <color indexed="81"/>
            <rFont val="Tahoma"/>
            <family val="2"/>
          </rPr>
          <t>Le cas 1 se rapporte aux filières dans lesquelles l'électricité et la chaleur nécessaires au procédé sont fournies par le moteur de cogénération lui-même.</t>
        </r>
      </text>
    </comment>
    <comment ref="C167" authorId="0" shapeId="0" xr:uid="{0FEFA2D9-0CBB-47E0-8661-826AE1C5D211}">
      <text>
        <r>
          <rPr>
            <b/>
            <sz val="9"/>
            <color indexed="81"/>
            <rFont val="Tahoma"/>
            <family val="2"/>
          </rPr>
          <t>Le cas 1 se rapporte aux filières dans lesquelles l'électricité et la chaleur nécessaires au procédé sont fournies par le moteur de cogénération lui-même.</t>
        </r>
      </text>
    </comment>
    <comment ref="C168" authorId="0" shapeId="0" xr:uid="{9F1A8E44-B01E-4CE1-A2C0-08E6AB6B5044}">
      <text>
        <r>
          <rPr>
            <b/>
            <sz val="9"/>
            <color indexed="81"/>
            <rFont val="Tahoma"/>
            <family val="2"/>
          </rPr>
          <t>Le cas 2 se rapporte aux filières dans lesquelles l'électricité nécessaire au procédé est fournie par le réseau et la chaleur industrielle est fournie par le moteur de cogénération lui-même. Dans certains États membres, les opérateurs ne sont pas autorisés à demander des subsides pour la production brute et le cas 1 est la configuration la plus probable.</t>
        </r>
      </text>
    </comment>
    <comment ref="C169" authorId="0" shapeId="0" xr:uid="{3549AEF5-619D-4C61-B940-D2DB8A2DAAED}">
      <text>
        <r>
          <rPr>
            <b/>
            <sz val="9"/>
            <color indexed="81"/>
            <rFont val="Tahoma"/>
            <family val="2"/>
          </rPr>
          <t>Le cas 2 se rapporte aux filières dans lesquelles l'électricité nécessaire au procédé est fournie par le réseau et la chaleur industrielle est fournie par le moteur de cogénération lui-même. Dans certains États membres, les opérateurs ne sont pas autorisés à demander des subsides pour la production brute et le cas 1 est la configuration la plus probable.</t>
        </r>
      </text>
    </comment>
    <comment ref="C170" authorId="0" shapeId="0" xr:uid="{906835C5-4066-45B5-81F4-326A615AEC40}">
      <text>
        <r>
          <rPr>
            <b/>
            <sz val="9"/>
            <color indexed="81"/>
            <rFont val="Tahoma"/>
            <family val="2"/>
          </rPr>
          <t>Le cas 3 se rapporte aux filières dans lesquelles l'électricité nécessaire au procédé est fournie par le réseau et la chaleur industrielle est fournie par une chaudière au biogaz. Ce cas s'applique à certaines installations dans lesquelles le moteur de cogénération n'est pas situé sur le site et le biogaz est vendu (mais non valorisé en biométhane).</t>
        </r>
      </text>
    </comment>
    <comment ref="C171" authorId="0" shapeId="0" xr:uid="{36B3D8C8-4275-4CA6-8562-340B4D26C253}">
      <text>
        <r>
          <rPr>
            <b/>
            <sz val="9"/>
            <color indexed="81"/>
            <rFont val="Tahoma"/>
            <family val="2"/>
          </rPr>
          <t>Le cas 3 se rapporte aux filières dans lesquelles l'électricité nécessaire au procédé est fournie par le réseau et la chaleur industrielle est fournie par une chaudière au biogaz. Ce cas s'applique à certaines installations dans lesquelles le moteur de cogénération n'est pas situé sur le site et le biogaz est vendu (mais non valorisé en biométhane).</t>
        </r>
      </text>
    </comment>
    <comment ref="A172" authorId="0" shapeId="0" xr:uid="{FC6B7E79-6D41-4C6E-810B-EB80DB45AB4F}">
      <text>
        <r>
          <rPr>
            <b/>
            <sz val="9"/>
            <color indexed="81"/>
            <rFont val="Tahoma"/>
            <family val="2"/>
          </rPr>
          <t>Uniquement dans les cas de production de biogaz pour électricité</t>
        </r>
      </text>
    </comment>
    <comment ref="C172" authorId="0" shapeId="0" xr:uid="{6ADDFE5A-25C8-4CD4-A5F4-A9A6EB308D6D}">
      <text>
        <r>
          <rPr>
            <b/>
            <sz val="9"/>
            <color indexed="81"/>
            <rFont val="Tahoma"/>
            <family val="2"/>
          </rPr>
          <t>Le cas 1 se rapporte aux filières dans lesquelles l'électricité et la chaleur nécessaires au procédé sont fournies par le moteur de cogénération lui-même.</t>
        </r>
      </text>
    </comment>
    <comment ref="C173" authorId="0" shapeId="0" xr:uid="{3A7F2115-23B2-4837-B961-CFFCC22BDC03}">
      <text>
        <r>
          <rPr>
            <b/>
            <sz val="9"/>
            <color indexed="81"/>
            <rFont val="Tahoma"/>
            <family val="2"/>
          </rPr>
          <t>Le cas 1 se rapporte aux filières dans lesquelles l'électricité et la chaleur nécessaires au procédé sont fournies par le moteur de cogénération lui-même.</t>
        </r>
      </text>
    </comment>
    <comment ref="C174" authorId="0" shapeId="0" xr:uid="{3F3F679A-A75F-41ED-9248-81D091275CA6}">
      <text>
        <r>
          <rPr>
            <b/>
            <sz val="9"/>
            <color indexed="81"/>
            <rFont val="Tahoma"/>
            <family val="2"/>
          </rPr>
          <t>Le cas 2 se rapporte aux filières dans lesquelles l'électricité nécessaire au procédé est fournie par le réseau et la chaleur industrielle est fournie par le moteur de cogénération lui-même. Dans certains États membres, les opérateurs ne sont pas autorisés à demander des subsides pour la production brute et le cas 1 est la configuration la plus probable.</t>
        </r>
      </text>
    </comment>
    <comment ref="C175" authorId="0" shapeId="0" xr:uid="{3A8653BD-802C-465F-A22D-148205C5FE50}">
      <text>
        <r>
          <rPr>
            <b/>
            <sz val="9"/>
            <color indexed="81"/>
            <rFont val="Tahoma"/>
            <family val="2"/>
          </rPr>
          <t>Le cas 2 se rapporte aux filières dans lesquelles l'électricité nécessaire au procédé est fournie par le réseau et la chaleur industrielle est fournie par le moteur de cogénération lui-même. Dans certains États membres, les opérateurs ne sont pas autorisés à demander des subsides pour la production brute et le cas 1 est la configuration la plus probable.</t>
        </r>
      </text>
    </comment>
    <comment ref="C176" authorId="0" shapeId="0" xr:uid="{5FBD9FBE-588A-424F-8773-E2E21E3AFAAB}">
      <text>
        <r>
          <rPr>
            <b/>
            <sz val="9"/>
            <color indexed="81"/>
            <rFont val="Tahoma"/>
            <family val="2"/>
          </rPr>
          <t>Le cas 3 se rapporte aux filières dans lesquelles l'électricité nécessaire au procédé est fournie par le réseau et la chaleur industrielle est fournie par une chaudière au biogaz. Ce cas s'applique à certaines installations dans lesquelles le moteur de cogénération n'est pas situé sur le site et le biogaz est vendu (mais non valorisé en biométhane).</t>
        </r>
      </text>
    </comment>
    <comment ref="C177" authorId="0" shapeId="0" xr:uid="{A9EE2BAF-FDA1-4862-AFBB-9702C31571F4}">
      <text>
        <r>
          <rPr>
            <b/>
            <sz val="9"/>
            <color indexed="81"/>
            <rFont val="Tahoma"/>
            <family val="2"/>
          </rPr>
          <t>Le cas 3 se rapporte aux filières dans lesquelles l'électricité nécessaire au procédé est fournie par le réseau et la chaleur industrielle est fournie par une chaudière au biogaz. Ce cas s'applique à certaines installations dans lesquelles le moteur de cogénération n'est pas situé sur le site et le biogaz est vendu (mais non valorisé en biométhane).</t>
        </r>
      </text>
    </comment>
    <comment ref="A178" authorId="0" shapeId="0" xr:uid="{38163D60-39AB-40D6-A1BD-2AA2CEBDCA72}">
      <text>
        <r>
          <rPr>
            <b/>
            <sz val="9"/>
            <color indexed="81"/>
            <rFont val="Tahoma"/>
            <family val="2"/>
          </rPr>
          <t>Uniquement dans les cas de production de biogaz pour électricité</t>
        </r>
      </text>
    </comment>
    <comment ref="C178" authorId="0" shapeId="0" xr:uid="{A2EFB9F2-FB01-458B-B01D-8101B1E619CB}">
      <text>
        <r>
          <rPr>
            <b/>
            <sz val="9"/>
            <color indexed="81"/>
            <rFont val="Tahoma"/>
            <family val="2"/>
          </rPr>
          <t>Le cas 1 se rapporte aux filières dans lesquelles l'électricité et la chaleur nécessaires au procédé sont fournies par le moteur de cogénération lui-même.</t>
        </r>
      </text>
    </comment>
    <comment ref="C179" authorId="0" shapeId="0" xr:uid="{8850B726-FBB1-4831-8B4D-1AB675380406}">
      <text>
        <r>
          <rPr>
            <b/>
            <sz val="9"/>
            <color indexed="81"/>
            <rFont val="Tahoma"/>
            <family val="2"/>
          </rPr>
          <t>Le cas 1 se rapporte aux filières dans lesquelles l'électricité et la chaleur nécessaires au procédé sont fournies par le moteur de cogénération lui-même.</t>
        </r>
      </text>
    </comment>
    <comment ref="C180" authorId="0" shapeId="0" xr:uid="{BC046C0A-5AE7-4DE0-8E6E-22BAB1831E47}">
      <text>
        <r>
          <rPr>
            <b/>
            <sz val="9"/>
            <color indexed="81"/>
            <rFont val="Tahoma"/>
            <family val="2"/>
          </rPr>
          <t>Le cas 2 se rapporte aux filières dans lesquelles l'électricité nécessaire au procédé est fournie par le réseau et la chaleur industrielle est fournie par le moteur de cogénération lui-même. Dans certains États membres, les opérateurs ne sont pas autorisés à demander des subsides pour la production brute et le cas 1 est la configuration la plus probable.</t>
        </r>
      </text>
    </comment>
    <comment ref="C181" authorId="0" shapeId="0" xr:uid="{44C9B6CC-3827-4FAC-9E4D-6720BE8CD722}">
      <text>
        <r>
          <rPr>
            <b/>
            <sz val="9"/>
            <color indexed="81"/>
            <rFont val="Tahoma"/>
            <family val="2"/>
          </rPr>
          <t>Le cas 2 se rapporte aux filières dans lesquelles l'électricité nécessaire au procédé est fournie par le réseau et la chaleur industrielle est fournie par le moteur de cogénération lui-même. Dans certains États membres, les opérateurs ne sont pas autorisés à demander des subsides pour la production brute et le cas 1 est la configuration la plus probable.</t>
        </r>
      </text>
    </comment>
    <comment ref="C182" authorId="0" shapeId="0" xr:uid="{27BE1A89-D65C-402C-A69E-ECF59D1CBE06}">
      <text>
        <r>
          <rPr>
            <b/>
            <sz val="9"/>
            <color indexed="81"/>
            <rFont val="Tahoma"/>
            <family val="2"/>
          </rPr>
          <t>Le cas 3 se rapporte aux filières dans lesquelles l'électricité nécessaire au procédé est fournie par le réseau et la chaleur industrielle est fournie par une chaudière au biogaz. Ce cas s'applique à certaines installations dans lesquelles le moteur de cogénération n'est pas situé sur le site et le biogaz est vendu (mais non valorisé en biométhane).</t>
        </r>
      </text>
    </comment>
    <comment ref="C183" authorId="0" shapeId="0" xr:uid="{C20FEF09-BED0-4941-B9C2-49A83D9916DD}">
      <text>
        <r>
          <rPr>
            <b/>
            <sz val="9"/>
            <color indexed="81"/>
            <rFont val="Tahoma"/>
            <family val="2"/>
          </rPr>
          <t>Le cas 3 se rapporte aux filières dans lesquelles l'électricité nécessaire au procédé est fournie par le réseau et la chaleur industrielle est fournie par une chaudière au biogaz. Ce cas s'applique à certaines installations dans lesquelles le moteur de cogénération n'est pas situé sur le site et le biogaz est vendu (mais non valorisé en biométhane).</t>
        </r>
      </text>
    </comment>
  </commentList>
</comments>
</file>

<file path=xl/sharedStrings.xml><?xml version="1.0" encoding="utf-8"?>
<sst xmlns="http://schemas.openxmlformats.org/spreadsheetml/2006/main" count="967" uniqueCount="415">
  <si>
    <t>Type de production</t>
  </si>
  <si>
    <t>Cogénération</t>
  </si>
  <si>
    <t>Type de production de chaleur le cas échéant</t>
  </si>
  <si>
    <t>Vapeur</t>
  </si>
  <si>
    <t>Rendement électrique (%)</t>
  </si>
  <si>
    <t>Rendement thermique (%)</t>
  </si>
  <si>
    <t>Production d'électricité, à partir d'un combustible solide ou gazeux, en outre-mer?</t>
  </si>
  <si>
    <t>Température utile au point de fourniture (°C)</t>
  </si>
  <si>
    <t>Date de "mise en service" de l'installation
(format : JJ/MM/AAAA)</t>
  </si>
  <si>
    <t>Stockage du digestat</t>
  </si>
  <si>
    <t>Stockage ouvert (cas 1)</t>
  </si>
  <si>
    <t>Cas 1 "Stockage ouvert : temps de séjour en digesteur &lt; 80 jours sans post-digesteur + stockage du digestat avec ou sans croûte ;
Cas 2 "Stockage couvert" : digesteur + post-digesteur OU digesteur avec un temps de séjour &gt; 80 jours + stockage du digestat couvert ou stockage ouvert avec croûte ;
Cas 3 "Stockage couvert avec récupération : stockage couvert du digestat avec récupération de biogaz résiduel.</t>
  </si>
  <si>
    <t>Statut du digestat</t>
  </si>
  <si>
    <t>Produit</t>
  </si>
  <si>
    <t>"Déchet" qui fait l'objet d'un plan d'épandage ou bien "produit" qui peut être utilisé sans plan d'épandage.</t>
  </si>
  <si>
    <t>Configurations des unités de méthanisation en cogénération (vente en surplus / vente en totalité)</t>
  </si>
  <si>
    <t>Cas 1</t>
  </si>
  <si>
    <t>Cas 1 : filières dans lesquelles l'électricité et la chaleur nécessaires au procédé sont fournies par le moteur de cogénération lui-même.
Cas 2 : filières dans lesquelles l'électricité nécessaire au procédé est fournie par le réseau et la chaleur industrielle est fournie par le moteur de cogénération lui-même.
Cas 3 : filières dans lesquelles l'électricité nécessaire au procédé est fournie par le réseau et la chaleur industrielle est fournie par une chaudière au biogaz.</t>
  </si>
  <si>
    <t>Distance d'appro.</t>
  </si>
  <si>
    <t>Quantités en tonnes</t>
  </si>
  <si>
    <t>1.Réduction GES par défaut 
(donnée directive RED)</t>
  </si>
  <si>
    <t>Objectif GES atteint?</t>
  </si>
  <si>
    <t>Système volontaire utilisé pour la traçabilité du lot (certification du fournisseur direct)</t>
  </si>
  <si>
    <t>Commentaire</t>
  </si>
  <si>
    <t>Elec</t>
  </si>
  <si>
    <t>Chaleur</t>
  </si>
  <si>
    <t>France</t>
  </si>
  <si>
    <t>Allemagne</t>
  </si>
  <si>
    <t>Espagne</t>
  </si>
  <si>
    <t>Italie</t>
  </si>
  <si>
    <t>Belgique</t>
  </si>
  <si>
    <t>Plaquette forestière</t>
  </si>
  <si>
    <t>1A_PFA</t>
  </si>
  <si>
    <t>0-500km</t>
  </si>
  <si>
    <t>500-2 500km</t>
  </si>
  <si>
    <t>2 500-10 000km</t>
  </si>
  <si>
    <t>plus de 10 000km</t>
  </si>
  <si>
    <t xml:space="preserve">Bois hors forêt </t>
  </si>
  <si>
    <t>Plaquettes bocagères ou agroforestières</t>
  </si>
  <si>
    <t>1B_PFA</t>
  </si>
  <si>
    <t>1C_PFA</t>
  </si>
  <si>
    <t xml:space="preserve">Produits connexes des industries 
de transformation du bois </t>
  </si>
  <si>
    <t>Ecorces</t>
  </si>
  <si>
    <t>2A-CIB</t>
  </si>
  <si>
    <t>Plaquettes Produits Connexes de Scierie (PCS)</t>
  </si>
  <si>
    <t>2B-CIB</t>
  </si>
  <si>
    <t>Bois déchets</t>
  </si>
  <si>
    <t>Bois SSD sortis du statut de déchet</t>
  </si>
  <si>
    <t>3A_BFVBD</t>
  </si>
  <si>
    <t>3B_BFVBD</t>
  </si>
  <si>
    <t>3C_BFVBD</t>
  </si>
  <si>
    <t>Granulés</t>
  </si>
  <si>
    <t>4A_GR / C_1</t>
  </si>
  <si>
    <r>
      <t xml:space="preserve">Granulés bois (connexe) - production type 2
</t>
    </r>
    <r>
      <rPr>
        <sz val="8"/>
        <color theme="1"/>
        <rFont val="Calibri"/>
        <family val="2"/>
        <scheme val="minor"/>
      </rPr>
      <t>(issus de procédés dans lesquels une chaudière à bois déchiqueté (plaquettes forestières ou produits connexes des industries de transformation du bois), alimentée avec du bois déchiqueté séché au préalable, est utilisée pour fournir la chaleur in­ dustrielle. La presse à granulés est alimentée en électricité par le réseau)</t>
    </r>
  </si>
  <si>
    <t>4A_GR / C_2</t>
  </si>
  <si>
    <r>
      <t xml:space="preserve">Granulés bois (connexe) - production type 3
</t>
    </r>
    <r>
      <rPr>
        <sz val="8"/>
        <color theme="1"/>
        <rFont val="Calibri"/>
        <family val="2"/>
        <scheme val="minor"/>
      </rPr>
      <t>(issus de procédés dans lesquels une centrale de cogénération, alimentée avec du bois déchiqueté séché au préalable, est utilisée pour alimenter la presse à granulés en électricité et chaleur)</t>
    </r>
  </si>
  <si>
    <t>4A_GR / C_3</t>
  </si>
  <si>
    <t>4A_GR / F_1</t>
  </si>
  <si>
    <r>
      <t xml:space="preserve">Granulés bois (forestier) - production type 2
</t>
    </r>
    <r>
      <rPr>
        <sz val="8"/>
        <color theme="1"/>
        <rFont val="Calibri"/>
        <family val="2"/>
        <scheme val="minor"/>
      </rPr>
      <t>(issus de procédés dans lesquels une chaudière à bois déchiqueté (plaquettes forestières ou produits forestiers des industries de transformation du bois), alimentée avec du bois déchiqueté séché au préalable, est utilisée pour fournir la chaleur in­ dustrielle. La presse à granulés est alimentée en électricité par le réseau)</t>
    </r>
  </si>
  <si>
    <t>4A_GR / F_2</t>
  </si>
  <si>
    <r>
      <t xml:space="preserve">Granulés bois (forestier) - production type 3
</t>
    </r>
    <r>
      <rPr>
        <sz val="8"/>
        <color theme="1"/>
        <rFont val="Calibri"/>
        <family val="2"/>
        <scheme val="minor"/>
      </rPr>
      <t>(issus de procédés dans lesquels une centrale de cogénération, alimentée avec du bois déchiqueté séché au préalable, est utilisée pour alimenter la presse à granulés en électricité et chaleur)</t>
    </r>
  </si>
  <si>
    <t>4A_GR / F_3</t>
  </si>
  <si>
    <t>Liqueur noire</t>
  </si>
  <si>
    <t>sur site</t>
  </si>
  <si>
    <t>Boue papetière</t>
  </si>
  <si>
    <t>N° de lot</t>
  </si>
  <si>
    <t>3. Valeur réelle 
(ex : calcul par outil filière)</t>
  </si>
  <si>
    <t>Type de combustible</t>
  </si>
  <si>
    <t>Distance de collecte (km)</t>
  </si>
  <si>
    <r>
      <t xml:space="preserve">Potentiel méthanogène en Nm3/t MB
</t>
    </r>
    <r>
      <rPr>
        <b/>
        <sz val="11"/>
        <color theme="1"/>
        <rFont val="Calibri"/>
        <family val="2"/>
        <scheme val="minor"/>
      </rPr>
      <t>(installation de métha.)</t>
    </r>
  </si>
  <si>
    <r>
      <t xml:space="preserve">Biogaz produit à partir du lot (MJ)
</t>
    </r>
    <r>
      <rPr>
        <b/>
        <sz val="11"/>
        <color theme="1"/>
        <rFont val="Calibri"/>
        <family val="2"/>
        <scheme val="minor"/>
      </rPr>
      <t>(installation de métha.)</t>
    </r>
  </si>
  <si>
    <r>
      <t xml:space="preserve">Culture principale?
</t>
    </r>
    <r>
      <rPr>
        <b/>
        <sz val="11"/>
        <color theme="1"/>
        <rFont val="Calibri"/>
        <family val="2"/>
        <scheme val="minor"/>
      </rPr>
      <t>(installation de métha.)</t>
    </r>
  </si>
  <si>
    <t>Précision sur le combustible (ex : G2000)</t>
  </si>
  <si>
    <t>Graisses de station d’épuration</t>
  </si>
  <si>
    <t xml:space="preserve">Boues de station d’épuration </t>
  </si>
  <si>
    <t>TOTAL approvisionnements (t)</t>
  </si>
  <si>
    <t>Date de mise en service de l'installation de production de bioliquides</t>
  </si>
  <si>
    <t>Electricité seule</t>
  </si>
  <si>
    <t>Avant le 6 octobre 2015</t>
  </si>
  <si>
    <t>Chaleur/froid seul(e)</t>
  </si>
  <si>
    <t>Entre le 6 octobre 2015 et le 31 décembre 2020</t>
  </si>
  <si>
    <t>A partir du 1er janvier 2021</t>
  </si>
  <si>
    <t>Déchet</t>
  </si>
  <si>
    <t>Date inconnue</t>
  </si>
  <si>
    <t>Non renseigné</t>
  </si>
  <si>
    <t>Eau chaude</t>
  </si>
  <si>
    <t>2BSvs</t>
  </si>
  <si>
    <t>Eau chaude et vapeur</t>
  </si>
  <si>
    <t>ISCC EU</t>
  </si>
  <si>
    <t>Process industriel</t>
  </si>
  <si>
    <t>SBP</t>
  </si>
  <si>
    <t>Cas 2</t>
  </si>
  <si>
    <t>SURE</t>
  </si>
  <si>
    <t>Cas 3</t>
  </si>
  <si>
    <t>Sans objet</t>
  </si>
  <si>
    <t>PEFC (attente de reconnaissance)</t>
  </si>
  <si>
    <t>OUI</t>
  </si>
  <si>
    <t>Better Biomass</t>
  </si>
  <si>
    <t>NON</t>
  </si>
  <si>
    <t>Bonsucro EU</t>
  </si>
  <si>
    <t>KZR INiG System</t>
  </si>
  <si>
    <t>Stockage couvert (cas 2)</t>
  </si>
  <si>
    <t>REDCert</t>
  </si>
  <si>
    <t>Stockage couvert avec récupération (cas 3)</t>
  </si>
  <si>
    <t>Red Tractor</t>
  </si>
  <si>
    <t>RSB EU RED</t>
  </si>
  <si>
    <t>Autre</t>
  </si>
  <si>
    <t>Plaquettes bocagères ou agroforestières : 1B_PFA</t>
  </si>
  <si>
    <t>RTRS EU RED</t>
  </si>
  <si>
    <t>SQC</t>
  </si>
  <si>
    <t>Attestation GES</t>
  </si>
  <si>
    <t>Ecorces 2A-CIB</t>
  </si>
  <si>
    <t>TASCC</t>
  </si>
  <si>
    <t>Plaquettes Produits Connexes de Scierie (PCS) 2B-CIB</t>
  </si>
  <si>
    <t>UFAS</t>
  </si>
  <si>
    <t>Bois SSD sortis du statut de déchet 3A_BFVBD</t>
  </si>
  <si>
    <t>AACS</t>
  </si>
  <si>
    <t>Déchets de bois non dangereux 2910-B ICPE 3B_BFVBD</t>
  </si>
  <si>
    <t>Pas de certification</t>
  </si>
  <si>
    <t>Déchets de bois non dangereux 2771 ICPE 3C_BFVBD</t>
  </si>
  <si>
    <t>Déchets de bois  dangereux 2770 ICPE 3D_BFVBD</t>
  </si>
  <si>
    <t xml:space="preserve">Granulés bois 4A_GR </t>
  </si>
  <si>
    <t>Etat de la certification</t>
  </si>
  <si>
    <t>Granulés bois d'origine agricole 4B_GR</t>
  </si>
  <si>
    <t>En place</t>
  </si>
  <si>
    <t>Granulés bois traités thermiquement 4C_GR</t>
  </si>
  <si>
    <t>Démarche en cours</t>
  </si>
  <si>
    <t>Démarche non lancée</t>
  </si>
  <si>
    <t>Inconnu du déclarant</t>
  </si>
  <si>
    <t>Biogaz</t>
  </si>
  <si>
    <t>Lisier</t>
  </si>
  <si>
    <t xml:space="preserve">Fumier </t>
  </si>
  <si>
    <t xml:space="preserve">Ensilage de cultures dédiées </t>
  </si>
  <si>
    <t xml:space="preserve">Ensilage de cultures intermédaires à vocation énergétique (CIVE) </t>
  </si>
  <si>
    <t xml:space="preserve">Ensilage herbe de prairie temporaire </t>
  </si>
  <si>
    <t xml:space="preserve">Ensilage herbe de culture permanente </t>
  </si>
  <si>
    <t xml:space="preserve">Déchets végétaux ensilés </t>
  </si>
  <si>
    <t xml:space="preserve">Résidus de culture (pailles) </t>
  </si>
  <si>
    <t>Déchets graisseux pâteux/solides agricoles</t>
  </si>
  <si>
    <t xml:space="preserve">Décharge (ISDND) </t>
  </si>
  <si>
    <t xml:space="preserve">Station d'épuration des eaux urbaines </t>
  </si>
  <si>
    <t xml:space="preserve">Autre produit agricole, co-produit agricole déjà certifié RED II </t>
  </si>
  <si>
    <t>Déchets IAA liquides (&lt;20% MS)</t>
  </si>
  <si>
    <t xml:space="preserve">Déchets IAA pâteux/solides (&gt;20% MS) </t>
  </si>
  <si>
    <t>Déchets graisseux pâteux/solides industriels</t>
  </si>
  <si>
    <t>Déchets liquides industriels</t>
  </si>
  <si>
    <t>Autre type de bioliquide (préciser)</t>
  </si>
  <si>
    <t>Autre type de combustible solide (préciser)</t>
  </si>
  <si>
    <t>Autres biodéchets industriels</t>
  </si>
  <si>
    <t>Autres biodéchets d'activités économiques non industrielles</t>
  </si>
  <si>
    <t>Déchets ménagers et assimilés</t>
  </si>
  <si>
    <t>Numéro de lot</t>
  </si>
  <si>
    <t>Calcul GES en valeur réelle</t>
  </si>
  <si>
    <t>Contrôle</t>
  </si>
  <si>
    <t>Eec (gCO2/MJ)</t>
  </si>
  <si>
    <t>El (gCO2/MJ)</t>
  </si>
  <si>
    <t>Ep (gCO2/MJ)</t>
  </si>
  <si>
    <t>Etd (gCO2/MJ)</t>
  </si>
  <si>
    <t>Eu (gCO2/MJ)</t>
  </si>
  <si>
    <t>Esca (gCO2/MJ)</t>
  </si>
  <si>
    <t>Eccs (gCO2/MJ)</t>
  </si>
  <si>
    <t>Eccr (gCO2/MJ)</t>
  </si>
  <si>
    <t>Etotal (gCO2e/MJ)</t>
  </si>
  <si>
    <t>Rendement élec.</t>
  </si>
  <si>
    <t>Rendement thermique</t>
  </si>
  <si>
    <t>Température utile Th</t>
  </si>
  <si>
    <t>ECel</t>
  </si>
  <si>
    <t>ECh</t>
  </si>
  <si>
    <t>Date de mise en service de l'installation de production d'élec./chaleur</t>
  </si>
  <si>
    <t>VPD</t>
  </si>
  <si>
    <t>Réel</t>
  </si>
  <si>
    <t>En cas d'utilisation de plaquettes bocagères ou agroforestières:</t>
  </si>
  <si>
    <t xml:space="preserve">A compléter : </t>
  </si>
  <si>
    <t>En cas d'utilisation de bois SSD sortis du statut de déchet :</t>
  </si>
  <si>
    <t>En cas d'utilisation de déchets de bois non dangereux rubrique réglementaire 2910-B ICPE BR1 :</t>
  </si>
  <si>
    <t>En cas d'utilisation de déchets de bois non dangereux rubrique réglementaire 2771 ICPE BR2 :</t>
  </si>
  <si>
    <t>En cas d'utilisation de liqueurs noires :</t>
  </si>
  <si>
    <t>En cas d'utilisation de boues papetières :</t>
  </si>
  <si>
    <t>Efficacité énergétique des installations produisant de l'électricité</t>
  </si>
  <si>
    <t>En application de l'article L. 281-11 du code de l'énergie, l'électricité produite à partir de biomasse doit respecter l'une ou plusieurs des conditions suivantes. Merci de préciser quelle option correspond à votre situation :</t>
  </si>
  <si>
    <t>1° Etre produite dans des installations dont la puissance thermique nominale totale est inférieure à 50 MW ;</t>
  </si>
  <si>
    <t>2° Pour les installations dont la puissance thermique nominale totale se situe entre 50 et 100 MW, être produite au moyen d'une technologie de cogénération à haut rendement ou dans une installation exclusivement électrique respectant un niveau d'efficacité énergétique associé aux meilleures technologies disponibles, au sens de la décision d'exécution prévue au paragraphe 5 de l'article 13 de la directive 2010/75/ UE du Parlement européen et du Conseil du 24 novembre 2010 relative aux émissions industrielles (prévention et réduction intégrées de la pollution), pour les grandes installations de combustion ;</t>
  </si>
  <si>
    <t>3° Pour les installations dont la puissance thermique nominale totale est supérieure à 100 MW, être produite au moyen d'une technologie de cogénération à haut rendement ou dans une installation exclusivement électrique atteignant un rendement électrique net d'au moins 36 % ;</t>
  </si>
  <si>
    <t>4° Etre produite dans des installations procédant au captage et au stockage de CO2 issu de la biomasse.</t>
  </si>
  <si>
    <t>Situation du lot en termes d'émission de GES</t>
  </si>
  <si>
    <t>Explication/référence</t>
  </si>
  <si>
    <t>Lot non soumis : solide ou gazeux, et entrée en service de l'installation &lt; 01/01/2021</t>
  </si>
  <si>
    <t xml:space="preserve">Rappel : une installation est considérée comme mise en service une fois que la production physique de biocarburants, de bioliquides, de biogaz, de chaleur et de froid ou d'électricité à partir de combustibles issus de la biomasse y a débuté. </t>
  </si>
  <si>
    <t>Lot non soumis : "déchets ménagers et assimilés" solides</t>
  </si>
  <si>
    <t>Cf article R. 2224-23 du Code Générale des Collectivités Territoriales des déchets ménagers et déchets assimilés</t>
  </si>
  <si>
    <t>Lot soumis aux exigences GES</t>
  </si>
  <si>
    <t>50% pour bioliquides</t>
  </si>
  <si>
    <t>Cf L. 281-5 du code de l'énergie</t>
  </si>
  <si>
    <t>60% pour bioliquides</t>
  </si>
  <si>
    <t>65% pour bioliquides</t>
  </si>
  <si>
    <t>70% pour combustible solide ou gazeux</t>
  </si>
  <si>
    <t>Cf L. 281-6 du code de l'énergie</t>
  </si>
  <si>
    <t>80% pour combustible solide ou gazeux</t>
  </si>
  <si>
    <t>Combustible fossile de référence</t>
  </si>
  <si>
    <t>Production d'électricité /bioliquides, solide, gazeux</t>
  </si>
  <si>
    <t>Production de chaleur ou froid /bioliquides, solide, gazeux</t>
  </si>
  <si>
    <t>Production d'électricité /solide ou gazeux en outre-mer</t>
  </si>
  <si>
    <t>Outre-mer</t>
  </si>
  <si>
    <t>Type de biomasse</t>
  </si>
  <si>
    <t>Annexe VI  directive RED II</t>
  </si>
  <si>
    <t>Distances</t>
  </si>
  <si>
    <t>Identifiant</t>
  </si>
  <si>
    <t xml:space="preserve">chaleur </t>
  </si>
  <si>
    <t>électricité</t>
  </si>
  <si>
    <t>Valeur GES représentative</t>
  </si>
  <si>
    <t>ECch</t>
  </si>
  <si>
    <t>Eec (Culture)</t>
  </si>
  <si>
    <t>Ep (transformation)</t>
  </si>
  <si>
    <t>Etd (Transport et distribution)</t>
  </si>
  <si>
    <t>Eu (émissions hors CO2 de l'utilisation)</t>
  </si>
  <si>
    <t>Bois SSD sortis du statut de déchet (des emballages en bois)</t>
  </si>
  <si>
    <t>Déchets de bois non dangereux rubrique
réglementaire 2910-B ICPE 
BR1 - classification CSF bois déchet</t>
  </si>
  <si>
    <t>Déchets de bois non dangereux rubrique
réglementaire 2771 ICPE 
BR2 - classification CSF bois déchet</t>
  </si>
  <si>
    <t>Granulés bois issus de connexes</t>
  </si>
  <si>
    <t>issus de procédés dan lesquels une chaudière au gaz naturel est utilisée pour fournir la chaleur industrielle à la presse à granulés, qui est alimentée en électricité par le réseau.</t>
  </si>
  <si>
    <t>issus de procédés dans lesquels une chaudière à bois déchiqueté (plaquettes forestières ou produits connexes des industries de transformation du bois), alimentée avec du bois déchiqueté séché au préalable, est utilisée pour fournir la chaleur in­ dustrielle. La presse à granulés est alimentée en électricité par le réseau</t>
  </si>
  <si>
    <t>issus de procédés dans lesquels une centrale de cogénération, alimentée avec du bois déchiqueté séché au préalable, est utilisée pour alimenter la presse à granulés en électricité et chaleur.</t>
  </si>
  <si>
    <t>Granulés bois issus de bois forestiers</t>
  </si>
  <si>
    <t>OUI/NON</t>
  </si>
  <si>
    <t>Contrôle GES sur combustibles solides et gazeux</t>
  </si>
  <si>
    <t>Contrôle GES sur combustibles liquides</t>
  </si>
  <si>
    <t>Rappel type de biomasse</t>
  </si>
  <si>
    <t>Format : "Lot X"</t>
  </si>
  <si>
    <t>Contrôle interne (ne pas modifier)</t>
  </si>
  <si>
    <t>Bois rond</t>
  </si>
  <si>
    <t>2. Réduction GES représentative 
(donnée filière bois énergie)</t>
  </si>
  <si>
    <t>Sans objet : combustible non utilisé d'après l'onglet "Déclaration", ou utilisé sans se référer aux valeurs représentatives de la filière bois énergie</t>
  </si>
  <si>
    <t>Rendements énergétiques</t>
  </si>
  <si>
    <t>Explication</t>
  </si>
  <si>
    <t>Résidus papetiers</t>
  </si>
  <si>
    <t>Résidus agricoles d'une densité &lt; 0,2 t/m 3 (*)</t>
  </si>
  <si>
    <t>(*) Le présent groupe de matières comprend les résidus agricoles à faible densité en vrac et notamment des matières telles que les balles de paille, les écales d'avoine, les balles de riz et les balles de bagasse (liste non exhaustive).</t>
  </si>
  <si>
    <t>Résidus agricoles d'une densité &gt; 0,2 t/m 3 (**)</t>
  </si>
  <si>
    <t>Paille granulée</t>
  </si>
  <si>
    <t>Résidus de transformation</t>
  </si>
  <si>
    <t>Bois déchet</t>
  </si>
  <si>
    <t>500-10 000km</t>
  </si>
  <si>
    <t>Briquettes de bagasse</t>
  </si>
  <si>
    <t>Tourteau de palmiste</t>
  </si>
  <si>
    <t>Tourteau de palmiste (pas d'émissions de CH 4 provenant de l'huilerie)</t>
  </si>
  <si>
    <t>Bloc 2 : autres types d'approvisionnements avec valeur par défaut dans la directive RED</t>
  </si>
  <si>
    <t>Fumier humide</t>
  </si>
  <si>
    <t>Les valeurs de la production de biogaz à partir de fumier comprennent les émissions négatives correspondant aux émissions évitées grâce à la gestion du fumier frais. La valeur e sca considérée est égale à - 45 gCO 2 eq/MJ de fumier utilisé en digestion anaérobique.</t>
  </si>
  <si>
    <t>Digestat ouvert</t>
  </si>
  <si>
    <t>Digestat fermé</t>
  </si>
  <si>
    <t>Par «plant de maïs entier», on entend le maïs récolté comme fourrage et ensilé pour le conserver.</t>
  </si>
  <si>
    <t>Plant de maïs entier</t>
  </si>
  <si>
    <t>Biodéchets</t>
  </si>
  <si>
    <t>Fumier - maïs 60% - 40%</t>
  </si>
  <si>
    <t>Fumier - maïs 80% - 20%</t>
  </si>
  <si>
    <t>Fumier - maïs 70% - 30%</t>
  </si>
  <si>
    <t>Bois hors forêt</t>
  </si>
  <si>
    <t>Plaquette provenant de taillis à courte rotation (eucalyptus)</t>
  </si>
  <si>
    <t>Plaquettes forestières provenant de taillis à courte rotation (peuplier — fertilisé)</t>
  </si>
  <si>
    <t>Plaquettes forestières provenant de taillis à courte rotation (peuplier — pas de fertilisation)</t>
  </si>
  <si>
    <t>par défaut à partir de rémanents forestiers (pour plaquette issue de billons, d'eucalyptus ou peuplier : voir plus bas)</t>
  </si>
  <si>
    <t>Plaquettes forestières issue de billons</t>
  </si>
  <si>
    <t>Briquettes ou granulés de bois provenant de taillis à courte rotation (eucalyptus)</t>
  </si>
  <si>
    <t>Briquettes ou granulés de bois provenant de taillis à courte rotation (peuplier — fertilisé)</t>
  </si>
  <si>
    <t>Briquettes ou granulés de bois provenant de taillis à courte rotation (peuplier — pas de fertilisation)</t>
  </si>
  <si>
    <t>Briquettes ou granulés de bois issus de billons</t>
  </si>
  <si>
    <t>Esca</t>
  </si>
  <si>
    <t>Combustibles du Bloc 1 de l'onglet "1. Déclaration"</t>
  </si>
  <si>
    <t>Combustibles du Bloc 2 de l'onglet "1. Déclaration"</t>
  </si>
  <si>
    <t>Cas</t>
  </si>
  <si>
    <t>Bloc 4 : autres biomasses agricoles et autres déchets/résidus industriels avec calculs GES réels</t>
  </si>
  <si>
    <t>Divers cas "biogaz électricité)</t>
  </si>
  <si>
    <t>Cas 1/Digestat ouvert</t>
  </si>
  <si>
    <t>Cas 1/Digestat fermé</t>
  </si>
  <si>
    <t>Cas 2/Digestat ouvert</t>
  </si>
  <si>
    <t>Cas 2/Digestat fermé</t>
  </si>
  <si>
    <t>Cas 3/Digestat ouvert</t>
  </si>
  <si>
    <t>Cas 3/Digestat fermé</t>
  </si>
  <si>
    <t>Bloc 4 : Biogaz, biomasse agricole, autres déchets et résidus</t>
  </si>
  <si>
    <t>Température utile en cogénération</t>
  </si>
  <si>
    <r>
      <t xml:space="preserve">Date de mise en service de l'installation de production </t>
    </r>
    <r>
      <rPr>
        <b/>
        <sz val="11"/>
        <color theme="1"/>
        <rFont val="Calibri"/>
        <family val="2"/>
        <scheme val="minor"/>
      </rPr>
      <t>du bioliquide</t>
    </r>
  </si>
  <si>
    <t>Solide uniquement
(*) Le présent groupe de matières comprend les résidus agricoles à faible densité en vrac et notamment des matières telles que les balles de paille, les écales d'avoine, les balles de riz et les balles de bagasse (liste non exhaustive).</t>
  </si>
  <si>
    <t>Solide uniquement
(**) Le groupe des résidus agricoles à densité en vrac plus élevée comprend des matières telles que les râpes de maïs, les coques de noix, les coques de soja, les enveloppes de coeur de palmier (liste non exhaustive).</t>
  </si>
  <si>
    <t>Référentiel ADEME</t>
  </si>
  <si>
    <t>Valeurs par défaut (VPD) de l'annexe VI  directive RED II</t>
  </si>
  <si>
    <t>Valeurs représentatives CIBE (décembre 2023)</t>
  </si>
  <si>
    <t>Valeurs par défaut de l'annexe VI  directive RED II / Valeurs représentatives CIBE (décembre 2023) pour les lignes en gras-italique</t>
  </si>
  <si>
    <t>Plaquettes paysagères ligneuses résiduelles</t>
  </si>
  <si>
    <t>Plaquette forestière issue de rémanents</t>
  </si>
  <si>
    <t>En cas d'utilisation de plaquettes paysagères ligneuses résiduelles :</t>
  </si>
  <si>
    <t>Filière de production des biocarburants et des bioliquides</t>
  </si>
  <si>
    <t>Émissions de gaz à effet de serre</t>
  </si>
  <si>
    <r>
      <t>— valeurs types (gCO</t>
    </r>
    <r>
      <rPr>
        <vertAlign val="subscript"/>
        <sz val="7"/>
        <color theme="1"/>
        <rFont val="Times New Roman"/>
        <family val="1"/>
      </rPr>
      <t>2</t>
    </r>
    <r>
      <rPr>
        <sz val="7"/>
        <color theme="1"/>
        <rFont val="Times New Roman"/>
        <family val="1"/>
      </rPr>
      <t>eq/MJ)</t>
    </r>
  </si>
  <si>
    <r>
      <t>— valeurs par défaut (gCO</t>
    </r>
    <r>
      <rPr>
        <vertAlign val="subscript"/>
        <sz val="7"/>
        <color theme="1"/>
        <rFont val="Times New Roman"/>
        <family val="1"/>
      </rPr>
      <t>2</t>
    </r>
    <r>
      <rPr>
        <sz val="7"/>
        <color theme="1"/>
        <rFont val="Times New Roman"/>
        <family val="1"/>
      </rPr>
      <t>eq/MJ)</t>
    </r>
  </si>
  <si>
    <t>Éthanol de betterave</t>
  </si>
  <si>
    <t>Éthanol de maïs</t>
  </si>
  <si>
    <t>Éthanol d'autres céréales à l'exclusion de l'éthanol de maïs</t>
  </si>
  <si>
    <t>Éthanol de canne à sucre</t>
  </si>
  <si>
    <t>Fraction de l'ETBE issue de sources renouvelables</t>
  </si>
  <si>
    <t>Mêmes valeurs que pour la filière de production de l'éthanol choisie</t>
  </si>
  <si>
    <t>Fraction du TAEE issue de sources renouvelables</t>
  </si>
  <si>
    <t>Biogazole de colza</t>
  </si>
  <si>
    <t>Biogazole de tournesol</t>
  </si>
  <si>
    <t>Biogazole de soja</t>
  </si>
  <si>
    <t>Biogazole d’huile de palme</t>
  </si>
  <si>
    <t>Biogazole d'huiles de cuisson usagées</t>
  </si>
  <si>
    <t>Biogazole provenant de graisses animales fondues (**)</t>
  </si>
  <si>
    <t>Huile végétale hydrotraitée, colza</t>
  </si>
  <si>
    <t>Huile végétale hydrotraitée, tournesol</t>
  </si>
  <si>
    <t>Huile végétale hydrotraitée, soja</t>
  </si>
  <si>
    <t>Huile végétale hydrotraitée, huile de palme</t>
  </si>
  <si>
    <t>Huile hydrotraitée provenant d'huiles de cuisson usagées</t>
  </si>
  <si>
    <t>Huile hydrotraitée provenant de graisses animales fondues (**)</t>
  </si>
  <si>
    <t>Huile végétale pure, colza</t>
  </si>
  <si>
    <t>Huile végétale pure, tournesol</t>
  </si>
  <si>
    <t>Huile végétale pure, soja</t>
  </si>
  <si>
    <t>Huile végétale pure, huile de palme</t>
  </si>
  <si>
    <t>Huile provenant d'huiles de cuisson usagées</t>
  </si>
  <si>
    <t>Eec</t>
  </si>
  <si>
    <t>Après couverture des auxiliaires, produite par l'installation biomasse (= périmètre des unités techniques consommant de la biomasse en tout ou partie des combustibles)</t>
  </si>
  <si>
    <t>Pays d'origine (tonnage de chaque pays)</t>
  </si>
  <si>
    <t>Part du lot (en t) bénéficiant d'une certification en place</t>
  </si>
  <si>
    <t>Système volontaire couvrant l'installation</t>
  </si>
  <si>
    <t>N° de certificat RED de l'installation</t>
  </si>
  <si>
    <t>Puissance thermique nominale totale de l'installation (MW PCI) au sens RED</t>
  </si>
  <si>
    <t>Pour la RED : somme des puissances thermiques de toutes les unités techniques qui la composent, pouvant fonctionner simultanément et dans lesquelles des combustibles ou carburants issus de biomasse ou des bioliquides sont utilisés. Ces puissances sont fixées et garanties par le constructeur, exprimées en pouvoir calorifique inférieur et susceptibles d'être consommées en marche continue.</t>
  </si>
  <si>
    <t>Puissance thermique nominale totale de l'installation (MW PCI) au sens de l'ETS</t>
  </si>
  <si>
    <t>Uniquement pour les installations ETS</t>
  </si>
  <si>
    <r>
      <t xml:space="preserve">Pays d'origine (tonnage de chaque pays)
</t>
    </r>
    <r>
      <rPr>
        <b/>
        <sz val="11"/>
        <color theme="1"/>
        <rFont val="Calibri"/>
        <family val="2"/>
        <scheme val="minor"/>
      </rPr>
      <t>1 seul pays par ligne</t>
    </r>
  </si>
  <si>
    <t>Le cas échéant, si certification de l'installation en place</t>
  </si>
  <si>
    <t>Production annuelle d'électricité divisée par l'apport annuel de combustible sur la base de son contenu énergétique.
A renseigner si au moins un des approvisionnements en biomasse est soumis au critère GES.</t>
  </si>
  <si>
    <t>Production annuelle de chaleur utile divisée par l'apport annuel de combustible sur la base de son contenu énergétique.
A renseigner si au moins un des approvisionnements en biomasse est soumis au critère GES.</t>
  </si>
  <si>
    <t>Uniquement pour les cas de cogénération</t>
  </si>
  <si>
    <t>Lacune détectée sur calcul GES</t>
  </si>
  <si>
    <t>Contrôle sur bioliquides</t>
  </si>
  <si>
    <t>Une installation est considérée comme mise en service une fois que la production physique de biocarburants, de bioliquides, de biogaz, de chaleur et de froid ou d'électricité à partir de combustibles issus de la biomasse y a débuté (date de 1ère utilisation de la biomasse)</t>
  </si>
  <si>
    <t>Numéro d’identification ETS de l'installation</t>
  </si>
  <si>
    <t>Uniquement pour les installations ETS : https://www.legifrance.gouv.fr/loda/id/JORFTEXT000044537559/2024-01-12/</t>
  </si>
  <si>
    <t>Descriptif des approvisionnements</t>
  </si>
  <si>
    <t>Bloc 1 : référentiel ADEME, résidus papetiers (valeurs GES par défaut ou représentatives)</t>
  </si>
  <si>
    <t>Seuil à respecter</t>
  </si>
  <si>
    <r>
      <t xml:space="preserve">Cas 1/2/3 - Digestat ouvert/fermé </t>
    </r>
    <r>
      <rPr>
        <b/>
        <sz val="11"/>
        <color theme="1"/>
        <rFont val="Calibri"/>
        <family val="2"/>
        <scheme val="minor"/>
      </rPr>
      <t>(uniquement pour électricité à partir de biogaz)</t>
    </r>
  </si>
  <si>
    <t>Bloc 3 : Référentiel ADEME, bois rond, autres granulés et combustibles avec calculs GES réels</t>
  </si>
  <si>
    <t>Systèmes volontaires actuellement reconnus/en phase de reconnaissance au niveau UE</t>
  </si>
  <si>
    <t>Plaquettes bocagères / bois de verger</t>
  </si>
  <si>
    <t>1B_PFA(V)</t>
  </si>
  <si>
    <t>1B_PFA (V)</t>
  </si>
  <si>
    <t>Si pas de certificat, date prévue de l'audit (format : JJ/MM/AAAA)</t>
  </si>
  <si>
    <t>Le cas échéant, si certification de l'installation à venir</t>
  </si>
  <si>
    <t>En cas d'utilisation de biomasse forestière :</t>
  </si>
  <si>
    <t>En cas d'utilisation de biomasse agricole :</t>
  </si>
  <si>
    <t>Déclaration individuelle concernant les données relatives à la durabilité de la biomasse (critère "amont" concernant l'origine de la biomasse)</t>
  </si>
  <si>
    <t>En cas d'utilisation de plaquettes bocagère / bois de verger</t>
  </si>
  <si>
    <t>Plaquettes bocagères / bois de verger : 1B_PFA (V)</t>
  </si>
  <si>
    <t>Rendt élec.</t>
  </si>
  <si>
    <t>Rendt therm.</t>
  </si>
  <si>
    <t>T° utile Th</t>
  </si>
  <si>
    <t>Valeur fossile de réf. élec.</t>
  </si>
  <si>
    <t>Réduc. totale calculée élec.</t>
  </si>
  <si>
    <t>Valeur fossile de réf. chaleur</t>
  </si>
  <si>
    <t>Réduc. totale calculée chaleur</t>
  </si>
  <si>
    <t>Uniquement pour les installations concernées par les exigences du code de l'énergie (non applicable dans le cadre de l'ETS).
L'article L. 281-11 du code de l'énergie concernant l'efficacité énergétique ne s'applique qu'aux installations "mises en service" ou converties à l'utilisation de combustibles ou carburants issus de la biomasse après le 25 décembre 2021.
Dans le contexte de ce formulaire, une installation est considérée comme mise en service une fois que la production physique de biocarburants, de bioliquides, de biogaz, de chaleur et de froid ou d'électricité à partir de combustibles issus de la biomasse y a débuté.</t>
  </si>
  <si>
    <t>Problème sur l'atteinte des seuils GES</t>
  </si>
  <si>
    <t>Données GES renseignées</t>
  </si>
  <si>
    <t>Valeur par défaut ou représentative / valeur réelle sur un même lot</t>
  </si>
  <si>
    <t>Point de contrôle</t>
  </si>
  <si>
    <t>Problème identifiée?</t>
  </si>
  <si>
    <t>Descriptif de l'installation de production d'électricité et/ou de chaleur/froid</t>
  </si>
  <si>
    <t>Uniquement pour les installations produisant du biogaz en première étape :</t>
  </si>
  <si>
    <t>Déchets de bois non dangereux rubrique réglementaire 2910-B ICPE BR1 -  classification  bois déchet ADEME**</t>
  </si>
  <si>
    <t>Déchets de bois non dangereux rubrique réglementaire 2771 ICPE BR2 - classification  bois déchet ADEME**</t>
  </si>
  <si>
    <r>
      <t xml:space="preserve">Granulés bois (connexe) - production type 1
</t>
    </r>
    <r>
      <rPr>
        <sz val="8"/>
        <color theme="1"/>
        <rFont val="Calibri"/>
        <family val="2"/>
        <scheme val="minor"/>
      </rPr>
      <t>(issus de procédés dans lesquels une chaudière au gaz naturel est utilisée pour fournir la chaleur industrielle à la presse à granulés, qui est alimentée en électricité par le réseau)</t>
    </r>
  </si>
  <si>
    <r>
      <t xml:space="preserve">Granulés bois (forestier) - production type 1
</t>
    </r>
    <r>
      <rPr>
        <sz val="8"/>
        <color theme="1"/>
        <rFont val="Calibri"/>
        <family val="2"/>
        <scheme val="minor"/>
      </rPr>
      <t>(issus de procédés dans lesquels une chaudière au gaz naturel est utilisée pour fournir la chaleur industrielle à la presse à granulés, qui est alimentée en électricité par le réseau)</t>
    </r>
  </si>
  <si>
    <t>Je déclare avoir pris connaissance des hypothèses utilisées pour le calcul des données de réduction de GES représentatives utilisées pour la présente déclaration et j'atteste que ces hypothèses sont bien représentatives de la situation de mon installation. En cas d'invalidation de ces hypothèses lors d'un audit par un organisme certificateur indépendant, j'atteste être informé de la nécessité d'effectuer un calcul corrigé pour toutes les données qui seront déclarées postérieurement à cet audit</t>
  </si>
  <si>
    <t>Plaquette forestière issue de rémanents 1A_PFA</t>
  </si>
  <si>
    <t>Plaquettes paysagères ligneuses résiduelles : 1C_PFA</t>
  </si>
  <si>
    <t xml:space="preserve">L’onglet « 4. Attestations GES » est à compléter dès lors que l’opérateur utilise l’une des catégories de biomasse ci-dessous dans l’onglet 1, et que l’opérateur a recouru à des valeurs représentatives de la filière bois-énergie déjà renseignées dans le tableur :
•	soit en utilisant le bloc 1 de déclaration avec des valeurs globales (valeur GES représentative automatiquement renseignée), 
•	soit en utilisant le bloc 3 et en utilisant certaines des « valeurs par défaut détaillées » qui doivent être renseignées comme des valeurs par défaut détaillées (colonnes C, G, I, K de l’onglet 2). 
Ces valeurs représentatives sont résumées dans le rapport d'étude "Constitution de valeurs GES dans la filière bois-énergie française (directive RED II)" : https://cibe.fr/wp-content/uploads/2024/02/240205_GES_REDII_CIBE-dif.pdf </t>
  </si>
  <si>
    <t>Région administrative de l'installation</t>
  </si>
  <si>
    <t>Nom de l'installation / entreprise</t>
  </si>
  <si>
    <r>
      <t xml:space="preserve">Autre pays </t>
    </r>
    <r>
      <rPr>
        <b/>
        <sz val="8"/>
        <color theme="1"/>
        <rFont val="Calibri"/>
        <family val="2"/>
        <scheme val="minor"/>
      </rPr>
      <t>(préciser le nom du ou des pays concernés dans cette colonne)</t>
    </r>
  </si>
  <si>
    <r>
      <t xml:space="preserve">Tonnages autres pays </t>
    </r>
    <r>
      <rPr>
        <b/>
        <sz val="8"/>
        <color theme="1"/>
        <rFont val="Calibri"/>
        <family val="2"/>
        <scheme val="minor"/>
      </rPr>
      <t>(indiquer ici la somme des tonnages issus d'autres pays)</t>
    </r>
  </si>
  <si>
    <t>Type d'installation (grandes catégories)</t>
  </si>
  <si>
    <t>Auvergne-Rhône-Alpes</t>
  </si>
  <si>
    <t>Bourgogne-Franche-Comté</t>
  </si>
  <si>
    <t>Bretagne</t>
  </si>
  <si>
    <t>Centre-Val de Loire</t>
  </si>
  <si>
    <t>Corse</t>
  </si>
  <si>
    <t>Grand Est</t>
  </si>
  <si>
    <t>Hauts-de-France</t>
  </si>
  <si>
    <t>Ile-de-France</t>
  </si>
  <si>
    <t>Normandie</t>
  </si>
  <si>
    <t>Nouvelle-Aquitaine</t>
  </si>
  <si>
    <t>Occitanie</t>
  </si>
  <si>
    <t>Pays de la Loire</t>
  </si>
  <si>
    <t>Provence-Alpes-Côte d’Azur</t>
  </si>
  <si>
    <t>Guadeloupe</t>
  </si>
  <si>
    <t>Réunion</t>
  </si>
  <si>
    <t>Martinique</t>
  </si>
  <si>
    <t>Guyane</t>
  </si>
  <si>
    <t>Mayotte</t>
  </si>
  <si>
    <t>Production d'élec/chaleur à partir de bois-énergie (plaquettes, bois déchet, produits connexes de scierie...)</t>
  </si>
  <si>
    <t>Production d'élec/chaleur à partir de biogaz en cogénération</t>
  </si>
  <si>
    <t>Production d'élec/chaleur à partir de bioliquides</t>
  </si>
  <si>
    <t>Installation de la filière déchets (ISDND, UVE, chaufferie CSR...)</t>
  </si>
  <si>
    <t>Cimenterie</t>
  </si>
  <si>
    <t>Précision du type d'installation si nécessaire</t>
  </si>
  <si>
    <t>Autre (Expliciter ci-dessous)</t>
  </si>
  <si>
    <t xml:space="preserve">A titre indicatif afin de faciliter le traitement </t>
  </si>
  <si>
    <t>Production d'électricité sur l'année 2025 (MJ)</t>
  </si>
  <si>
    <t>Production de chaleur/froid sur l'année 2025 (MJ)</t>
  </si>
  <si>
    <t>Production de biogaz sur l'année 2025 (MJ)</t>
  </si>
  <si>
    <t>Information supplémentaire pour faciliter le traitement des dossiers :</t>
  </si>
  <si>
    <t>Concernant l'application des articles L. 281-9 et L. 281-10 du code de l'énergie relatifs à la durabilité de la biomasse forestière, j'atteste : 
    - disposer des analyses de niveau national ou infranational de la législation des pays permettant de démontrer le respect des critères de durabilité, en considérant la clause grand-père applicable uniquement en France pour la biomasse produite après le 21 mai 2025  ;
    - à défaut, avoir engagé toutes les démarches nécessaires, y compris auprès de mes fournisseurs, pour disposer de la traçabilité nécessaire relative aux zones d'approvisionnement dont est originaire cette biomasse forestière permettant de démontrer le respect des critères de durabilité.
Je suis informé que cette traçabilité doit être en place et certifiée, dans le cadre d'un système volontaire reconnu par la Commission Européenne, pour l’ensemble de la biomasse forestière concernée, d’ici la fin d’année 2025.</t>
  </si>
  <si>
    <t>Déclaration individuelle concernant les données relatives aux réduction d'émissions de gaz à effet de serre des valeurs représentatives de la filière forêt-bois - A ne remplir que pour les installations concernées par le critère GES</t>
  </si>
  <si>
    <t>Concernant l'application des articles L. 281-7 et R. 281-2  du code de l'énergie relatifs à la durabilité de la biomasse agricole, j'atteste avoir engagé toutes les démarches nécessaires, y compris auprès de mes fournisseurs, pour disposer de la traçabilité nécessaire relative aux zones d'approvisionnement dont est originaire cette biomasse agricole.
Je suis informé que cette traçabilité doit être en place et certifiée, dans le cadre d'un système volontaire reconnu par la Commission Européenne, pour l'ensemble de la biomasse agricole utilisée.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</si>
</sst>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General&quot; °C&quot;"/>
    <numFmt numFmtId="165" formatCode="_-* #,##0_-;\-* #,##0_-;_-* &quot;-&quot;??_-;_-@_-"/>
    <numFmt numFmtId="166" formatCode="#,##0.00&quot; gCO2/MJ&quot;"/>
    <numFmt numFmtId="167" formatCode="General&quot; gCO2/MJ&quot;"/>
    <numFmt numFmtId="168" formatCode="0.0%"/>
    <numFmt numFmtId="169" formatCode="General&quot; MW PCI&quot;"/>
    <numFmt numFmtId="170" formatCode="General&quot; t&quot;"/>
    <numFmt numFmtId="171" formatCode="#,##0&quot; t&quot;"/>
  </numFmts>
  <fonts count="45">
    <font>
      <sz val="11"/>
      <color theme="1"/>
      <name val="Calibri"/>
      <family val="2"/>
      <scheme val="minor"/>
    </font>
    <font>
      <sz val="11"/>
      <color theme="1"/>
      <name val="Calibri"/>
      <family val="2"/>
      <scheme val="minor"/>
    </font>
    <font>
      <b/>
      <sz val="11"/>
      <color theme="1"/>
      <name val="Calibri"/>
      <family val="2"/>
      <scheme val="minor"/>
    </font>
    <font>
      <sz val="11"/>
      <color rgb="FFFF00FF"/>
      <name val="Calibri"/>
      <family val="2"/>
      <scheme val="minor"/>
    </font>
    <font>
      <b/>
      <sz val="14"/>
      <color rgb="FFFF0000"/>
      <name val="Calibri"/>
      <family val="2"/>
      <scheme val="minor"/>
    </font>
    <font>
      <b/>
      <u/>
      <sz val="18"/>
      <color theme="1"/>
      <name val="Calibri"/>
      <family val="2"/>
      <scheme val="minor"/>
    </font>
    <font>
      <b/>
      <u/>
      <sz val="11"/>
      <color theme="1"/>
      <name val="Calibri"/>
      <family val="2"/>
      <scheme val="minor"/>
    </font>
    <font>
      <sz val="8"/>
      <color theme="1"/>
      <name val="Calibri"/>
      <family val="2"/>
      <scheme val="minor"/>
    </font>
    <font>
      <sz val="11"/>
      <color rgb="FF000000"/>
      <name val="Calibri"/>
      <family val="2"/>
      <scheme val="minor"/>
    </font>
    <font>
      <sz val="11"/>
      <color theme="9" tint="-0.249977111117893"/>
      <name val="Calibri"/>
      <family val="2"/>
      <scheme val="minor"/>
    </font>
    <font>
      <sz val="8"/>
      <color rgb="FFFF00FF"/>
      <name val="Calibri"/>
      <family val="2"/>
      <scheme val="minor"/>
    </font>
    <font>
      <sz val="16"/>
      <color theme="1"/>
      <name val="Calibri"/>
      <family val="2"/>
      <scheme val="minor"/>
    </font>
    <font>
      <sz val="9"/>
      <color indexed="81"/>
      <name val="Tahoma"/>
      <family val="2"/>
    </font>
    <font>
      <sz val="11"/>
      <color rgb="FFFF0000"/>
      <name val="Calibri"/>
      <family val="2"/>
      <scheme val="minor"/>
    </font>
    <font>
      <b/>
      <u/>
      <sz val="14"/>
      <color theme="1"/>
      <name val="Calibri"/>
      <family val="2"/>
      <scheme val="minor"/>
    </font>
    <font>
      <i/>
      <sz val="11"/>
      <color theme="1"/>
      <name val="Calibri"/>
      <family val="2"/>
      <scheme val="minor"/>
    </font>
    <font>
      <b/>
      <sz val="14"/>
      <color theme="1"/>
      <name val="Calibri"/>
      <family val="2"/>
      <scheme val="minor"/>
    </font>
    <font>
      <b/>
      <sz val="14"/>
      <color rgb="FF000000"/>
      <name val="Calibri (Corps)_x0000_"/>
    </font>
    <font>
      <b/>
      <sz val="11"/>
      <color rgb="FF000000"/>
      <name val="Calibri"/>
      <family val="2"/>
      <scheme val="minor"/>
    </font>
    <font>
      <b/>
      <sz val="14"/>
      <color rgb="FF000000"/>
      <name val="Calibri"/>
      <family val="2"/>
      <scheme val="minor"/>
    </font>
    <font>
      <b/>
      <sz val="14"/>
      <color rgb="FFEA48F0"/>
      <name val="Calibri"/>
      <family val="2"/>
      <scheme val="minor"/>
    </font>
    <font>
      <b/>
      <sz val="14"/>
      <color rgb="FF7030A0"/>
      <name val="Calibri"/>
      <family val="2"/>
      <scheme val="minor"/>
    </font>
    <font>
      <b/>
      <sz val="10"/>
      <color rgb="FFEA48F0"/>
      <name val="Calibri"/>
      <family val="2"/>
      <scheme val="minor"/>
    </font>
    <font>
      <b/>
      <sz val="10"/>
      <color rgb="FF7030A0"/>
      <name val="Calibri"/>
      <family val="2"/>
      <scheme val="minor"/>
    </font>
    <font>
      <sz val="11"/>
      <color rgb="FFEA48F0"/>
      <name val="Calibri"/>
      <family val="2"/>
      <scheme val="minor"/>
    </font>
    <font>
      <sz val="11"/>
      <color rgb="FF7030A0"/>
      <name val="Calibri"/>
      <family val="2"/>
      <scheme val="minor"/>
    </font>
    <font>
      <sz val="12"/>
      <color theme="1"/>
      <name val="Calibri"/>
      <family val="2"/>
      <scheme val="minor"/>
    </font>
    <font>
      <sz val="12"/>
      <color rgb="FFFF00FF"/>
      <name val="Calibri"/>
      <family val="2"/>
      <scheme val="minor"/>
    </font>
    <font>
      <b/>
      <u/>
      <sz val="11"/>
      <name val="Calibri"/>
      <family val="2"/>
      <scheme val="minor"/>
    </font>
    <font>
      <sz val="11"/>
      <color theme="7" tint="0.39997558519241921"/>
      <name val="Calibri"/>
      <family val="2"/>
      <scheme val="minor"/>
    </font>
    <font>
      <b/>
      <u/>
      <sz val="11"/>
      <color rgb="FFFF0000"/>
      <name val="Calibri"/>
      <family val="2"/>
      <scheme val="minor"/>
    </font>
    <font>
      <b/>
      <sz val="9"/>
      <color indexed="81"/>
      <name val="Tahoma"/>
      <family val="2"/>
    </font>
    <font>
      <b/>
      <u/>
      <sz val="26"/>
      <color theme="1"/>
      <name val="Calibri"/>
      <family val="2"/>
      <scheme val="minor"/>
    </font>
    <font>
      <b/>
      <sz val="11"/>
      <color rgb="FFFF0000"/>
      <name val="Calibri"/>
      <family val="2"/>
      <scheme val="minor"/>
    </font>
    <font>
      <sz val="10"/>
      <color theme="1"/>
      <name val="Calibri"/>
      <family val="2"/>
      <scheme val="minor"/>
    </font>
    <font>
      <b/>
      <i/>
      <sz val="11"/>
      <color rgb="FF7030A0"/>
      <name val="Calibri"/>
      <family val="2"/>
      <scheme val="minor"/>
    </font>
    <font>
      <b/>
      <i/>
      <sz val="11"/>
      <color theme="1"/>
      <name val="Calibri"/>
      <family val="2"/>
      <scheme val="minor"/>
    </font>
    <font>
      <sz val="11"/>
      <color theme="1"/>
      <name val="Times New Roman"/>
      <family val="1"/>
    </font>
    <font>
      <sz val="7"/>
      <color theme="1"/>
      <name val="Times New Roman"/>
      <family val="1"/>
    </font>
    <font>
      <vertAlign val="subscript"/>
      <sz val="7"/>
      <color theme="1"/>
      <name val="Times New Roman"/>
      <family val="1"/>
    </font>
    <font>
      <sz val="8.5"/>
      <color theme="1"/>
      <name val="Times New Roman"/>
      <family val="1"/>
    </font>
    <font>
      <sz val="9"/>
      <color theme="1"/>
      <name val="Times New Roman"/>
      <family val="1"/>
    </font>
    <font>
      <sz val="11"/>
      <name val="Calibri"/>
      <family val="2"/>
      <scheme val="minor"/>
    </font>
    <font>
      <sz val="8"/>
      <name val="Calibri"/>
      <family val="2"/>
      <scheme val="minor"/>
    </font>
    <font>
      <b/>
      <sz val="8"/>
      <color theme="1"/>
      <name val="Calibri"/>
      <family val="2"/>
      <scheme val="minor"/>
    </font>
  </fonts>
  <fills count="12">
    <fill>
      <patternFill patternType="none"/>
    </fill>
    <fill>
      <patternFill patternType="gray125"/>
    </fill>
    <fill>
      <patternFill patternType="solid">
        <fgColor theme="4" tint="0.59999389629810485"/>
        <bgColor indexed="64"/>
      </patternFill>
    </fill>
    <fill>
      <patternFill patternType="solid">
        <fgColor rgb="FFFFC000"/>
        <bgColor indexed="64"/>
      </patternFill>
    </fill>
    <fill>
      <patternFill patternType="lightUp">
        <bgColor rgb="FFFFC000"/>
      </patternFill>
    </fill>
    <fill>
      <patternFill patternType="solid">
        <fgColor theme="7" tint="0.39997558519241921"/>
        <bgColor indexed="64"/>
      </patternFill>
    </fill>
    <fill>
      <patternFill patternType="lightUp">
        <bgColor theme="0"/>
      </patternFill>
    </fill>
    <fill>
      <patternFill patternType="solid">
        <fgColor theme="6" tint="0.59999389629810485"/>
        <bgColor indexed="64"/>
      </patternFill>
    </fill>
    <fill>
      <patternFill patternType="solid">
        <fgColor rgb="FFD9D9D9"/>
        <bgColor indexed="64"/>
      </patternFill>
    </fill>
    <fill>
      <patternFill patternType="solid">
        <fgColor theme="2"/>
        <bgColor indexed="64"/>
      </patternFill>
    </fill>
    <fill>
      <patternFill patternType="solid">
        <fgColor rgb="FF92D050"/>
        <bgColor indexed="64"/>
      </patternFill>
    </fill>
    <fill>
      <patternFill patternType="solid">
        <fgColor rgb="FFFF0000"/>
        <bgColor indexed="64"/>
      </patternFill>
    </fill>
  </fills>
  <borders count="6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top style="double">
        <color indexed="64"/>
      </top>
      <bottom/>
      <diagonal/>
    </border>
    <border>
      <left style="thin">
        <color indexed="64"/>
      </left>
      <right/>
      <top style="thin">
        <color indexed="64"/>
      </top>
      <bottom/>
      <diagonal/>
    </border>
    <border>
      <left style="thin">
        <color indexed="64"/>
      </left>
      <right style="thin">
        <color indexed="64"/>
      </right>
      <top style="double">
        <color indexed="64"/>
      </top>
      <bottom/>
      <diagonal/>
    </border>
    <border>
      <left/>
      <right/>
      <top style="thin">
        <color indexed="64"/>
      </top>
      <bottom style="thin">
        <color indexed="64"/>
      </bottom>
      <diagonal/>
    </border>
    <border>
      <left style="medium">
        <color indexed="64"/>
      </left>
      <right style="thin">
        <color indexed="64"/>
      </right>
      <top style="double">
        <color indexed="64"/>
      </top>
      <bottom/>
      <diagonal/>
    </border>
    <border>
      <left/>
      <right style="thin">
        <color indexed="64"/>
      </right>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ck">
        <color indexed="64"/>
      </right>
      <top/>
      <bottom/>
      <diagonal/>
    </border>
    <border>
      <left/>
      <right style="thick">
        <color indexed="64"/>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style="double">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style="thin">
        <color indexed="64"/>
      </top>
      <bottom/>
      <diagonal/>
    </border>
    <border>
      <left/>
      <right/>
      <top style="double">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double">
        <color indexed="64"/>
      </top>
      <bottom style="double">
        <color indexed="64"/>
      </bottom>
      <diagonal/>
    </border>
    <border>
      <left style="thin">
        <color indexed="64"/>
      </left>
      <right style="thick">
        <color indexed="64"/>
      </right>
      <top style="thin">
        <color indexed="64"/>
      </top>
      <bottom style="thin">
        <color indexed="64"/>
      </bottom>
      <diagonal/>
    </border>
    <border>
      <left/>
      <right style="hair">
        <color indexed="64"/>
      </right>
      <top style="thin">
        <color indexed="64"/>
      </top>
      <bottom/>
      <diagonal/>
    </border>
    <border>
      <left style="thin">
        <color indexed="64"/>
      </left>
      <right style="thick">
        <color indexed="64"/>
      </right>
      <top/>
      <bottom style="thin">
        <color indexed="64"/>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medium">
        <color rgb="FF000000"/>
      </bottom>
      <diagonal/>
    </border>
    <border>
      <left/>
      <right style="medium">
        <color rgb="FF000000"/>
      </right>
      <top/>
      <bottom/>
      <diagonal/>
    </border>
    <border>
      <left style="medium">
        <color rgb="FF000000"/>
      </left>
      <right/>
      <top style="medium">
        <color rgb="FF000000"/>
      </top>
      <bottom style="medium">
        <color rgb="FF000000"/>
      </bottom>
      <diagonal/>
    </border>
    <border>
      <left style="thin">
        <color indexed="64"/>
      </left>
      <right/>
      <top/>
      <bottom style="thin">
        <color indexed="64"/>
      </bottom>
      <diagonal/>
    </border>
    <border diagonalUp="1">
      <left/>
      <right/>
      <top/>
      <bottom/>
      <diagonal style="thin">
        <color auto="1"/>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85">
    <xf numFmtId="0" fontId="0" fillId="0" borderId="0" xfId="0"/>
    <xf numFmtId="0" fontId="0" fillId="0" borderId="0" xfId="0" applyAlignment="1">
      <alignment wrapText="1"/>
    </xf>
    <xf numFmtId="0" fontId="0" fillId="3" borderId="5" xfId="0" applyFill="1" applyBorder="1"/>
    <xf numFmtId="0" fontId="0" fillId="3" borderId="5" xfId="0" applyFill="1" applyBorder="1" applyAlignment="1">
      <alignment horizontal="center" wrapText="1"/>
    </xf>
    <xf numFmtId="0" fontId="0" fillId="4" borderId="5" xfId="0" applyFill="1" applyBorder="1"/>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7" xfId="0" applyFill="1" applyBorder="1"/>
    <xf numFmtId="0" fontId="7" fillId="3" borderId="5" xfId="0" applyFont="1" applyFill="1" applyBorder="1" applyAlignment="1">
      <alignment horizontal="center" wrapText="1"/>
    </xf>
    <xf numFmtId="0" fontId="0" fillId="0" borderId="5" xfId="0" applyBorder="1"/>
    <xf numFmtId="0" fontId="8" fillId="0" borderId="8" xfId="0" applyFont="1" applyBorder="1" applyAlignment="1">
      <alignment horizontal="center" vertical="center" wrapText="1"/>
    </xf>
    <xf numFmtId="0" fontId="1" fillId="0" borderId="5" xfId="0" applyFont="1" applyBorder="1" applyAlignment="1">
      <alignment horizontal="center" vertical="center" wrapText="1"/>
    </xf>
    <xf numFmtId="0" fontId="3" fillId="2" borderId="5" xfId="0" applyFont="1" applyFill="1" applyBorder="1"/>
    <xf numFmtId="9" fontId="0" fillId="5" borderId="5" xfId="2" applyFont="1" applyFill="1" applyBorder="1"/>
    <xf numFmtId="0" fontId="0" fillId="6" borderId="5" xfId="0" applyFill="1" applyBorder="1"/>
    <xf numFmtId="0" fontId="0" fillId="5" borderId="5" xfId="0" applyFill="1" applyBorder="1"/>
    <xf numFmtId="0" fontId="0" fillId="2" borderId="5" xfId="0" applyFill="1" applyBorder="1"/>
    <xf numFmtId="9" fontId="9" fillId="2" borderId="5" xfId="2" applyFont="1" applyFill="1" applyBorder="1" applyAlignment="1">
      <alignment horizontal="center"/>
    </xf>
    <xf numFmtId="9" fontId="10" fillId="2" borderId="5" xfId="2" applyFont="1" applyFill="1" applyBorder="1" applyAlignment="1">
      <alignment horizontal="center"/>
    </xf>
    <xf numFmtId="0" fontId="0" fillId="0" borderId="8" xfId="0" applyBorder="1" applyAlignment="1">
      <alignment horizontal="center" vertical="center"/>
    </xf>
    <xf numFmtId="0" fontId="1" fillId="0" borderId="8" xfId="0" applyFont="1" applyBorder="1" applyAlignment="1">
      <alignment horizontal="center" vertical="center" wrapText="1"/>
    </xf>
    <xf numFmtId="0" fontId="3" fillId="2" borderId="8" xfId="0" applyFont="1" applyFill="1" applyBorder="1"/>
    <xf numFmtId="0" fontId="0" fillId="6" borderId="8" xfId="0" applyFill="1" applyBorder="1"/>
    <xf numFmtId="0" fontId="0" fillId="2" borderId="8" xfId="0" applyFill="1" applyBorder="1"/>
    <xf numFmtId="0" fontId="0" fillId="0" borderId="5" xfId="0" applyBorder="1" applyAlignment="1">
      <alignment horizontal="center" vertical="center"/>
    </xf>
    <xf numFmtId="0" fontId="6" fillId="3"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0" fillId="5" borderId="5" xfId="0" applyFill="1" applyBorder="1" applyAlignment="1">
      <alignment horizontal="center"/>
    </xf>
    <xf numFmtId="0" fontId="11" fillId="0" borderId="2" xfId="0" applyFont="1" applyBorder="1"/>
    <xf numFmtId="165" fontId="11" fillId="5" borderId="10" xfId="1" applyNumberFormat="1" applyFont="1" applyFill="1" applyBorder="1"/>
    <xf numFmtId="0" fontId="11" fillId="0" borderId="0" xfId="0" applyFont="1"/>
    <xf numFmtId="0" fontId="6" fillId="0" borderId="0" xfId="0" applyFont="1"/>
    <xf numFmtId="0" fontId="2" fillId="0" borderId="0" xfId="0" applyFont="1" applyAlignment="1">
      <alignment horizontal="center" wrapText="1"/>
    </xf>
    <xf numFmtId="0" fontId="0" fillId="0" borderId="0" xfId="0" applyAlignment="1">
      <alignment horizontal="center"/>
    </xf>
    <xf numFmtId="0" fontId="0" fillId="0" borderId="15" xfId="0" applyBorder="1" applyAlignment="1">
      <alignment horizontal="center" wrapText="1"/>
    </xf>
    <xf numFmtId="0" fontId="0" fillId="0" borderId="0" xfId="0" applyAlignment="1">
      <alignment horizontal="center" wrapText="1"/>
    </xf>
    <xf numFmtId="0" fontId="0" fillId="0" borderId="16" xfId="0" applyBorder="1" applyAlignment="1">
      <alignment horizontal="center" wrapText="1"/>
    </xf>
    <xf numFmtId="0" fontId="0" fillId="0" borderId="15" xfId="0" applyBorder="1"/>
    <xf numFmtId="0" fontId="0" fillId="0" borderId="16" xfId="0" applyBorder="1"/>
    <xf numFmtId="164" fontId="0" fillId="5" borderId="5" xfId="0" applyNumberFormat="1" applyFill="1" applyBorder="1"/>
    <xf numFmtId="166" fontId="0" fillId="5" borderId="5" xfId="0" applyNumberFormat="1" applyFill="1" applyBorder="1"/>
    <xf numFmtId="14" fontId="0" fillId="5" borderId="5" xfId="0" applyNumberFormat="1" applyFill="1" applyBorder="1"/>
    <xf numFmtId="167" fontId="0" fillId="5" borderId="5" xfId="2" applyNumberFormat="1" applyFont="1" applyFill="1" applyBorder="1"/>
    <xf numFmtId="168" fontId="0" fillId="5" borderId="5" xfId="2" applyNumberFormat="1" applyFont="1" applyFill="1" applyBorder="1" applyAlignment="1">
      <alignment horizontal="center"/>
    </xf>
    <xf numFmtId="168" fontId="0" fillId="2" borderId="5" xfId="2" applyNumberFormat="1" applyFont="1" applyFill="1" applyBorder="1"/>
    <xf numFmtId="168" fontId="0" fillId="5" borderId="5" xfId="2" applyNumberFormat="1" applyFont="1" applyFill="1" applyBorder="1"/>
    <xf numFmtId="0" fontId="13" fillId="5" borderId="5" xfId="0" applyFont="1" applyFill="1" applyBorder="1"/>
    <xf numFmtId="0" fontId="6" fillId="0" borderId="0" xfId="0" applyFont="1" applyAlignment="1">
      <alignment horizontal="center"/>
    </xf>
    <xf numFmtId="0" fontId="15" fillId="0" borderId="0" xfId="0" applyFont="1" applyAlignment="1">
      <alignment vertical="center" wrapText="1"/>
    </xf>
    <xf numFmtId="0" fontId="3" fillId="2" borderId="5" xfId="0" applyFont="1" applyFill="1" applyBorder="1" applyAlignment="1">
      <alignment horizontal="center" vertical="center"/>
    </xf>
    <xf numFmtId="0" fontId="0" fillId="0" borderId="0" xfId="0" applyAlignment="1">
      <alignment horizontal="center" vertical="center"/>
    </xf>
    <xf numFmtId="0" fontId="6" fillId="3" borderId="5" xfId="0" applyFont="1" applyFill="1" applyBorder="1"/>
    <xf numFmtId="168" fontId="0" fillId="0" borderId="0" xfId="0" applyNumberFormat="1"/>
    <xf numFmtId="0" fontId="0" fillId="3" borderId="5" xfId="0" applyFill="1" applyBorder="1" applyAlignment="1">
      <alignment wrapText="1"/>
    </xf>
    <xf numFmtId="0" fontId="6" fillId="2" borderId="5" xfId="0" applyFont="1" applyFill="1" applyBorder="1"/>
    <xf numFmtId="0" fontId="6" fillId="7" borderId="5" xfId="0" applyFont="1" applyFill="1" applyBorder="1"/>
    <xf numFmtId="0" fontId="0" fillId="5" borderId="12" xfId="0" applyFill="1" applyBorder="1"/>
    <xf numFmtId="0" fontId="0" fillId="5" borderId="13" xfId="0" applyFill="1" applyBorder="1"/>
    <xf numFmtId="168" fontId="0" fillId="5" borderId="13" xfId="0" applyNumberFormat="1" applyFill="1" applyBorder="1"/>
    <xf numFmtId="168" fontId="0" fillId="5" borderId="14" xfId="0" applyNumberFormat="1" applyFill="1" applyBorder="1"/>
    <xf numFmtId="0" fontId="0" fillId="7" borderId="5" xfId="0" applyFill="1" applyBorder="1"/>
    <xf numFmtId="167" fontId="0" fillId="7" borderId="5" xfId="0" applyNumberFormat="1" applyFill="1" applyBorder="1"/>
    <xf numFmtId="0" fontId="0" fillId="5" borderId="15" xfId="0" applyFill="1" applyBorder="1"/>
    <xf numFmtId="0" fontId="0" fillId="5" borderId="0" xfId="0" applyFill="1"/>
    <xf numFmtId="168" fontId="0" fillId="5" borderId="0" xfId="0" applyNumberFormat="1" applyFill="1"/>
    <xf numFmtId="168" fontId="0" fillId="5" borderId="16" xfId="0" applyNumberFormat="1" applyFill="1" applyBorder="1"/>
    <xf numFmtId="0" fontId="0" fillId="5" borderId="17" xfId="0" applyFill="1" applyBorder="1"/>
    <xf numFmtId="0" fontId="0" fillId="5" borderId="18" xfId="0" applyFill="1" applyBorder="1"/>
    <xf numFmtId="168" fontId="0" fillId="5" borderId="18" xfId="0" applyNumberFormat="1" applyFill="1" applyBorder="1"/>
    <xf numFmtId="168" fontId="0" fillId="5" borderId="19" xfId="0" applyNumberFormat="1" applyFill="1" applyBorder="1"/>
    <xf numFmtId="0" fontId="19" fillId="8" borderId="20" xfId="0" applyFont="1" applyFill="1" applyBorder="1" applyAlignment="1">
      <alignment vertical="center" wrapText="1"/>
    </xf>
    <xf numFmtId="0" fontId="19" fillId="8" borderId="12" xfId="0" applyFont="1" applyFill="1" applyBorder="1" applyAlignment="1">
      <alignment horizontal="center" vertical="center" wrapText="1"/>
    </xf>
    <xf numFmtId="0" fontId="8" fillId="0" borderId="0" xfId="0" applyFont="1" applyAlignment="1">
      <alignment horizontal="right" vertical="center" wrapText="1"/>
    </xf>
    <xf numFmtId="0" fontId="1" fillId="0" borderId="9" xfId="0" applyFont="1" applyBorder="1" applyAlignment="1">
      <alignment horizontal="center" vertical="center" wrapText="1"/>
    </xf>
    <xf numFmtId="9" fontId="24" fillId="5" borderId="9" xfId="0" applyNumberFormat="1" applyFont="1" applyFill="1" applyBorder="1" applyAlignment="1">
      <alignment horizontal="center" vertical="center" wrapText="1"/>
    </xf>
    <xf numFmtId="2" fontId="24" fillId="0" borderId="0" xfId="0" applyNumberFormat="1" applyFont="1" applyAlignment="1">
      <alignment horizontal="center" vertical="center" wrapText="1"/>
    </xf>
    <xf numFmtId="168" fontId="24" fillId="0" borderId="0" xfId="0" applyNumberFormat="1" applyFont="1" applyAlignment="1">
      <alignment horizontal="center" vertical="center" wrapText="1"/>
    </xf>
    <xf numFmtId="168" fontId="8" fillId="0" borderId="9" xfId="0" applyNumberFormat="1" applyFont="1" applyBorder="1" applyAlignment="1">
      <alignment horizontal="center" vertical="center" wrapText="1"/>
    </xf>
    <xf numFmtId="0" fontId="0" fillId="10" borderId="0" xfId="0" applyFill="1"/>
    <xf numFmtId="0" fontId="1" fillId="0" borderId="24" xfId="0" applyFont="1" applyBorder="1" applyAlignment="1">
      <alignment horizontal="center" vertical="center" wrapText="1"/>
    </xf>
    <xf numFmtId="9" fontId="24" fillId="5" borderId="24" xfId="0" applyNumberFormat="1" applyFont="1" applyFill="1" applyBorder="1" applyAlignment="1">
      <alignment horizontal="center" vertical="center" wrapText="1"/>
    </xf>
    <xf numFmtId="2" fontId="24" fillId="0" borderId="25" xfId="0" applyNumberFormat="1" applyFont="1" applyBorder="1" applyAlignment="1">
      <alignment horizontal="center" vertical="center" wrapText="1"/>
    </xf>
    <xf numFmtId="168" fontId="24" fillId="0" borderId="25" xfId="0" applyNumberFormat="1" applyFont="1" applyBorder="1" applyAlignment="1">
      <alignment horizontal="center" vertical="center" wrapText="1"/>
    </xf>
    <xf numFmtId="168" fontId="8" fillId="0" borderId="24" xfId="0" applyNumberFormat="1" applyFont="1" applyBorder="1" applyAlignment="1">
      <alignment horizontal="center" vertical="center" wrapText="1"/>
    </xf>
    <xf numFmtId="0" fontId="1" fillId="0" borderId="27" xfId="0" applyFont="1" applyBorder="1" applyAlignment="1">
      <alignment horizontal="right"/>
    </xf>
    <xf numFmtId="9" fontId="24" fillId="0" borderId="9" xfId="0" applyNumberFormat="1" applyFont="1" applyBorder="1" applyAlignment="1">
      <alignment horizontal="center" vertical="center" wrapText="1"/>
    </xf>
    <xf numFmtId="2" fontId="24" fillId="5" borderId="5" xfId="0" applyNumberFormat="1" applyFont="1" applyFill="1" applyBorder="1" applyAlignment="1">
      <alignment horizontal="center" vertical="center" wrapText="1"/>
    </xf>
    <xf numFmtId="168" fontId="25" fillId="5" borderId="5" xfId="2" applyNumberFormat="1" applyFont="1" applyFill="1" applyBorder="1" applyAlignment="1">
      <alignment horizontal="center" vertical="center" wrapText="1"/>
    </xf>
    <xf numFmtId="0" fontId="1" fillId="0" borderId="11" xfId="0" applyFont="1" applyBorder="1" applyAlignment="1">
      <alignment horizontal="right"/>
    </xf>
    <xf numFmtId="0" fontId="1" fillId="0" borderId="23" xfId="0" applyFont="1" applyBorder="1" applyAlignment="1">
      <alignment horizontal="right"/>
    </xf>
    <xf numFmtId="9" fontId="24" fillId="0" borderId="24" xfId="0" applyNumberFormat="1" applyFont="1" applyBorder="1" applyAlignment="1">
      <alignment horizontal="center" vertical="center" wrapText="1"/>
    </xf>
    <xf numFmtId="0" fontId="8" fillId="0" borderId="26" xfId="0" applyFont="1" applyBorder="1" applyAlignment="1">
      <alignment horizontal="right" vertical="center" wrapText="1"/>
    </xf>
    <xf numFmtId="0" fontId="1" fillId="0" borderId="28" xfId="0" applyFont="1" applyBorder="1" applyAlignment="1">
      <alignment horizontal="center" vertical="center" wrapText="1"/>
    </xf>
    <xf numFmtId="0" fontId="8" fillId="0" borderId="11" xfId="0" applyFont="1" applyBorder="1" applyAlignment="1">
      <alignment horizontal="right" vertical="center" wrapText="1"/>
    </xf>
    <xf numFmtId="0" fontId="8" fillId="0" borderId="23" xfId="0" applyFont="1" applyBorder="1" applyAlignment="1">
      <alignment horizontal="right" vertical="center" wrapText="1"/>
    </xf>
    <xf numFmtId="168" fontId="8" fillId="0" borderId="0" xfId="0" applyNumberFormat="1" applyFont="1" applyAlignment="1">
      <alignment horizontal="center" vertical="center" wrapText="1"/>
    </xf>
    <xf numFmtId="168" fontId="8" fillId="0" borderId="25" xfId="0" applyNumberFormat="1" applyFont="1" applyBorder="1" applyAlignment="1">
      <alignment horizontal="center" vertical="center" wrapText="1"/>
    </xf>
    <xf numFmtId="9" fontId="24" fillId="0" borderId="11" xfId="0" applyNumberFormat="1" applyFont="1" applyBorder="1" applyAlignment="1">
      <alignment horizontal="center" vertical="center" wrapText="1"/>
    </xf>
    <xf numFmtId="9" fontId="24" fillId="0" borderId="23" xfId="0" applyNumberFormat="1" applyFont="1" applyBorder="1" applyAlignment="1">
      <alignment horizontal="center" vertical="center" wrapText="1"/>
    </xf>
    <xf numFmtId="0" fontId="2" fillId="0" borderId="27" xfId="0" applyFont="1" applyBorder="1" applyAlignment="1">
      <alignment horizontal="left"/>
    </xf>
    <xf numFmtId="0" fontId="0" fillId="0" borderId="0" xfId="0" applyFont="1"/>
    <xf numFmtId="1" fontId="0" fillId="5" borderId="16" xfId="0" applyNumberFormat="1" applyFill="1" applyBorder="1"/>
    <xf numFmtId="0" fontId="0" fillId="0" borderId="0" xfId="0" applyFont="1" applyAlignment="1">
      <alignment wrapText="1"/>
    </xf>
    <xf numFmtId="0" fontId="0" fillId="0" borderId="5" xfId="0" applyFont="1" applyBorder="1" applyAlignment="1">
      <alignment horizontal="center" vertical="center"/>
    </xf>
    <xf numFmtId="0" fontId="0" fillId="3" borderId="5" xfId="0" applyFont="1" applyFill="1" applyBorder="1" applyAlignment="1">
      <alignment horizontal="center" wrapText="1"/>
    </xf>
    <xf numFmtId="0" fontId="14" fillId="0" borderId="1" xfId="0" applyFont="1" applyBorder="1" applyAlignment="1">
      <alignment wrapText="1"/>
    </xf>
    <xf numFmtId="0" fontId="0" fillId="3" borderId="5" xfId="0" applyFill="1" applyBorder="1" applyAlignment="1">
      <alignment horizontal="center" vertical="center"/>
    </xf>
    <xf numFmtId="0" fontId="0" fillId="3" borderId="5" xfId="0" applyFill="1" applyBorder="1" applyAlignment="1">
      <alignment horizontal="center" wrapText="1"/>
    </xf>
    <xf numFmtId="0" fontId="0" fillId="3" borderId="5" xfId="0" applyFill="1" applyBorder="1" applyAlignment="1">
      <alignment horizontal="center" vertical="center" wrapText="1"/>
    </xf>
    <xf numFmtId="0" fontId="15" fillId="0" borderId="11" xfId="0" applyFont="1" applyBorder="1" applyAlignment="1">
      <alignment vertical="top" wrapText="1"/>
    </xf>
    <xf numFmtId="0" fontId="15" fillId="0" borderId="23" xfId="0" applyFont="1" applyBorder="1" applyAlignment="1">
      <alignment vertical="top" wrapText="1"/>
    </xf>
    <xf numFmtId="0" fontId="28" fillId="3" borderId="17" xfId="0" applyFont="1" applyFill="1" applyBorder="1" applyAlignment="1">
      <alignment horizontal="center" vertical="center" wrapText="1"/>
    </xf>
    <xf numFmtId="0" fontId="28" fillId="3" borderId="10" xfId="0" applyFont="1" applyFill="1" applyBorder="1" applyAlignment="1">
      <alignment horizontal="center" vertical="center" wrapText="1"/>
    </xf>
    <xf numFmtId="0" fontId="0" fillId="5" borderId="4" xfId="0" applyFill="1" applyBorder="1"/>
    <xf numFmtId="0" fontId="0" fillId="0" borderId="35" xfId="0" applyBorder="1"/>
    <xf numFmtId="0" fontId="6" fillId="3" borderId="20" xfId="0" applyFont="1" applyFill="1" applyBorder="1" applyAlignment="1">
      <alignment horizontal="center" vertical="center" wrapText="1"/>
    </xf>
    <xf numFmtId="0" fontId="7" fillId="0" borderId="5" xfId="0" applyFont="1" applyBorder="1"/>
    <xf numFmtId="0" fontId="29" fillId="5" borderId="0" xfId="0" applyFont="1" applyFill="1"/>
    <xf numFmtId="0" fontId="30" fillId="5" borderId="10" xfId="0" applyFont="1" applyFill="1" applyBorder="1" applyAlignment="1">
      <alignment horizontal="center" vertical="center" wrapText="1"/>
    </xf>
    <xf numFmtId="0" fontId="29" fillId="5" borderId="0" xfId="0" applyFont="1" applyFill="1" applyAlignment="1">
      <alignment wrapText="1"/>
    </xf>
    <xf numFmtId="0" fontId="0" fillId="3" borderId="5" xfId="0" applyFill="1" applyBorder="1" applyAlignment="1">
      <alignment horizontal="center" vertical="center" wrapText="1"/>
    </xf>
    <xf numFmtId="0" fontId="8" fillId="9" borderId="0" xfId="0" applyFont="1" applyFill="1" applyBorder="1" applyAlignment="1">
      <alignment horizontal="center" vertical="center"/>
    </xf>
    <xf numFmtId="0" fontId="2" fillId="0" borderId="0" xfId="0" applyFont="1" applyBorder="1" applyAlignment="1">
      <alignment vertical="top" wrapText="1"/>
    </xf>
    <xf numFmtId="0" fontId="0" fillId="0" borderId="0" xfId="0" applyBorder="1" applyAlignment="1">
      <alignment vertical="top" wrapText="1"/>
    </xf>
    <xf numFmtId="0" fontId="0" fillId="0" borderId="0" xfId="0" applyBorder="1" applyAlignment="1">
      <alignment horizontal="center" vertical="top" wrapText="1"/>
    </xf>
    <xf numFmtId="0" fontId="0" fillId="0" borderId="33" xfId="0" applyBorder="1" applyAlignment="1">
      <alignment vertical="top" wrapText="1"/>
    </xf>
    <xf numFmtId="0" fontId="8" fillId="0" borderId="40" xfId="0" applyFont="1" applyBorder="1" applyAlignment="1">
      <alignment horizontal="right" vertical="center" wrapText="1"/>
    </xf>
    <xf numFmtId="0" fontId="1" fillId="0" borderId="38" xfId="0" applyFont="1" applyBorder="1" applyAlignment="1">
      <alignment horizontal="center" vertical="center" wrapText="1"/>
    </xf>
    <xf numFmtId="9" fontId="24" fillId="0" borderId="38" xfId="0" applyNumberFormat="1" applyFont="1" applyBorder="1" applyAlignment="1">
      <alignment horizontal="center" vertical="center" wrapText="1"/>
    </xf>
    <xf numFmtId="0" fontId="19" fillId="8" borderId="41" xfId="0" applyFont="1" applyFill="1" applyBorder="1" applyAlignment="1">
      <alignment horizontal="center" vertical="center" wrapText="1"/>
    </xf>
    <xf numFmtId="0" fontId="19" fillId="8" borderId="19" xfId="0" applyFont="1" applyFill="1" applyBorder="1" applyAlignment="1">
      <alignment horizontal="center" vertical="center" wrapText="1"/>
    </xf>
    <xf numFmtId="0" fontId="22" fillId="9" borderId="3" xfId="0" applyFont="1" applyFill="1" applyBorder="1" applyAlignment="1">
      <alignment horizontal="center" vertical="center" wrapText="1"/>
    </xf>
    <xf numFmtId="0" fontId="23" fillId="9" borderId="3" xfId="0" applyFont="1" applyFill="1" applyBorder="1" applyAlignment="1">
      <alignment horizontal="center" vertical="center" wrapText="1"/>
    </xf>
    <xf numFmtId="168" fontId="23" fillId="9" borderId="3" xfId="0" applyNumberFormat="1" applyFont="1" applyFill="1" applyBorder="1" applyAlignment="1">
      <alignment horizontal="center" vertical="center" wrapText="1"/>
    </xf>
    <xf numFmtId="0" fontId="8" fillId="0" borderId="25" xfId="0" applyFont="1" applyBorder="1" applyAlignment="1">
      <alignment horizontal="right" vertical="center" wrapText="1"/>
    </xf>
    <xf numFmtId="0" fontId="0" fillId="10" borderId="25" xfId="0" applyFill="1" applyBorder="1"/>
    <xf numFmtId="0" fontId="8" fillId="0" borderId="23" xfId="0" applyFont="1" applyBorder="1" applyAlignment="1">
      <alignment horizontal="center" vertical="center" wrapText="1"/>
    </xf>
    <xf numFmtId="168" fontId="25" fillId="5" borderId="7" xfId="2" applyNumberFormat="1" applyFont="1" applyFill="1" applyBorder="1" applyAlignment="1">
      <alignment horizontal="center" vertical="center" wrapText="1"/>
    </xf>
    <xf numFmtId="168" fontId="25" fillId="5" borderId="36" xfId="2" applyNumberFormat="1" applyFont="1" applyFill="1" applyBorder="1" applyAlignment="1">
      <alignment horizontal="center" vertical="center" wrapText="1"/>
    </xf>
    <xf numFmtId="0" fontId="8" fillId="0" borderId="42" xfId="0" applyFont="1" applyBorder="1" applyAlignment="1">
      <alignment horizontal="right" vertical="center" wrapText="1"/>
    </xf>
    <xf numFmtId="0" fontId="8" fillId="0" borderId="43" xfId="0" applyFont="1" applyBorder="1" applyAlignment="1">
      <alignment horizontal="right" vertical="center" wrapText="1"/>
    </xf>
    <xf numFmtId="0" fontId="8" fillId="9" borderId="22" xfId="0" applyFont="1" applyFill="1" applyBorder="1" applyAlignment="1">
      <alignment horizontal="center" vertical="center" wrapText="1"/>
    </xf>
    <xf numFmtId="0" fontId="0" fillId="0" borderId="37" xfId="0" applyBorder="1"/>
    <xf numFmtId="9" fontId="24" fillId="5" borderId="28" xfId="0" applyNumberFormat="1" applyFont="1" applyFill="1" applyBorder="1" applyAlignment="1">
      <alignment horizontal="center" vertical="center" wrapText="1"/>
    </xf>
    <xf numFmtId="0" fontId="1" fillId="0" borderId="11" xfId="0" applyFont="1" applyBorder="1" applyAlignment="1">
      <alignment horizontal="center" vertical="center" wrapText="1"/>
    </xf>
    <xf numFmtId="9" fontId="24" fillId="5" borderId="44" xfId="0" applyNumberFormat="1" applyFont="1" applyFill="1" applyBorder="1" applyAlignment="1">
      <alignment horizontal="center" vertical="center" wrapText="1"/>
    </xf>
    <xf numFmtId="0" fontId="0" fillId="6" borderId="45" xfId="0" applyFill="1" applyBorder="1"/>
    <xf numFmtId="0" fontId="8" fillId="0" borderId="43" xfId="0" applyFont="1" applyBorder="1" applyAlignment="1">
      <alignment horizontal="center" vertical="center" wrapText="1"/>
    </xf>
    <xf numFmtId="0" fontId="8" fillId="0" borderId="44" xfId="0" applyFont="1" applyBorder="1" applyAlignment="1">
      <alignment horizontal="center" vertical="center" wrapText="1"/>
    </xf>
    <xf numFmtId="0" fontId="0" fillId="0" borderId="0" xfId="0" applyBorder="1"/>
    <xf numFmtId="0" fontId="2" fillId="0" borderId="11" xfId="0" applyFont="1" applyBorder="1" applyAlignment="1">
      <alignment horizontal="left"/>
    </xf>
    <xf numFmtId="0" fontId="8" fillId="0" borderId="44" xfId="0" applyFont="1" applyBorder="1" applyAlignment="1">
      <alignment horizontal="right" vertical="center" wrapText="1"/>
    </xf>
    <xf numFmtId="0" fontId="8" fillId="9" borderId="42" xfId="0" applyFont="1" applyFill="1" applyBorder="1" applyAlignment="1">
      <alignment horizontal="center" vertical="center"/>
    </xf>
    <xf numFmtId="0" fontId="2" fillId="0" borderId="23" xfId="0" applyFont="1" applyBorder="1" applyAlignment="1">
      <alignment horizontal="left"/>
    </xf>
    <xf numFmtId="0" fontId="18" fillId="8" borderId="16" xfId="0" applyFont="1" applyFill="1" applyBorder="1" applyAlignment="1">
      <alignment vertical="center" wrapText="1"/>
    </xf>
    <xf numFmtId="0" fontId="18" fillId="8" borderId="19" xfId="0" applyFont="1" applyFill="1" applyBorder="1" applyAlignment="1">
      <alignment vertical="center" wrapText="1"/>
    </xf>
    <xf numFmtId="0" fontId="0" fillId="0" borderId="25" xfId="0" applyBorder="1" applyAlignment="1">
      <alignment vertical="top" wrapText="1"/>
    </xf>
    <xf numFmtId="0" fontId="8" fillId="0" borderId="0" xfId="0" applyFont="1" applyBorder="1" applyAlignment="1">
      <alignment horizontal="right" vertical="center" wrapText="1"/>
    </xf>
    <xf numFmtId="2" fontId="24" fillId="0" borderId="0" xfId="0" applyNumberFormat="1" applyFont="1" applyBorder="1" applyAlignment="1">
      <alignment horizontal="center" vertical="center" wrapText="1"/>
    </xf>
    <xf numFmtId="168" fontId="24" fillId="0" borderId="0" xfId="0" applyNumberFormat="1" applyFont="1" applyBorder="1" applyAlignment="1">
      <alignment horizontal="center" vertical="center" wrapText="1"/>
    </xf>
    <xf numFmtId="168" fontId="8" fillId="0" borderId="0" xfId="0" applyNumberFormat="1" applyFont="1" applyBorder="1" applyAlignment="1">
      <alignment horizontal="center" vertical="center" wrapText="1"/>
    </xf>
    <xf numFmtId="0" fontId="0" fillId="10" borderId="0" xfId="0" applyFill="1" applyBorder="1"/>
    <xf numFmtId="0" fontId="1" fillId="0" borderId="49" xfId="0" applyFont="1" applyBorder="1" applyAlignment="1">
      <alignment horizontal="center" vertical="center" wrapText="1"/>
    </xf>
    <xf numFmtId="9" fontId="24" fillId="5" borderId="49" xfId="0" applyNumberFormat="1" applyFont="1" applyFill="1" applyBorder="1" applyAlignment="1">
      <alignment horizontal="center" vertical="center" wrapText="1"/>
    </xf>
    <xf numFmtId="2" fontId="24" fillId="0" borderId="33" xfId="0" applyNumberFormat="1" applyFont="1" applyBorder="1" applyAlignment="1">
      <alignment horizontal="center" vertical="center" wrapText="1"/>
    </xf>
    <xf numFmtId="168" fontId="24" fillId="0" borderId="33" xfId="0" applyNumberFormat="1" applyFont="1" applyBorder="1" applyAlignment="1">
      <alignment horizontal="center" vertical="center" wrapText="1"/>
    </xf>
    <xf numFmtId="168" fontId="8" fillId="0" borderId="33" xfId="0" applyNumberFormat="1" applyFont="1" applyBorder="1" applyAlignment="1">
      <alignment horizontal="center" vertical="center" wrapText="1"/>
    </xf>
    <xf numFmtId="0" fontId="0" fillId="10" borderId="33" xfId="0" applyFill="1" applyBorder="1"/>
    <xf numFmtId="2" fontId="24" fillId="0" borderId="46" xfId="0" applyNumberFormat="1" applyFont="1" applyBorder="1" applyAlignment="1">
      <alignment horizontal="center" vertical="center" wrapText="1"/>
    </xf>
    <xf numFmtId="168" fontId="24" fillId="0" borderId="46" xfId="0" applyNumberFormat="1" applyFont="1" applyBorder="1" applyAlignment="1">
      <alignment horizontal="center" vertical="center" wrapText="1"/>
    </xf>
    <xf numFmtId="168" fontId="8" fillId="0" borderId="46" xfId="0" applyNumberFormat="1" applyFont="1" applyBorder="1" applyAlignment="1">
      <alignment horizontal="center" vertical="center" wrapText="1"/>
    </xf>
    <xf numFmtId="0" fontId="8" fillId="0" borderId="46" xfId="0" applyFont="1" applyBorder="1" applyAlignment="1">
      <alignment horizontal="right" vertical="center" wrapText="1"/>
    </xf>
    <xf numFmtId="0" fontId="15" fillId="0" borderId="32" xfId="0" applyFont="1" applyBorder="1" applyAlignment="1">
      <alignment vertical="top" wrapText="1"/>
    </xf>
    <xf numFmtId="0" fontId="0" fillId="0" borderId="0" xfId="0" applyFill="1"/>
    <xf numFmtId="0" fontId="0" fillId="0" borderId="25" xfId="0" applyFill="1" applyBorder="1"/>
    <xf numFmtId="0" fontId="0" fillId="0" borderId="40" xfId="0" applyFill="1" applyBorder="1"/>
    <xf numFmtId="0" fontId="0" fillId="0" borderId="33" xfId="0" applyFill="1" applyBorder="1"/>
    <xf numFmtId="0" fontId="0" fillId="0" borderId="0" xfId="0" applyFill="1" applyBorder="1"/>
    <xf numFmtId="0" fontId="0" fillId="0" borderId="46" xfId="0" applyFill="1" applyBorder="1"/>
    <xf numFmtId="0" fontId="0" fillId="10" borderId="23" xfId="0" applyFill="1" applyBorder="1"/>
    <xf numFmtId="0" fontId="2" fillId="0" borderId="40" xfId="0" applyFont="1" applyBorder="1" applyAlignment="1">
      <alignment vertical="center"/>
    </xf>
    <xf numFmtId="0" fontId="2" fillId="0" borderId="6" xfId="0" applyFont="1" applyBorder="1" applyAlignment="1">
      <alignment vertical="top" wrapText="1"/>
    </xf>
    <xf numFmtId="0" fontId="0" fillId="0" borderId="4" xfId="0" applyBorder="1" applyAlignment="1">
      <alignment vertical="top" wrapText="1"/>
    </xf>
    <xf numFmtId="0" fontId="0" fillId="0" borderId="6" xfId="0" applyBorder="1" applyAlignment="1">
      <alignment horizontal="center" vertical="top" wrapText="1"/>
    </xf>
    <xf numFmtId="0" fontId="0" fillId="0" borderId="6" xfId="0" applyBorder="1" applyAlignment="1">
      <alignment vertical="top" wrapText="1"/>
    </xf>
    <xf numFmtId="0" fontId="0" fillId="0" borderId="4" xfId="0" applyFill="1" applyBorder="1"/>
    <xf numFmtId="0" fontId="0" fillId="0" borderId="0" xfId="0" applyFill="1" applyBorder="1" applyAlignment="1">
      <alignment vertical="top" wrapText="1"/>
    </xf>
    <xf numFmtId="2" fontId="24" fillId="0" borderId="0" xfId="0" applyNumberFormat="1" applyFont="1" applyFill="1" applyBorder="1" applyAlignment="1">
      <alignment horizontal="center" vertical="center" wrapText="1"/>
    </xf>
    <xf numFmtId="168" fontId="25" fillId="0" borderId="0" xfId="2" applyNumberFormat="1" applyFont="1" applyFill="1" applyBorder="1" applyAlignment="1">
      <alignment horizontal="center" vertical="center" wrapText="1"/>
    </xf>
    <xf numFmtId="168" fontId="8" fillId="0" borderId="44" xfId="0" applyNumberFormat="1" applyFont="1" applyBorder="1" applyAlignment="1">
      <alignment horizontal="center" vertical="center" wrapText="1"/>
    </xf>
    <xf numFmtId="168" fontId="8" fillId="0" borderId="42" xfId="0" applyNumberFormat="1" applyFont="1" applyBorder="1" applyAlignment="1">
      <alignment horizontal="center" vertical="center" wrapText="1"/>
    </xf>
    <xf numFmtId="0" fontId="17" fillId="8" borderId="15" xfId="0" applyFont="1" applyFill="1" applyBorder="1" applyAlignment="1">
      <alignment vertical="center" wrapText="1"/>
    </xf>
    <xf numFmtId="0" fontId="17" fillId="8" borderId="0" xfId="0" applyFont="1" applyFill="1" applyBorder="1" applyAlignment="1">
      <alignment vertical="center" wrapText="1"/>
    </xf>
    <xf numFmtId="0" fontId="17" fillId="7" borderId="0" xfId="0" applyFont="1" applyFill="1" applyBorder="1" applyAlignment="1">
      <alignment vertical="center" wrapText="1"/>
    </xf>
    <xf numFmtId="0" fontId="19" fillId="7" borderId="0" xfId="0" applyFont="1" applyFill="1" applyBorder="1" applyAlignment="1">
      <alignment vertical="center" wrapText="1"/>
    </xf>
    <xf numFmtId="0" fontId="22" fillId="7" borderId="19" xfId="0" applyFont="1" applyFill="1" applyBorder="1" applyAlignment="1">
      <alignment horizontal="center" vertical="center" wrapText="1"/>
    </xf>
    <xf numFmtId="0" fontId="17" fillId="7" borderId="14" xfId="0" applyFont="1" applyFill="1" applyBorder="1" applyAlignment="1">
      <alignment vertical="center" wrapText="1"/>
    </xf>
    <xf numFmtId="0" fontId="18" fillId="7" borderId="20" xfId="0" applyFont="1" applyFill="1" applyBorder="1" applyAlignment="1">
      <alignment vertical="center" wrapText="1"/>
    </xf>
    <xf numFmtId="0" fontId="16" fillId="7" borderId="41" xfId="0" applyFont="1" applyFill="1" applyBorder="1" applyAlignment="1">
      <alignment horizontal="center" vertical="center" wrapText="1"/>
    </xf>
    <xf numFmtId="0" fontId="19" fillId="7" borderId="18" xfId="0" applyFont="1" applyFill="1" applyBorder="1" applyAlignment="1">
      <alignment horizontal="center" vertical="center" wrapText="1"/>
    </xf>
    <xf numFmtId="0" fontId="19" fillId="7" borderId="41" xfId="0" applyFont="1" applyFill="1" applyBorder="1" applyAlignment="1">
      <alignment horizontal="center" vertical="center" wrapText="1"/>
    </xf>
    <xf numFmtId="0" fontId="22" fillId="7" borderId="41" xfId="0" applyFont="1" applyFill="1" applyBorder="1" applyAlignment="1">
      <alignment horizontal="center" vertical="center" wrapText="1"/>
    </xf>
    <xf numFmtId="0" fontId="19" fillId="7" borderId="12" xfId="0" applyFont="1" applyFill="1" applyBorder="1" applyAlignment="1">
      <alignment horizontal="center" vertical="center" wrapText="1"/>
    </xf>
    <xf numFmtId="0" fontId="0" fillId="3" borderId="5" xfId="0" applyFont="1" applyFill="1" applyBorder="1" applyAlignment="1">
      <alignment horizontal="center" vertical="center" wrapText="1"/>
    </xf>
    <xf numFmtId="0" fontId="0" fillId="3" borderId="7" xfId="0" applyFont="1" applyFill="1" applyBorder="1" applyAlignment="1">
      <alignment horizontal="center" vertical="center" wrapText="1"/>
    </xf>
    <xf numFmtId="0" fontId="1" fillId="0" borderId="27"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5" xfId="0" applyFont="1" applyBorder="1" applyAlignment="1">
      <alignment horizontal="center" vertical="center"/>
    </xf>
    <xf numFmtId="9" fontId="0" fillId="5" borderId="5" xfId="2" applyFont="1" applyFill="1" applyBorder="1" applyAlignment="1">
      <alignment wrapText="1"/>
    </xf>
    <xf numFmtId="0" fontId="3" fillId="2" borderId="4" xfId="0" applyFont="1" applyFill="1" applyBorder="1"/>
    <xf numFmtId="0" fontId="0" fillId="2" borderId="4" xfId="0" applyFill="1" applyBorder="1"/>
    <xf numFmtId="0" fontId="0" fillId="0" borderId="34" xfId="0" applyBorder="1"/>
    <xf numFmtId="0" fontId="10" fillId="5" borderId="50" xfId="0" applyFont="1" applyFill="1" applyBorder="1" applyAlignment="1">
      <alignment wrapText="1"/>
    </xf>
    <xf numFmtId="0" fontId="0" fillId="0" borderId="51" xfId="0" applyBorder="1"/>
    <xf numFmtId="0" fontId="0" fillId="6" borderId="4" xfId="0" applyFill="1" applyBorder="1"/>
    <xf numFmtId="0" fontId="3" fillId="2" borderId="50" xfId="0" applyFont="1" applyFill="1" applyBorder="1"/>
    <xf numFmtId="0" fontId="0" fillId="2" borderId="50" xfId="0" applyFill="1" applyBorder="1"/>
    <xf numFmtId="2" fontId="3" fillId="2" borderId="50" xfId="0" applyNumberFormat="1" applyFont="1" applyFill="1" applyBorder="1"/>
    <xf numFmtId="0" fontId="3" fillId="2" borderId="8" xfId="0" applyFont="1" applyFill="1" applyBorder="1" applyAlignment="1">
      <alignment wrapText="1"/>
    </xf>
    <xf numFmtId="0" fontId="33" fillId="5" borderId="0" xfId="0" applyFont="1" applyFill="1" applyAlignment="1">
      <alignment wrapText="1"/>
    </xf>
    <xf numFmtId="9" fontId="0" fillId="0" borderId="0" xfId="0" applyNumberFormat="1"/>
    <xf numFmtId="2" fontId="25" fillId="5" borderId="5" xfId="0" applyNumberFormat="1" applyFont="1" applyFill="1" applyBorder="1" applyAlignment="1">
      <alignment horizontal="center" vertical="center" wrapText="1"/>
    </xf>
    <xf numFmtId="2" fontId="25" fillId="5" borderId="36" xfId="0" applyNumberFormat="1" applyFont="1" applyFill="1" applyBorder="1" applyAlignment="1">
      <alignment horizontal="center" vertical="center" wrapText="1"/>
    </xf>
    <xf numFmtId="2" fontId="25" fillId="5" borderId="7" xfId="0" applyNumberFormat="1" applyFont="1" applyFill="1" applyBorder="1" applyAlignment="1">
      <alignment horizontal="center" vertical="center" wrapText="1"/>
    </xf>
    <xf numFmtId="0" fontId="35" fillId="0" borderId="0" xfId="0" applyFont="1"/>
    <xf numFmtId="0" fontId="35" fillId="0" borderId="25" xfId="0" applyFont="1" applyBorder="1"/>
    <xf numFmtId="0" fontId="36" fillId="0" borderId="39" xfId="0" applyFont="1" applyBorder="1"/>
    <xf numFmtId="0" fontId="36" fillId="0" borderId="40" xfId="0" applyFont="1" applyBorder="1"/>
    <xf numFmtId="0" fontId="36" fillId="0" borderId="29" xfId="0" applyFont="1" applyBorder="1"/>
    <xf numFmtId="0" fontId="36" fillId="0" borderId="0" xfId="0" applyFont="1"/>
    <xf numFmtId="0" fontId="36" fillId="0" borderId="25" xfId="0" applyFont="1" applyBorder="1"/>
    <xf numFmtId="0" fontId="38" fillId="0" borderId="54" xfId="0" applyFont="1" applyBorder="1" applyAlignment="1">
      <alignment horizontal="center" vertical="center" wrapText="1"/>
    </xf>
    <xf numFmtId="0" fontId="38" fillId="0" borderId="55" xfId="0" applyFont="1" applyBorder="1" applyAlignment="1">
      <alignment horizontal="center" vertical="center" wrapText="1"/>
    </xf>
    <xf numFmtId="0" fontId="38" fillId="0" borderId="57" xfId="0" applyFont="1" applyBorder="1" applyAlignment="1">
      <alignment horizontal="center" vertical="center" wrapText="1"/>
    </xf>
    <xf numFmtId="0" fontId="38" fillId="0" borderId="58" xfId="0" applyFont="1" applyBorder="1" applyAlignment="1">
      <alignment horizontal="center" vertical="center" wrapText="1"/>
    </xf>
    <xf numFmtId="0" fontId="40" fillId="0" borderId="55" xfId="0" applyFont="1" applyBorder="1" applyAlignment="1">
      <alignment horizontal="left" vertical="center" wrapText="1"/>
    </xf>
    <xf numFmtId="0" fontId="40" fillId="0" borderId="55" xfId="0" applyFont="1" applyBorder="1" applyAlignment="1">
      <alignment horizontal="center" vertical="center" wrapText="1"/>
    </xf>
    <xf numFmtId="0" fontId="40" fillId="0" borderId="58" xfId="0" applyFont="1" applyBorder="1" applyAlignment="1">
      <alignment horizontal="center" vertical="center" wrapText="1"/>
    </xf>
    <xf numFmtId="0" fontId="37" fillId="0" borderId="54" xfId="0" applyFont="1" applyBorder="1" applyAlignment="1">
      <alignment horizontal="left" vertical="center" wrapText="1"/>
    </xf>
    <xf numFmtId="0" fontId="37" fillId="0" borderId="55" xfId="0" applyFont="1" applyBorder="1" applyAlignment="1">
      <alignment horizontal="left" vertical="center" wrapText="1" indent="1"/>
    </xf>
    <xf numFmtId="0" fontId="37" fillId="0" borderId="55" xfId="0" applyFont="1" applyBorder="1" applyAlignment="1">
      <alignment horizontal="left" vertical="center" wrapText="1"/>
    </xf>
    <xf numFmtId="0" fontId="40" fillId="0" borderId="53" xfId="0" applyFont="1" applyBorder="1" applyAlignment="1">
      <alignment horizontal="left" vertical="center" wrapText="1"/>
    </xf>
    <xf numFmtId="0" fontId="41" fillId="0" borderId="0" xfId="0" applyFont="1" applyAlignment="1">
      <alignment horizontal="left" vertical="center" wrapText="1"/>
    </xf>
    <xf numFmtId="0" fontId="38" fillId="0" borderId="0" xfId="0" applyFont="1" applyAlignment="1">
      <alignment horizontal="left" vertical="center" wrapText="1"/>
    </xf>
    <xf numFmtId="0" fontId="41" fillId="0" borderId="59" xfId="0" applyFont="1" applyBorder="1" applyAlignment="1">
      <alignment horizontal="left" vertical="center" wrapText="1"/>
    </xf>
    <xf numFmtId="0" fontId="38" fillId="0" borderId="59" xfId="0" applyFont="1" applyBorder="1" applyAlignment="1">
      <alignment horizontal="left" vertical="center" wrapText="1"/>
    </xf>
    <xf numFmtId="170" fontId="27" fillId="2" borderId="5" xfId="1" applyNumberFormat="1" applyFont="1" applyFill="1" applyBorder="1" applyAlignment="1">
      <alignment horizontal="right" vertical="center"/>
    </xf>
    <xf numFmtId="0" fontId="0" fillId="3" borderId="7" xfId="0" applyFill="1" applyBorder="1" applyAlignment="1">
      <alignment horizontal="center" vertical="center"/>
    </xf>
    <xf numFmtId="0" fontId="34" fillId="3" borderId="7" xfId="0" applyFont="1" applyFill="1" applyBorder="1" applyAlignment="1">
      <alignment horizontal="center" vertical="center"/>
    </xf>
    <xf numFmtId="0" fontId="0" fillId="3" borderId="7" xfId="0" applyFill="1" applyBorder="1" applyAlignment="1">
      <alignment horizontal="center" vertical="center" wrapText="1"/>
    </xf>
    <xf numFmtId="0" fontId="0" fillId="4" borderId="7" xfId="0" applyFill="1" applyBorder="1"/>
    <xf numFmtId="0" fontId="0" fillId="3" borderId="7" xfId="0" applyFill="1" applyBorder="1" applyAlignment="1">
      <alignment horizontal="center" wrapText="1"/>
    </xf>
    <xf numFmtId="0" fontId="0" fillId="3" borderId="7" xfId="0" applyFill="1" applyBorder="1" applyAlignment="1">
      <alignment horizontal="center" vertical="center" wrapText="1"/>
    </xf>
    <xf numFmtId="0" fontId="5" fillId="3" borderId="7" xfId="0" applyFont="1" applyFill="1" applyBorder="1" applyAlignment="1">
      <alignment vertical="center" wrapText="1"/>
    </xf>
    <xf numFmtId="0" fontId="0" fillId="3" borderId="7" xfId="0" applyFill="1" applyBorder="1" applyAlignment="1">
      <alignment vertical="center" wrapText="1"/>
    </xf>
    <xf numFmtId="165" fontId="11" fillId="5" borderId="2" xfId="1" applyNumberFormat="1" applyFont="1" applyFill="1" applyBorder="1"/>
    <xf numFmtId="170" fontId="27" fillId="2" borderId="5" xfId="1" applyNumberFormat="1" applyFont="1" applyFill="1" applyBorder="1" applyAlignment="1">
      <alignment horizontal="right"/>
    </xf>
    <xf numFmtId="0" fontId="0" fillId="0" borderId="0" xfId="0" applyBorder="1" applyAlignment="1">
      <alignment horizontal="center" vertical="center" wrapText="1"/>
    </xf>
    <xf numFmtId="0" fontId="0" fillId="0" borderId="0" xfId="0" applyBorder="1" applyAlignment="1">
      <alignment vertical="center"/>
    </xf>
    <xf numFmtId="0" fontId="0" fillId="0" borderId="5" xfId="0" applyFont="1" applyBorder="1" applyAlignment="1">
      <alignment horizontal="left" vertical="center" wrapText="1"/>
    </xf>
    <xf numFmtId="0" fontId="27" fillId="2" borderId="5" xfId="0" applyFont="1" applyFill="1" applyBorder="1" applyAlignment="1">
      <alignment horizontal="center" vertical="center"/>
    </xf>
    <xf numFmtId="14" fontId="27" fillId="2" borderId="5" xfId="0" applyNumberFormat="1" applyFont="1" applyFill="1" applyBorder="1" applyAlignment="1">
      <alignment horizontal="center" vertical="center"/>
    </xf>
    <xf numFmtId="9" fontId="27" fillId="2" borderId="5" xfId="2" applyFont="1" applyFill="1" applyBorder="1" applyAlignment="1">
      <alignment horizontal="center" vertical="center"/>
    </xf>
    <xf numFmtId="164" fontId="27" fillId="2" borderId="5" xfId="1" applyNumberFormat="1" applyFont="1" applyFill="1" applyBorder="1" applyAlignment="1">
      <alignment horizontal="center" vertical="center"/>
    </xf>
    <xf numFmtId="169" fontId="27" fillId="2" borderId="5" xfId="1" applyNumberFormat="1" applyFont="1" applyFill="1" applyBorder="1" applyAlignment="1">
      <alignment horizontal="center" vertical="center"/>
    </xf>
    <xf numFmtId="43" fontId="27" fillId="2" borderId="5" xfId="1" applyFont="1" applyFill="1" applyBorder="1" applyAlignment="1">
      <alignment horizontal="center" vertical="center"/>
    </xf>
    <xf numFmtId="0" fontId="2" fillId="0" borderId="5" xfId="0" applyFont="1" applyBorder="1"/>
    <xf numFmtId="0" fontId="26" fillId="0" borderId="5" xfId="0" applyFont="1" applyBorder="1"/>
    <xf numFmtId="0" fontId="0" fillId="0" borderId="5" xfId="0" applyFont="1" applyBorder="1" applyAlignment="1">
      <alignment vertical="center" wrapText="1"/>
    </xf>
    <xf numFmtId="0" fontId="0" fillId="0" borderId="5" xfId="0" applyFont="1" applyBorder="1" applyAlignment="1">
      <alignment wrapText="1"/>
    </xf>
    <xf numFmtId="0" fontId="7" fillId="0" borderId="4" xfId="0" applyFont="1" applyBorder="1"/>
    <xf numFmtId="0" fontId="10" fillId="5" borderId="7" xfId="0" applyFont="1" applyFill="1" applyBorder="1" applyAlignment="1">
      <alignment wrapText="1"/>
    </xf>
    <xf numFmtId="0" fontId="6" fillId="3" borderId="10" xfId="0" applyFont="1" applyFill="1" applyBorder="1" applyAlignment="1">
      <alignment horizontal="center" vertical="center" wrapText="1"/>
    </xf>
    <xf numFmtId="0" fontId="8" fillId="0" borderId="8" xfId="0" applyFont="1" applyBorder="1" applyAlignment="1">
      <alignment horizontal="center" vertical="center" wrapText="1"/>
    </xf>
    <xf numFmtId="171" fontId="27" fillId="2" borderId="5" xfId="1" applyNumberFormat="1" applyFont="1" applyFill="1" applyBorder="1" applyAlignment="1">
      <alignment horizontal="right"/>
    </xf>
    <xf numFmtId="2" fontId="0" fillId="0" borderId="0" xfId="0" applyNumberFormat="1" applyFont="1"/>
    <xf numFmtId="0" fontId="0" fillId="11" borderId="62" xfId="0" applyFill="1" applyBorder="1"/>
    <xf numFmtId="0" fontId="36" fillId="0" borderId="0" xfId="0" applyFont="1" applyBorder="1"/>
    <xf numFmtId="0" fontId="1" fillId="0" borderId="27" xfId="0" applyFont="1" applyFill="1" applyBorder="1" applyAlignment="1">
      <alignment horizontal="right"/>
    </xf>
    <xf numFmtId="0" fontId="8" fillId="0" borderId="0" xfId="0" applyFont="1" applyFill="1" applyAlignment="1">
      <alignment horizontal="right" vertical="center" wrapText="1"/>
    </xf>
    <xf numFmtId="0" fontId="1" fillId="0" borderId="9" xfId="0" applyFont="1" applyFill="1" applyBorder="1" applyAlignment="1">
      <alignment horizontal="center" vertical="center" wrapText="1"/>
    </xf>
    <xf numFmtId="0" fontId="1" fillId="0" borderId="11" xfId="0" applyFont="1" applyFill="1" applyBorder="1" applyAlignment="1">
      <alignment horizontal="right"/>
    </xf>
    <xf numFmtId="0" fontId="1" fillId="0" borderId="24" xfId="0" applyFont="1" applyFill="1" applyBorder="1" applyAlignment="1">
      <alignment horizontal="center" vertical="center" wrapText="1"/>
    </xf>
    <xf numFmtId="0" fontId="7" fillId="0" borderId="15" xfId="0" applyFont="1" applyBorder="1" applyAlignment="1">
      <alignment horizontal="center" wrapText="1"/>
    </xf>
    <xf numFmtId="0" fontId="0" fillId="0" borderId="0" xfId="0" applyAlignment="1">
      <alignment vertical="top" wrapText="1"/>
    </xf>
    <xf numFmtId="0" fontId="6" fillId="0" borderId="0" xfId="0" applyFont="1" applyAlignment="1">
      <alignment horizontal="center" wrapText="1"/>
    </xf>
    <xf numFmtId="0" fontId="0" fillId="0" borderId="0" xfId="0" applyFill="1" applyAlignment="1">
      <alignment wrapText="1"/>
    </xf>
    <xf numFmtId="0" fontId="42" fillId="0" borderId="0" xfId="0" applyFont="1" applyFill="1" applyAlignment="1">
      <alignment wrapText="1"/>
    </xf>
    <xf numFmtId="0" fontId="0" fillId="0" borderId="5" xfId="0" applyFont="1" applyFill="1" applyBorder="1" applyAlignment="1">
      <alignment horizontal="left" vertical="center" wrapText="1"/>
    </xf>
    <xf numFmtId="0" fontId="2" fillId="0" borderId="5" xfId="0" applyFont="1" applyFill="1" applyBorder="1" applyAlignment="1">
      <alignment vertical="center" wrapText="1"/>
    </xf>
    <xf numFmtId="0" fontId="0" fillId="0" borderId="5" xfId="0" applyFont="1" applyFill="1" applyBorder="1" applyAlignment="1">
      <alignment vertical="center" wrapText="1"/>
    </xf>
    <xf numFmtId="0" fontId="0" fillId="0" borderId="5" xfId="0" applyBorder="1" applyAlignment="1">
      <alignment horizontal="left" vertical="center" wrapText="1"/>
    </xf>
    <xf numFmtId="0" fontId="42" fillId="0" borderId="6" xfId="0" applyFont="1" applyFill="1" applyBorder="1" applyAlignment="1">
      <alignment horizontal="center" vertical="center" wrapText="1"/>
    </xf>
    <xf numFmtId="0" fontId="42" fillId="0" borderId="29" xfId="0" applyFont="1" applyFill="1" applyBorder="1" applyAlignment="1">
      <alignment horizontal="center" vertical="center" wrapText="1"/>
    </xf>
    <xf numFmtId="0" fontId="42" fillId="0" borderId="4"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29"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2" fillId="0" borderId="5" xfId="0" applyFont="1" applyFill="1" applyBorder="1" applyAlignment="1">
      <alignment horizontal="center" vertical="center" wrapText="1"/>
    </xf>
    <xf numFmtId="0" fontId="0" fillId="0" borderId="5" xfId="0" applyBorder="1" applyAlignment="1">
      <alignment horizontal="left"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0" fillId="3" borderId="7" xfId="0" applyFill="1" applyBorder="1" applyAlignment="1">
      <alignment horizontal="center" vertical="center" wrapText="1"/>
    </xf>
    <xf numFmtId="0" fontId="0" fillId="3" borderId="7" xfId="0" applyFill="1"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xf>
    <xf numFmtId="0" fontId="0" fillId="3" borderId="7" xfId="0" applyFill="1" applyBorder="1" applyAlignment="1">
      <alignment horizontal="center" wrapText="1"/>
    </xf>
    <xf numFmtId="0" fontId="0" fillId="3" borderId="61" xfId="0" applyFill="1" applyBorder="1" applyAlignment="1">
      <alignment horizontal="center" vertical="center" wrapText="1"/>
    </xf>
    <xf numFmtId="0" fontId="0" fillId="3" borderId="31" xfId="0" applyFill="1" applyBorder="1" applyAlignment="1">
      <alignment horizontal="center" vertical="center" wrapText="1"/>
    </xf>
    <xf numFmtId="0" fontId="0" fillId="3" borderId="61" xfId="0" applyFill="1" applyBorder="1" applyAlignment="1">
      <alignment horizontal="center" wrapText="1"/>
    </xf>
    <xf numFmtId="0" fontId="0" fillId="3" borderId="31" xfId="0" applyFill="1" applyBorder="1" applyAlignment="1">
      <alignment horizontal="center" wrapText="1"/>
    </xf>
    <xf numFmtId="0" fontId="5" fillId="3" borderId="1" xfId="0" applyFont="1" applyFill="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0" fillId="0" borderId="7" xfId="0" applyBorder="1" applyAlignment="1">
      <alignment horizontal="center" vertical="center"/>
    </xf>
    <xf numFmtId="0" fontId="8" fillId="0" borderId="5" xfId="0" applyFont="1" applyBorder="1" applyAlignment="1">
      <alignment horizontal="center" vertical="center" wrapText="1"/>
    </xf>
    <xf numFmtId="0" fontId="8" fillId="0" borderId="8" xfId="0" applyFont="1" applyBorder="1" applyAlignment="1">
      <alignment horizontal="center"/>
    </xf>
    <xf numFmtId="0" fontId="8" fillId="0" borderId="9" xfId="0" applyFont="1" applyBorder="1" applyAlignment="1">
      <alignment horizontal="center"/>
    </xf>
    <xf numFmtId="0" fontId="8" fillId="0" borderId="7" xfId="0" applyFont="1" applyBorder="1" applyAlignment="1">
      <alignment horizontal="center"/>
    </xf>
    <xf numFmtId="0" fontId="0" fillId="3" borderId="5" xfId="0" applyFill="1" applyBorder="1" applyAlignment="1">
      <alignment horizontal="center" vertical="center"/>
    </xf>
    <xf numFmtId="0" fontId="8" fillId="0" borderId="7" xfId="0" applyFont="1" applyBorder="1" applyAlignment="1">
      <alignment horizontal="center" vertical="center" wrapText="1"/>
    </xf>
    <xf numFmtId="0" fontId="0" fillId="0" borderId="5" xfId="0" applyFont="1" applyBorder="1" applyAlignment="1">
      <alignment horizontal="center" vertical="center" wrapText="1"/>
    </xf>
    <xf numFmtId="0" fontId="0" fillId="0" borderId="5" xfId="0" applyBorder="1" applyAlignment="1">
      <alignment horizontal="center" vertical="center"/>
    </xf>
    <xf numFmtId="0" fontId="0" fillId="0" borderId="5" xfId="0" applyBorder="1" applyAlignment="1">
      <alignment horizontal="center" vertical="center" wrapText="1"/>
    </xf>
    <xf numFmtId="0" fontId="28" fillId="3" borderId="1" xfId="0" applyFont="1" applyFill="1" applyBorder="1" applyAlignment="1">
      <alignment horizontal="center" vertical="center" wrapText="1"/>
    </xf>
    <xf numFmtId="0" fontId="28" fillId="3" borderId="2"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28" fillId="3" borderId="17" xfId="0" applyFont="1" applyFill="1" applyBorder="1" applyAlignment="1">
      <alignment horizontal="center" vertical="center" wrapText="1"/>
    </xf>
    <xf numFmtId="0" fontId="28" fillId="3" borderId="18" xfId="0" applyFont="1" applyFill="1" applyBorder="1" applyAlignment="1">
      <alignment horizontal="center" vertical="center" wrapText="1"/>
    </xf>
    <xf numFmtId="0" fontId="28" fillId="3" borderId="19" xfId="0" applyFont="1" applyFill="1" applyBorder="1" applyAlignment="1">
      <alignment horizontal="center" vertical="center" wrapText="1"/>
    </xf>
    <xf numFmtId="0" fontId="0" fillId="0" borderId="31" xfId="0" applyBorder="1" applyAlignment="1">
      <alignment horizontal="center" wrapText="1"/>
    </xf>
    <xf numFmtId="0" fontId="0" fillId="0" borderId="52" xfId="0" applyBorder="1" applyAlignment="1">
      <alignment horizontal="center" wrapText="1"/>
    </xf>
    <xf numFmtId="0" fontId="14" fillId="0" borderId="0" xfId="0" applyFont="1" applyAlignment="1">
      <alignment horizontal="center" vertical="center" wrapText="1"/>
    </xf>
    <xf numFmtId="0" fontId="0" fillId="0" borderId="0" xfId="0" applyAlignment="1">
      <alignment horizontal="left" vertical="top" wrapText="1"/>
    </xf>
    <xf numFmtId="0" fontId="0" fillId="0" borderId="0" xfId="0" applyAlignment="1">
      <alignment horizontal="left" vertical="top"/>
    </xf>
    <xf numFmtId="0" fontId="20" fillId="7" borderId="1" xfId="0" applyFont="1" applyFill="1" applyBorder="1" applyAlignment="1">
      <alignment horizontal="center" vertical="center" wrapText="1"/>
    </xf>
    <xf numFmtId="0" fontId="20" fillId="7" borderId="3" xfId="0" applyFont="1" applyFill="1" applyBorder="1" applyAlignment="1">
      <alignment horizontal="center" vertical="center" wrapText="1"/>
    </xf>
    <xf numFmtId="0" fontId="21" fillId="7" borderId="2" xfId="0" applyFont="1" applyFill="1" applyBorder="1" applyAlignment="1">
      <alignment horizontal="center" vertical="center" wrapText="1"/>
    </xf>
    <xf numFmtId="0" fontId="20" fillId="7" borderId="2" xfId="0" applyFont="1" applyFill="1" applyBorder="1" applyAlignment="1">
      <alignment horizontal="center" vertical="center" wrapText="1"/>
    </xf>
    <xf numFmtId="0" fontId="21" fillId="7" borderId="18" xfId="0" applyFont="1" applyFill="1" applyBorder="1" applyAlignment="1">
      <alignment horizontal="center" vertical="center" wrapText="1"/>
    </xf>
    <xf numFmtId="0" fontId="21" fillId="7" borderId="19"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19" xfId="0" applyFont="1" applyFill="1" applyBorder="1" applyAlignment="1">
      <alignment horizontal="center" vertical="center" wrapText="1"/>
    </xf>
    <xf numFmtId="0" fontId="32" fillId="3" borderId="1" xfId="0" applyFont="1" applyFill="1" applyBorder="1" applyAlignment="1">
      <alignment horizontal="center" vertical="center"/>
    </xf>
    <xf numFmtId="0" fontId="32" fillId="3" borderId="2" xfId="0" applyFont="1" applyFill="1" applyBorder="1" applyAlignment="1">
      <alignment horizontal="center" vertical="center"/>
    </xf>
    <xf numFmtId="0" fontId="32" fillId="3" borderId="3" xfId="0" applyFont="1" applyFill="1" applyBorder="1" applyAlignment="1">
      <alignment horizontal="center" vertical="center"/>
    </xf>
    <xf numFmtId="0" fontId="20" fillId="9" borderId="2" xfId="0" applyFont="1" applyFill="1" applyBorder="1" applyAlignment="1">
      <alignment horizontal="center" vertical="center" wrapText="1"/>
    </xf>
    <xf numFmtId="0" fontId="20" fillId="9" borderId="3" xfId="0" applyFont="1" applyFill="1" applyBorder="1" applyAlignment="1">
      <alignment horizontal="center" vertical="center" wrapText="1"/>
    </xf>
    <xf numFmtId="0" fontId="17" fillId="8" borderId="17" xfId="0" applyFont="1" applyFill="1" applyBorder="1" applyAlignment="1">
      <alignment horizontal="center" vertical="center" wrapText="1"/>
    </xf>
    <xf numFmtId="0" fontId="17" fillId="8" borderId="18" xfId="0" applyFont="1" applyFill="1" applyBorder="1" applyAlignment="1">
      <alignment horizontal="center" vertical="center" wrapText="1"/>
    </xf>
    <xf numFmtId="0" fontId="15" fillId="0" borderId="46"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25" xfId="0" applyFont="1" applyBorder="1" applyAlignment="1">
      <alignment horizontal="center" vertical="center" wrapText="1"/>
    </xf>
    <xf numFmtId="0" fontId="8" fillId="9" borderId="43" xfId="0" applyFont="1" applyFill="1" applyBorder="1" applyAlignment="1">
      <alignment horizontal="center" vertical="center" wrapText="1"/>
    </xf>
    <xf numFmtId="0" fontId="8" fillId="9" borderId="0" xfId="0" applyFont="1" applyFill="1" applyBorder="1" applyAlignment="1">
      <alignment horizontal="center" vertical="center" wrapText="1"/>
    </xf>
    <xf numFmtId="0" fontId="8" fillId="9" borderId="42" xfId="0" applyFont="1" applyFill="1" applyBorder="1" applyAlignment="1">
      <alignment horizontal="center" vertical="center" wrapText="1"/>
    </xf>
    <xf numFmtId="0" fontId="8" fillId="9" borderId="44" xfId="0" applyFont="1" applyFill="1" applyBorder="1" applyAlignment="1">
      <alignment horizontal="center" vertical="center" wrapText="1"/>
    </xf>
    <xf numFmtId="0" fontId="8" fillId="9" borderId="11" xfId="0" applyFont="1" applyFill="1" applyBorder="1" applyAlignment="1">
      <alignment horizontal="center" vertical="center" wrapText="1"/>
    </xf>
    <xf numFmtId="0" fontId="8" fillId="9" borderId="23" xfId="0" applyFont="1" applyFill="1" applyBorder="1" applyAlignment="1">
      <alignment horizontal="center" vertical="center" wrapText="1"/>
    </xf>
    <xf numFmtId="0" fontId="20" fillId="8" borderId="1" xfId="0" applyFont="1" applyFill="1" applyBorder="1" applyAlignment="1">
      <alignment horizontal="center" vertical="center" wrapText="1"/>
    </xf>
    <xf numFmtId="0" fontId="20" fillId="8" borderId="3" xfId="0" applyFont="1" applyFill="1" applyBorder="1" applyAlignment="1">
      <alignment horizontal="center" vertical="center" wrapText="1"/>
    </xf>
    <xf numFmtId="0" fontId="21" fillId="8" borderId="1" xfId="0" applyFont="1" applyFill="1" applyBorder="1" applyAlignment="1">
      <alignment horizontal="center" vertical="center" wrapText="1"/>
    </xf>
    <xf numFmtId="0" fontId="21" fillId="8" borderId="2" xfId="0" applyFont="1" applyFill="1" applyBorder="1" applyAlignment="1">
      <alignment horizontal="center" vertical="center" wrapText="1"/>
    </xf>
    <xf numFmtId="0" fontId="21" fillId="8" borderId="3" xfId="0" applyFont="1" applyFill="1" applyBorder="1" applyAlignment="1">
      <alignment horizontal="center" vertical="center" wrapText="1"/>
    </xf>
    <xf numFmtId="0" fontId="8" fillId="9" borderId="47" xfId="0" applyFont="1" applyFill="1" applyBorder="1" applyAlignment="1">
      <alignment horizontal="center" vertical="center" wrapText="1"/>
    </xf>
    <xf numFmtId="0" fontId="8" fillId="9" borderId="21" xfId="0" applyFont="1" applyFill="1" applyBorder="1" applyAlignment="1">
      <alignment horizontal="center" vertical="center" wrapText="1"/>
    </xf>
    <xf numFmtId="0" fontId="8" fillId="9" borderId="22" xfId="0" applyFont="1" applyFill="1" applyBorder="1" applyAlignment="1">
      <alignment horizontal="center" vertical="center" wrapText="1"/>
    </xf>
    <xf numFmtId="0" fontId="8" fillId="0" borderId="48"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3"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23" xfId="0" applyFont="1" applyBorder="1" applyAlignment="1">
      <alignment horizontal="center" vertical="center" wrapText="1"/>
    </xf>
    <xf numFmtId="0" fontId="8" fillId="9" borderId="30" xfId="0" applyFont="1" applyFill="1" applyBorder="1" applyAlignment="1">
      <alignment horizontal="center" vertical="center" wrapText="1"/>
    </xf>
    <xf numFmtId="0" fontId="8" fillId="0" borderId="26" xfId="0" applyFont="1" applyBorder="1" applyAlignment="1">
      <alignment horizontal="center" vertical="center" wrapText="1"/>
    </xf>
    <xf numFmtId="0" fontId="8" fillId="9" borderId="8" xfId="0" applyFont="1" applyFill="1" applyBorder="1" applyAlignment="1">
      <alignment horizontal="center" vertical="center"/>
    </xf>
    <xf numFmtId="0" fontId="8" fillId="9" borderId="7" xfId="0" applyFont="1" applyFill="1" applyBorder="1" applyAlignment="1">
      <alignment horizontal="center" vertical="center"/>
    </xf>
    <xf numFmtId="0" fontId="15" fillId="0" borderId="11" xfId="0" applyFont="1" applyBorder="1" applyAlignment="1">
      <alignment vertical="top" wrapText="1"/>
    </xf>
    <xf numFmtId="0" fontId="15" fillId="0" borderId="23" xfId="0" applyFont="1" applyBorder="1" applyAlignment="1">
      <alignment vertical="top" wrapText="1"/>
    </xf>
    <xf numFmtId="0" fontId="8" fillId="9" borderId="15" xfId="0" applyFont="1" applyFill="1" applyBorder="1" applyAlignment="1">
      <alignment horizontal="center" vertical="center" wrapText="1"/>
    </xf>
    <xf numFmtId="0" fontId="40" fillId="0" borderId="60" xfId="0" applyFont="1" applyBorder="1" applyAlignment="1">
      <alignment horizontal="left" vertical="center" wrapText="1"/>
    </xf>
    <xf numFmtId="0" fontId="40" fillId="0" borderId="56" xfId="0" applyFont="1" applyBorder="1" applyAlignment="1">
      <alignment horizontal="left" vertical="center" wrapText="1"/>
    </xf>
  </cellXfs>
  <cellStyles count="3">
    <cellStyle name="Milliers" xfId="1" builtinId="3"/>
    <cellStyle name="Normal" xfId="0" builtinId="0"/>
    <cellStyle name="Pourcentage" xfId="2" builtinId="5"/>
  </cellStyles>
  <dxfs count="12">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7E1FE-3EED-4AF8-A373-4603F0C8B5D2}">
  <dimension ref="A1:U26"/>
  <sheetViews>
    <sheetView topLeftCell="A16" zoomScale="70" zoomScaleNormal="70" workbookViewId="0">
      <selection activeCell="A22" sqref="A22"/>
    </sheetView>
  </sheetViews>
  <sheetFormatPr baseColWidth="10" defaultRowHeight="14.4"/>
  <cols>
    <col min="1" max="1" width="47.88671875" customWidth="1"/>
    <col min="2" max="2" width="38.21875" customWidth="1"/>
    <col min="3" max="12" width="11.109375" customWidth="1"/>
    <col min="13" max="21" width="16.44140625" customWidth="1"/>
  </cols>
  <sheetData>
    <row r="1" spans="1:21" ht="41.25" customHeight="1" thickBot="1">
      <c r="A1" s="301" t="s">
        <v>367</v>
      </c>
      <c r="B1" s="302"/>
      <c r="C1" s="303"/>
      <c r="D1" s="303"/>
      <c r="E1" s="303"/>
      <c r="F1" s="303"/>
      <c r="G1" s="303"/>
      <c r="H1" s="303"/>
      <c r="I1" s="303"/>
      <c r="J1" s="303"/>
      <c r="K1" s="303"/>
      <c r="L1" s="303"/>
      <c r="M1" s="303"/>
      <c r="N1" s="303"/>
      <c r="O1" s="303"/>
      <c r="P1" s="303"/>
      <c r="Q1" s="303"/>
      <c r="R1" s="303"/>
      <c r="S1" s="303"/>
      <c r="T1" s="303"/>
      <c r="U1" s="304"/>
    </row>
    <row r="2" spans="1:21" ht="25.2" customHeight="1">
      <c r="A2" s="260" t="s">
        <v>0</v>
      </c>
      <c r="B2" s="261"/>
      <c r="C2" s="149"/>
      <c r="D2" s="149"/>
      <c r="E2" s="149"/>
      <c r="F2" s="149"/>
      <c r="G2" s="149"/>
      <c r="H2" s="149"/>
      <c r="I2" s="149"/>
      <c r="J2" s="149"/>
      <c r="K2" s="149"/>
      <c r="L2" s="149"/>
      <c r="M2" s="149"/>
      <c r="N2" s="149"/>
      <c r="O2" s="149"/>
      <c r="P2" s="149"/>
      <c r="Q2" s="149"/>
      <c r="R2" s="149"/>
      <c r="S2" s="149"/>
      <c r="T2" s="149"/>
      <c r="U2" s="149"/>
    </row>
    <row r="3" spans="1:21" ht="30.75" customHeight="1">
      <c r="A3" s="260" t="s">
        <v>2</v>
      </c>
      <c r="B3" s="261"/>
      <c r="C3" s="149"/>
      <c r="D3" s="149"/>
      <c r="E3" s="149"/>
      <c r="F3" s="149"/>
      <c r="G3" s="149"/>
      <c r="H3" s="149"/>
      <c r="I3" s="149"/>
      <c r="J3" s="149"/>
      <c r="K3" s="149"/>
      <c r="L3" s="149"/>
      <c r="M3" s="149"/>
      <c r="N3" s="149"/>
      <c r="O3" s="149"/>
      <c r="P3" s="149"/>
      <c r="Q3" s="149"/>
      <c r="R3" s="149"/>
      <c r="S3" s="149"/>
      <c r="T3" s="149"/>
      <c r="U3" s="149"/>
    </row>
    <row r="4" spans="1:21" ht="47.25" customHeight="1">
      <c r="A4" s="260" t="s">
        <v>8</v>
      </c>
      <c r="B4" s="262"/>
      <c r="C4" s="293" t="s">
        <v>335</v>
      </c>
      <c r="D4" s="294"/>
      <c r="E4" s="294"/>
      <c r="F4" s="294"/>
      <c r="G4" s="294"/>
      <c r="H4" s="294"/>
      <c r="I4" s="294"/>
      <c r="J4" s="294"/>
      <c r="K4" s="294"/>
      <c r="L4" s="295"/>
      <c r="M4" s="296" t="str">
        <f>IF(B4&lt;DATE(2021,1,1),"Pas d'exigence de réduction des émissions de GES à respecter pour les combustibles solides et gazeux, uniquement pour le cas où les combustibles utilisés sont liquides (voir consignes)","Des exigences de réduction des émissions de GES s'appliquent : elles doivent apparaître, une fois le tableur complété, et sans erreur dans l'onglet '1. Déclaration', colonne O à U")</f>
        <v>Pas d'exigence de réduction des émissions de GES à respecter pour les combustibles solides et gazeux, uniquement pour le cas où les combustibles utilisés sont liquides (voir consignes)</v>
      </c>
      <c r="N4" s="297"/>
      <c r="O4" s="297"/>
      <c r="P4" s="297"/>
      <c r="Q4" s="297"/>
      <c r="R4" s="297"/>
      <c r="S4" s="297"/>
      <c r="T4" s="297"/>
      <c r="U4" s="298"/>
    </row>
    <row r="5" spans="1:21" ht="39.75" customHeight="1">
      <c r="A5" s="260" t="s">
        <v>4</v>
      </c>
      <c r="B5" s="263"/>
      <c r="C5" s="293" t="s">
        <v>330</v>
      </c>
      <c r="D5" s="294"/>
      <c r="E5" s="294"/>
      <c r="F5" s="294"/>
      <c r="G5" s="294"/>
      <c r="H5" s="294"/>
      <c r="I5" s="294"/>
      <c r="J5" s="294"/>
      <c r="K5" s="294"/>
      <c r="L5" s="295"/>
      <c r="M5" s="296" t="str">
        <f>IF(AND(B$2="Cogénération",OR(B5=0,B5="")),"Erreur : un rendement électrique non nul doit être renseigné",IF(AND(B$2="Electricité seule",OR(B5=0,B5="")),"Erreur : un rendement électrique non nul doit être renseigné",""))
&amp;
IF(AND(B2="Chaleur/froid seul(e)",B5&gt;0),"Erreur : vous avez indiqué une production de chaleur ou froid seul(e), le rendement électrique doit être nul (=&gt; renseigner uniquement un rendement thermique)","")</f>
        <v/>
      </c>
      <c r="N5" s="297"/>
      <c r="O5" s="297"/>
      <c r="P5" s="297"/>
      <c r="Q5" s="297"/>
      <c r="R5" s="297"/>
      <c r="S5" s="297"/>
      <c r="T5" s="297"/>
      <c r="U5" s="298"/>
    </row>
    <row r="6" spans="1:21" ht="39.75" customHeight="1">
      <c r="A6" s="260" t="s">
        <v>5</v>
      </c>
      <c r="B6" s="263"/>
      <c r="C6" s="293" t="s">
        <v>331</v>
      </c>
      <c r="D6" s="294"/>
      <c r="E6" s="294"/>
      <c r="F6" s="294"/>
      <c r="G6" s="294"/>
      <c r="H6" s="294"/>
      <c r="I6" s="294"/>
      <c r="J6" s="294"/>
      <c r="K6" s="294"/>
      <c r="L6" s="295"/>
      <c r="M6" s="296" t="str">
        <f>IF(AND(B$2="Cogénération",OR(B6=0,B6="")),"Erreur : un rendement thermique non nul doit être renseigné",IF(AND(B$2="Chaleur/froid seul(e)",OR(B6=0,B6="")),"Erreur : un rendement thermique non nul doit être renseigné",""))
&amp;
IF(AND(B2="Electricité seule",B6&gt;0),"Erreur : vous avez indiqué une production d'électricité seule, le rendement thermique doit être nul (=&gt; renseigner uniquement un rendement électrique)","")</f>
        <v/>
      </c>
      <c r="N6" s="297"/>
      <c r="O6" s="297"/>
      <c r="P6" s="297"/>
      <c r="Q6" s="297"/>
      <c r="R6" s="297"/>
      <c r="S6" s="297"/>
      <c r="T6" s="297"/>
      <c r="U6" s="298"/>
    </row>
    <row r="7" spans="1:21" ht="38.25" customHeight="1">
      <c r="A7" s="260" t="s">
        <v>7</v>
      </c>
      <c r="B7" s="264"/>
      <c r="C7" s="293" t="s">
        <v>332</v>
      </c>
      <c r="D7" s="294"/>
      <c r="E7" s="294"/>
      <c r="F7" s="294"/>
      <c r="G7" s="294"/>
      <c r="H7" s="294"/>
      <c r="I7" s="294"/>
      <c r="J7" s="294"/>
      <c r="K7" s="294"/>
      <c r="L7" s="295"/>
      <c r="M7" s="296" t="str">
        <f>IF(AND(B$2="Cogénération",OR(B7=0,B7="")),"Cogénération : une température utile non nulle doit être renseignée","")</f>
        <v/>
      </c>
      <c r="N7" s="297"/>
      <c r="O7" s="297"/>
      <c r="P7" s="297"/>
      <c r="Q7" s="297"/>
      <c r="R7" s="297"/>
      <c r="S7" s="297"/>
      <c r="T7" s="297"/>
      <c r="U7" s="298"/>
    </row>
    <row r="8" spans="1:21" ht="33.75" customHeight="1">
      <c r="A8" s="260" t="s">
        <v>6</v>
      </c>
      <c r="B8" s="262"/>
      <c r="C8" s="258"/>
      <c r="D8" s="258"/>
      <c r="E8" s="258"/>
      <c r="F8" s="258"/>
      <c r="G8" s="258"/>
      <c r="H8" s="258"/>
      <c r="I8" s="258"/>
      <c r="J8" s="258"/>
      <c r="K8" s="258"/>
      <c r="L8" s="258"/>
      <c r="M8" s="258"/>
      <c r="N8" s="258"/>
      <c r="O8" s="258"/>
      <c r="P8" s="258"/>
      <c r="Q8" s="258"/>
      <c r="R8" s="258"/>
      <c r="S8" s="258"/>
      <c r="T8" s="258"/>
      <c r="U8" s="258"/>
    </row>
    <row r="9" spans="1:21" ht="38.25" customHeight="1">
      <c r="A9" s="260" t="s">
        <v>324</v>
      </c>
      <c r="B9" s="265"/>
      <c r="C9" s="299" t="s">
        <v>325</v>
      </c>
      <c r="D9" s="299"/>
      <c r="E9" s="299"/>
      <c r="F9" s="299"/>
      <c r="G9" s="299"/>
      <c r="H9" s="299"/>
      <c r="I9" s="299"/>
      <c r="J9" s="299"/>
      <c r="K9" s="299"/>
      <c r="L9" s="299"/>
      <c r="M9" s="299"/>
      <c r="N9" s="299"/>
      <c r="O9" s="299"/>
      <c r="P9" s="299"/>
      <c r="Q9" s="299"/>
      <c r="R9" s="299"/>
      <c r="S9" s="299"/>
      <c r="T9" s="299"/>
      <c r="U9" s="299"/>
    </row>
    <row r="10" spans="1:21" ht="38.25" customHeight="1">
      <c r="A10" s="260" t="s">
        <v>326</v>
      </c>
      <c r="B10" s="265"/>
      <c r="C10" s="299" t="s">
        <v>327</v>
      </c>
      <c r="D10" s="299"/>
      <c r="E10" s="299"/>
      <c r="F10" s="299"/>
      <c r="G10" s="299"/>
      <c r="H10" s="299"/>
      <c r="I10" s="299"/>
      <c r="J10" s="299"/>
      <c r="K10" s="299"/>
      <c r="L10" s="299"/>
      <c r="M10" s="299"/>
      <c r="N10" s="299"/>
      <c r="O10" s="299"/>
      <c r="P10" s="299"/>
      <c r="Q10" s="299"/>
      <c r="R10" s="299"/>
      <c r="S10" s="299"/>
      <c r="T10" s="299"/>
      <c r="U10" s="299"/>
    </row>
    <row r="11" spans="1:21" ht="22.5" customHeight="1">
      <c r="A11" s="260" t="s">
        <v>408</v>
      </c>
      <c r="B11" s="266"/>
      <c r="C11" s="299" t="s">
        <v>319</v>
      </c>
      <c r="D11" s="299"/>
      <c r="E11" s="299"/>
      <c r="F11" s="299"/>
      <c r="G11" s="299"/>
      <c r="H11" s="299"/>
      <c r="I11" s="299"/>
      <c r="J11" s="299"/>
      <c r="K11" s="299"/>
      <c r="L11" s="299"/>
      <c r="M11" s="299"/>
      <c r="N11" s="299"/>
      <c r="O11" s="299"/>
      <c r="P11" s="299"/>
      <c r="Q11" s="299"/>
      <c r="R11" s="299"/>
      <c r="S11" s="299"/>
      <c r="T11" s="299"/>
      <c r="U11" s="299"/>
    </row>
    <row r="12" spans="1:21" ht="22.5" customHeight="1">
      <c r="A12" s="260" t="s">
        <v>409</v>
      </c>
      <c r="B12" s="266"/>
      <c r="C12" s="299" t="s">
        <v>319</v>
      </c>
      <c r="D12" s="299"/>
      <c r="E12" s="299"/>
      <c r="F12" s="299"/>
      <c r="G12" s="299"/>
      <c r="H12" s="299"/>
      <c r="I12" s="299"/>
      <c r="J12" s="299"/>
      <c r="K12" s="299"/>
      <c r="L12" s="299"/>
      <c r="M12" s="299"/>
      <c r="N12" s="299"/>
      <c r="O12" s="299"/>
      <c r="P12" s="299"/>
      <c r="Q12" s="299"/>
      <c r="R12" s="299"/>
      <c r="S12" s="299"/>
      <c r="T12" s="299"/>
      <c r="U12" s="299"/>
    </row>
    <row r="13" spans="1:21" ht="22.5" customHeight="1">
      <c r="A13" s="270" t="s">
        <v>323</v>
      </c>
      <c r="B13" s="266"/>
      <c r="C13" s="295" t="s">
        <v>329</v>
      </c>
      <c r="D13" s="299"/>
      <c r="E13" s="299"/>
      <c r="F13" s="299"/>
      <c r="G13" s="299"/>
      <c r="H13" s="299"/>
      <c r="I13" s="299"/>
      <c r="J13" s="299"/>
      <c r="K13" s="299"/>
      <c r="L13" s="299"/>
      <c r="M13" s="299"/>
      <c r="N13" s="299"/>
      <c r="O13" s="299"/>
      <c r="P13" s="299"/>
      <c r="Q13" s="299"/>
      <c r="R13" s="299"/>
      <c r="S13" s="299"/>
      <c r="T13" s="299"/>
      <c r="U13" s="299"/>
    </row>
    <row r="14" spans="1:21" ht="22.5" customHeight="1">
      <c r="A14" s="270" t="s">
        <v>322</v>
      </c>
      <c r="B14" s="266"/>
      <c r="C14" s="295" t="s">
        <v>329</v>
      </c>
      <c r="D14" s="299"/>
      <c r="E14" s="299"/>
      <c r="F14" s="299"/>
      <c r="G14" s="299"/>
      <c r="H14" s="299"/>
      <c r="I14" s="299"/>
      <c r="J14" s="299"/>
      <c r="K14" s="299"/>
      <c r="L14" s="299"/>
      <c r="M14" s="299"/>
      <c r="N14" s="299"/>
      <c r="O14" s="299"/>
      <c r="P14" s="299"/>
      <c r="Q14" s="299"/>
      <c r="R14" s="299"/>
      <c r="S14" s="299"/>
      <c r="T14" s="299"/>
      <c r="U14" s="299"/>
    </row>
    <row r="15" spans="1:21" ht="35.25" customHeight="1">
      <c r="A15" s="270" t="s">
        <v>347</v>
      </c>
      <c r="B15" s="266"/>
      <c r="C15" s="295" t="s">
        <v>348</v>
      </c>
      <c r="D15" s="299"/>
      <c r="E15" s="299"/>
      <c r="F15" s="299"/>
      <c r="G15" s="299"/>
      <c r="H15" s="299"/>
      <c r="I15" s="299"/>
      <c r="J15" s="299"/>
      <c r="K15" s="299"/>
      <c r="L15" s="299"/>
      <c r="M15" s="299"/>
      <c r="N15" s="299"/>
      <c r="O15" s="299"/>
      <c r="P15" s="299"/>
      <c r="Q15" s="299"/>
      <c r="R15" s="299"/>
      <c r="S15" s="299"/>
      <c r="T15" s="299"/>
      <c r="U15" s="299"/>
    </row>
    <row r="16" spans="1:21" ht="22.5" customHeight="1">
      <c r="A16" s="270" t="s">
        <v>336</v>
      </c>
      <c r="B16" s="266"/>
      <c r="C16" s="295" t="s">
        <v>337</v>
      </c>
      <c r="D16" s="299"/>
      <c r="E16" s="299"/>
      <c r="F16" s="299"/>
      <c r="G16" s="299"/>
      <c r="H16" s="299"/>
      <c r="I16" s="299"/>
      <c r="J16" s="299"/>
      <c r="K16" s="299"/>
      <c r="L16" s="299"/>
      <c r="M16" s="299"/>
      <c r="N16" s="299"/>
      <c r="O16" s="299"/>
      <c r="P16" s="299"/>
      <c r="Q16" s="299"/>
      <c r="R16" s="299"/>
      <c r="S16" s="299"/>
      <c r="T16" s="299"/>
      <c r="U16" s="299"/>
    </row>
    <row r="17" spans="1:21" ht="38.25" customHeight="1">
      <c r="A17" s="267" t="s">
        <v>368</v>
      </c>
      <c r="B17" s="268"/>
      <c r="C17" s="259"/>
      <c r="D17" s="259"/>
      <c r="E17" s="259"/>
      <c r="F17" s="259"/>
      <c r="G17" s="259"/>
      <c r="H17" s="259"/>
      <c r="I17" s="259"/>
      <c r="J17" s="259"/>
      <c r="K17" s="259"/>
      <c r="L17" s="259"/>
      <c r="M17" s="259"/>
      <c r="N17" s="259"/>
      <c r="O17" s="259"/>
      <c r="P17" s="259"/>
      <c r="Q17" s="259"/>
      <c r="R17" s="259"/>
      <c r="S17" s="259"/>
      <c r="T17" s="259"/>
      <c r="U17" s="259"/>
    </row>
    <row r="18" spans="1:21" ht="51" customHeight="1">
      <c r="A18" s="269" t="s">
        <v>9</v>
      </c>
      <c r="B18" s="261"/>
      <c r="C18" s="292" t="s">
        <v>11</v>
      </c>
      <c r="D18" s="300"/>
      <c r="E18" s="300"/>
      <c r="F18" s="300"/>
      <c r="G18" s="300"/>
      <c r="H18" s="300"/>
      <c r="I18" s="300"/>
      <c r="J18" s="300"/>
      <c r="K18" s="300"/>
      <c r="L18" s="300"/>
      <c r="M18" s="300"/>
      <c r="N18" s="300"/>
      <c r="O18" s="300"/>
      <c r="P18" s="300"/>
      <c r="Q18" s="300"/>
      <c r="R18" s="300"/>
      <c r="S18" s="300"/>
      <c r="T18" s="300"/>
      <c r="U18" s="300"/>
    </row>
    <row r="19" spans="1:21" ht="24" customHeight="1">
      <c r="A19" s="269" t="s">
        <v>12</v>
      </c>
      <c r="B19" s="261"/>
      <c r="C19" s="300" t="s">
        <v>14</v>
      </c>
      <c r="D19" s="300"/>
      <c r="E19" s="300"/>
      <c r="F19" s="300"/>
      <c r="G19" s="300"/>
      <c r="H19" s="300"/>
      <c r="I19" s="300"/>
      <c r="J19" s="300"/>
      <c r="K19" s="300"/>
      <c r="L19" s="300"/>
      <c r="M19" s="300"/>
      <c r="N19" s="300"/>
      <c r="O19" s="300"/>
      <c r="P19" s="300"/>
      <c r="Q19" s="300"/>
      <c r="R19" s="300"/>
      <c r="S19" s="300"/>
      <c r="T19" s="300"/>
      <c r="U19" s="300"/>
    </row>
    <row r="20" spans="1:21" ht="48" customHeight="1">
      <c r="A20" s="269" t="s">
        <v>15</v>
      </c>
      <c r="B20" s="261"/>
      <c r="C20" s="292" t="s">
        <v>17</v>
      </c>
      <c r="D20" s="292"/>
      <c r="E20" s="292"/>
      <c r="F20" s="292"/>
      <c r="G20" s="292"/>
      <c r="H20" s="292"/>
      <c r="I20" s="292"/>
      <c r="J20" s="292"/>
      <c r="K20" s="292"/>
      <c r="L20" s="292"/>
      <c r="M20" s="292"/>
      <c r="N20" s="292"/>
      <c r="O20" s="292"/>
      <c r="P20" s="292"/>
      <c r="Q20" s="292"/>
      <c r="R20" s="292"/>
      <c r="S20" s="292"/>
      <c r="T20" s="292"/>
      <c r="U20" s="292"/>
    </row>
    <row r="21" spans="1:21" ht="38.25" customHeight="1">
      <c r="A21" s="260" t="s">
        <v>410</v>
      </c>
      <c r="B21" s="266"/>
      <c r="C21" s="149"/>
      <c r="D21" s="149"/>
      <c r="E21" s="149"/>
      <c r="F21" s="149"/>
      <c r="G21" s="149"/>
      <c r="H21" s="149"/>
      <c r="I21" s="149"/>
      <c r="J21" s="149"/>
      <c r="K21" s="149"/>
      <c r="L21" s="149"/>
      <c r="M21" s="149"/>
      <c r="N21" s="149"/>
      <c r="O21" s="149"/>
      <c r="P21" s="149"/>
      <c r="Q21" s="149"/>
      <c r="R21" s="149"/>
      <c r="S21" s="149"/>
      <c r="T21" s="149"/>
      <c r="U21" s="149"/>
    </row>
    <row r="22" spans="1:21" ht="28.8" customHeight="1">
      <c r="A22" s="290" t="s">
        <v>411</v>
      </c>
      <c r="B22" s="291"/>
    </row>
    <row r="23" spans="1:21" ht="31.8" customHeight="1">
      <c r="A23" s="260" t="s">
        <v>378</v>
      </c>
      <c r="B23" s="261"/>
    </row>
    <row r="24" spans="1:21" ht="31.2" customHeight="1">
      <c r="A24" s="260" t="s">
        <v>377</v>
      </c>
      <c r="B24" s="261"/>
    </row>
    <row r="25" spans="1:21" ht="31.8" customHeight="1">
      <c r="A25" s="260" t="s">
        <v>381</v>
      </c>
      <c r="B25" s="261"/>
      <c r="C25" s="9" t="s">
        <v>407</v>
      </c>
      <c r="D25" s="9"/>
      <c r="E25" s="9"/>
      <c r="F25" s="9"/>
    </row>
    <row r="26" spans="1:21" ht="31.8" customHeight="1">
      <c r="A26" s="289" t="s">
        <v>405</v>
      </c>
      <c r="B26" s="261"/>
    </row>
  </sheetData>
  <mergeCells count="20">
    <mergeCell ref="A1:U1"/>
    <mergeCell ref="C5:L5"/>
    <mergeCell ref="M5:U5"/>
    <mergeCell ref="C6:L6"/>
    <mergeCell ref="M6:U6"/>
    <mergeCell ref="M4:U4"/>
    <mergeCell ref="C4:L4"/>
    <mergeCell ref="C20:U20"/>
    <mergeCell ref="C7:L7"/>
    <mergeCell ref="M7:U7"/>
    <mergeCell ref="C9:U9"/>
    <mergeCell ref="C10:U10"/>
    <mergeCell ref="C11:U11"/>
    <mergeCell ref="C12:U12"/>
    <mergeCell ref="C13:U13"/>
    <mergeCell ref="C14:U14"/>
    <mergeCell ref="C16:U16"/>
    <mergeCell ref="C18:U18"/>
    <mergeCell ref="C19:U19"/>
    <mergeCell ref="C15:U1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r:uid="{9ED316EB-C1C6-499C-9ADD-3706DD395591}">
          <x14:formula1>
            <xm:f>Listes!$O$7:$O$9</xm:f>
          </x14:formula1>
          <xm:sqref>B20</xm:sqref>
        </x14:dataValidation>
        <x14:dataValidation type="list" allowBlank="1" showInputMessage="1" showErrorMessage="1" xr:uid="{AFD47F25-1F73-4B05-B4F6-F0E260B65D61}">
          <x14:formula1>
            <xm:f>Listes!$O$2:$O$4</xm:f>
          </x14:formula1>
          <xm:sqref>B19</xm:sqref>
        </x14:dataValidation>
        <x14:dataValidation type="list" allowBlank="1" showInputMessage="1" showErrorMessage="1" xr:uid="{2FDCF353-1607-4DE8-B6E4-FB821AA484E7}">
          <x14:formula1>
            <xm:f>Listes!$O$12:$O$16</xm:f>
          </x14:formula1>
          <xm:sqref>B18</xm:sqref>
        </x14:dataValidation>
        <x14:dataValidation type="list" allowBlank="1" showInputMessage="1" showErrorMessage="1" xr:uid="{A610A0E7-1C30-4D4D-8A32-127FE17BD11C}">
          <x14:formula1>
            <xm:f>Listes!$A$13:$A$14</xm:f>
          </x14:formula1>
          <xm:sqref>B8</xm:sqref>
        </x14:dataValidation>
        <x14:dataValidation type="list" allowBlank="1" showInputMessage="1" showErrorMessage="1" xr:uid="{80E04DEA-B46C-428D-9824-08A05D14408E}">
          <x14:formula1>
            <xm:f>Listes!$A$7:$A$10</xm:f>
          </x14:formula1>
          <xm:sqref>B3</xm:sqref>
        </x14:dataValidation>
        <x14:dataValidation type="list" allowBlank="1" showInputMessage="1" showErrorMessage="1" xr:uid="{6FCAFEF2-3D33-45BA-A8EB-CEEF375D50FB}">
          <x14:formula1>
            <xm:f>Listes!$A$2:$A$4</xm:f>
          </x14:formula1>
          <xm:sqref>B2</xm:sqref>
        </x14:dataValidation>
        <x14:dataValidation type="list" allowBlank="1" showInputMessage="1" showErrorMessage="1" xr:uid="{6D1627B1-F8BF-4757-A781-873D8B71208A}">
          <x14:formula1>
            <xm:f>Feuil1!$F$17:$F$34</xm:f>
          </x14:formula1>
          <xm:sqref>B24</xm:sqref>
        </x14:dataValidation>
        <x14:dataValidation type="list" allowBlank="1" showInputMessage="1" showErrorMessage="1" xr:uid="{7344EA0F-3D00-402B-AB82-E540AED165CB}">
          <x14:formula1>
            <xm:f>Feuil1!$I$17:$I$22</xm:f>
          </x14:formula1>
          <xm:sqref>B25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CC1FD-1056-443B-94A1-4E53E6962A78}">
  <dimension ref="A1:I55"/>
  <sheetViews>
    <sheetView topLeftCell="A14" zoomScale="85" zoomScaleNormal="85" workbookViewId="0">
      <selection activeCell="F17" sqref="F17:I34"/>
    </sheetView>
  </sheetViews>
  <sheetFormatPr baseColWidth="10" defaultRowHeight="14.4"/>
  <cols>
    <col min="1" max="1" width="31" style="100" customWidth="1"/>
  </cols>
  <sheetData>
    <row r="1" spans="1:1">
      <c r="A1" s="100" t="s">
        <v>257</v>
      </c>
    </row>
    <row r="2" spans="1:1">
      <c r="A2" s="100" t="s">
        <v>258</v>
      </c>
    </row>
    <row r="3" spans="1:1">
      <c r="A3" s="100" t="s">
        <v>259</v>
      </c>
    </row>
    <row r="4" spans="1:1">
      <c r="A4" s="100" t="s">
        <v>261</v>
      </c>
    </row>
    <row r="5" spans="1:1">
      <c r="A5" s="100" t="s">
        <v>262</v>
      </c>
    </row>
    <row r="6" spans="1:1">
      <c r="A6" s="100" t="s">
        <v>263</v>
      </c>
    </row>
    <row r="7" spans="1:1">
      <c r="A7" s="100" t="s">
        <v>264</v>
      </c>
    </row>
    <row r="8" spans="1:1">
      <c r="A8" s="100" t="s">
        <v>265</v>
      </c>
    </row>
    <row r="9" spans="1:1">
      <c r="A9" s="100" t="s">
        <v>235</v>
      </c>
    </row>
    <row r="10" spans="1:1">
      <c r="A10" s="100" t="s">
        <v>237</v>
      </c>
    </row>
    <row r="11" spans="1:1">
      <c r="A11" s="100" t="s">
        <v>238</v>
      </c>
    </row>
    <row r="12" spans="1:1">
      <c r="A12" s="100" t="s">
        <v>242</v>
      </c>
    </row>
    <row r="13" spans="1:1">
      <c r="A13" s="100" t="s">
        <v>243</v>
      </c>
    </row>
    <row r="14" spans="1:1">
      <c r="A14" s="100" t="s">
        <v>244</v>
      </c>
    </row>
    <row r="15" spans="1:1">
      <c r="A15" s="100" t="s">
        <v>246</v>
      </c>
    </row>
    <row r="16" spans="1:1">
      <c r="A16" s="100" t="s">
        <v>251</v>
      </c>
    </row>
    <row r="17" spans="1:9">
      <c r="A17" s="100" t="s">
        <v>252</v>
      </c>
      <c r="F17" t="s">
        <v>382</v>
      </c>
      <c r="I17" t="s">
        <v>400</v>
      </c>
    </row>
    <row r="18" spans="1:9">
      <c r="A18" s="100" t="s">
        <v>254</v>
      </c>
      <c r="F18" t="s">
        <v>383</v>
      </c>
      <c r="I18" t="s">
        <v>401</v>
      </c>
    </row>
    <row r="19" spans="1:9">
      <c r="A19" s="100" t="s">
        <v>255</v>
      </c>
      <c r="F19" t="s">
        <v>384</v>
      </c>
      <c r="I19" t="s">
        <v>402</v>
      </c>
    </row>
    <row r="20" spans="1:9">
      <c r="A20" s="100" t="s">
        <v>253</v>
      </c>
      <c r="F20" t="s">
        <v>385</v>
      </c>
      <c r="I20" t="s">
        <v>403</v>
      </c>
    </row>
    <row r="21" spans="1:9">
      <c r="F21" t="s">
        <v>386</v>
      </c>
      <c r="I21" t="s">
        <v>404</v>
      </c>
    </row>
    <row r="22" spans="1:9" ht="15" thickBot="1">
      <c r="A22" s="100" t="s">
        <v>318</v>
      </c>
      <c r="F22" t="s">
        <v>387</v>
      </c>
      <c r="I22" t="s">
        <v>406</v>
      </c>
    </row>
    <row r="23" spans="1:9" ht="19.2">
      <c r="A23" s="239"/>
      <c r="B23" s="232" t="s">
        <v>291</v>
      </c>
      <c r="C23" s="234" t="s">
        <v>291</v>
      </c>
      <c r="F23" t="s">
        <v>388</v>
      </c>
    </row>
    <row r="24" spans="1:9" ht="30.6" thickBot="1">
      <c r="A24" s="240" t="s">
        <v>290</v>
      </c>
      <c r="B24" s="233" t="s">
        <v>292</v>
      </c>
      <c r="C24" s="235" t="s">
        <v>293</v>
      </c>
      <c r="F24" t="s">
        <v>389</v>
      </c>
    </row>
    <row r="25" spans="1:9" ht="15" thickBot="1">
      <c r="A25" s="241" t="s">
        <v>294</v>
      </c>
      <c r="B25" s="237">
        <v>9.6</v>
      </c>
      <c r="C25" s="238">
        <v>9.6</v>
      </c>
      <c r="F25" t="s">
        <v>390</v>
      </c>
    </row>
    <row r="26" spans="1:9" ht="15" thickBot="1">
      <c r="A26" s="241" t="s">
        <v>295</v>
      </c>
      <c r="B26" s="237">
        <v>25.5</v>
      </c>
      <c r="C26" s="238">
        <v>25.5</v>
      </c>
      <c r="F26" t="s">
        <v>391</v>
      </c>
    </row>
    <row r="27" spans="1:9" ht="28.2" thickBot="1">
      <c r="A27" s="241" t="s">
        <v>296</v>
      </c>
      <c r="B27" s="237">
        <v>27</v>
      </c>
      <c r="C27" s="238">
        <v>27</v>
      </c>
      <c r="F27" t="s">
        <v>392</v>
      </c>
    </row>
    <row r="28" spans="1:9" ht="15" thickBot="1">
      <c r="A28" s="241" t="s">
        <v>297</v>
      </c>
      <c r="B28" s="237">
        <v>17.100000000000001</v>
      </c>
      <c r="C28" s="238">
        <v>17.100000000000001</v>
      </c>
      <c r="F28" t="s">
        <v>393</v>
      </c>
    </row>
    <row r="29" spans="1:9" ht="22.2" thickBot="1">
      <c r="A29" s="242" t="s">
        <v>298</v>
      </c>
      <c r="B29" s="383" t="s">
        <v>299</v>
      </c>
      <c r="C29" s="384"/>
      <c r="F29" t="s">
        <v>394</v>
      </c>
    </row>
    <row r="30" spans="1:9" ht="22.2" thickBot="1">
      <c r="A30" s="236" t="s">
        <v>300</v>
      </c>
      <c r="B30" s="383" t="s">
        <v>299</v>
      </c>
      <c r="C30" s="384"/>
      <c r="F30" t="s">
        <v>395</v>
      </c>
    </row>
    <row r="31" spans="1:9" ht="15" thickBot="1">
      <c r="A31" s="236" t="s">
        <v>301</v>
      </c>
      <c r="B31" s="237">
        <v>32</v>
      </c>
      <c r="C31" s="238">
        <v>32</v>
      </c>
      <c r="F31" t="s">
        <v>396</v>
      </c>
    </row>
    <row r="32" spans="1:9" ht="15" thickBot="1">
      <c r="A32" s="236" t="s">
        <v>302</v>
      </c>
      <c r="B32" s="237">
        <v>26.1</v>
      </c>
      <c r="C32" s="238">
        <v>26.1</v>
      </c>
      <c r="F32" t="s">
        <v>397</v>
      </c>
    </row>
    <row r="33" spans="1:6" ht="15" thickBot="1">
      <c r="A33" s="236" t="s">
        <v>303</v>
      </c>
      <c r="B33" s="237">
        <v>21.2</v>
      </c>
      <c r="C33" s="238">
        <v>21.2</v>
      </c>
      <c r="F33" t="s">
        <v>398</v>
      </c>
    </row>
    <row r="34" spans="1:6">
      <c r="A34" s="245"/>
      <c r="B34" s="245"/>
      <c r="C34" s="243"/>
      <c r="F34" t="s">
        <v>399</v>
      </c>
    </row>
    <row r="35" spans="1:6">
      <c r="A35" s="246"/>
      <c r="B35" s="246"/>
      <c r="C35" s="244"/>
    </row>
    <row r="36" spans="1:6" ht="15" thickBot="1">
      <c r="A36" s="236" t="s">
        <v>304</v>
      </c>
      <c r="B36" s="237">
        <v>26</v>
      </c>
      <c r="C36" s="238">
        <v>26</v>
      </c>
    </row>
    <row r="37" spans="1:6">
      <c r="A37" s="245"/>
      <c r="B37" s="245"/>
      <c r="C37" s="243"/>
    </row>
    <row r="38" spans="1:6">
      <c r="A38" s="246"/>
      <c r="B38" s="246"/>
      <c r="C38" s="244"/>
    </row>
    <row r="39" spans="1:6" ht="15" thickBot="1">
      <c r="A39" s="236" t="s">
        <v>305</v>
      </c>
      <c r="B39" s="237">
        <v>0</v>
      </c>
      <c r="C39" s="238">
        <v>0</v>
      </c>
    </row>
    <row r="40" spans="1:6" ht="22.2" thickBot="1">
      <c r="A40" s="236" t="s">
        <v>306</v>
      </c>
      <c r="B40" s="237">
        <v>0</v>
      </c>
      <c r="C40" s="238">
        <v>0</v>
      </c>
    </row>
    <row r="41" spans="1:6" ht="15" thickBot="1">
      <c r="A41" s="236" t="s">
        <v>307</v>
      </c>
      <c r="B41" s="237">
        <v>33.4</v>
      </c>
      <c r="C41" s="238">
        <v>33.4</v>
      </c>
    </row>
    <row r="42" spans="1:6" ht="15" thickBot="1">
      <c r="A42" s="236" t="s">
        <v>308</v>
      </c>
      <c r="B42" s="237">
        <v>26.9</v>
      </c>
      <c r="C42" s="238">
        <v>26.9</v>
      </c>
    </row>
    <row r="43" spans="1:6" ht="15" thickBot="1">
      <c r="A43" s="236" t="s">
        <v>309</v>
      </c>
      <c r="B43" s="237">
        <v>22.1</v>
      </c>
      <c r="C43" s="238">
        <v>22.1</v>
      </c>
    </row>
    <row r="44" spans="1:6">
      <c r="A44" s="245"/>
      <c r="B44" s="245"/>
      <c r="C44" s="243"/>
    </row>
    <row r="45" spans="1:6">
      <c r="A45" s="246"/>
      <c r="B45" s="246"/>
      <c r="C45" s="244"/>
    </row>
    <row r="46" spans="1:6" ht="15" thickBot="1">
      <c r="A46" s="236" t="s">
        <v>310</v>
      </c>
      <c r="B46" s="237">
        <v>27.3</v>
      </c>
      <c r="C46" s="238">
        <v>27.3</v>
      </c>
    </row>
    <row r="47" spans="1:6">
      <c r="A47" s="245"/>
      <c r="B47" s="245"/>
      <c r="C47" s="243"/>
    </row>
    <row r="48" spans="1:6">
      <c r="A48" s="246"/>
      <c r="B48" s="246"/>
      <c r="C48" s="244"/>
    </row>
    <row r="49" spans="1:3" ht="22.2" thickBot="1">
      <c r="A49" s="236" t="s">
        <v>311</v>
      </c>
      <c r="B49" s="237">
        <v>0</v>
      </c>
      <c r="C49" s="238">
        <v>0</v>
      </c>
    </row>
    <row r="50" spans="1:3" ht="22.2" thickBot="1">
      <c r="A50" s="236" t="s">
        <v>312</v>
      </c>
      <c r="B50" s="237">
        <v>0</v>
      </c>
      <c r="C50" s="238">
        <v>0</v>
      </c>
    </row>
    <row r="51" spans="1:3" ht="15" thickBot="1">
      <c r="A51" s="236" t="s">
        <v>313</v>
      </c>
      <c r="B51" s="237">
        <v>33.4</v>
      </c>
      <c r="C51" s="238">
        <v>33.4</v>
      </c>
    </row>
    <row r="52" spans="1:3" ht="15" thickBot="1">
      <c r="A52" s="236" t="s">
        <v>314</v>
      </c>
      <c r="B52" s="237">
        <v>27.2</v>
      </c>
      <c r="C52" s="238">
        <v>27.2</v>
      </c>
    </row>
    <row r="53" spans="1:3" ht="15" thickBot="1">
      <c r="A53" s="236" t="s">
        <v>315</v>
      </c>
      <c r="B53" s="237">
        <v>22.2</v>
      </c>
      <c r="C53" s="238">
        <v>22.2</v>
      </c>
    </row>
    <row r="54" spans="1:3" ht="15" thickBot="1">
      <c r="A54" s="236" t="s">
        <v>316</v>
      </c>
      <c r="B54" s="237">
        <v>27.1</v>
      </c>
      <c r="C54" s="238">
        <v>27.1</v>
      </c>
    </row>
    <row r="55" spans="1:3" ht="15" thickBot="1">
      <c r="A55" s="236" t="s">
        <v>317</v>
      </c>
      <c r="B55" s="237">
        <v>0</v>
      </c>
      <c r="C55" s="238">
        <v>0</v>
      </c>
    </row>
  </sheetData>
  <mergeCells count="2">
    <mergeCell ref="B29:C29"/>
    <mergeCell ref="B30:C3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64"/>
  <sheetViews>
    <sheetView topLeftCell="C1" zoomScale="85" zoomScaleNormal="85" workbookViewId="0">
      <selection activeCell="H16" sqref="H16"/>
    </sheetView>
  </sheetViews>
  <sheetFormatPr baseColWidth="10" defaultColWidth="9.109375" defaultRowHeight="14.4"/>
  <cols>
    <col min="1" max="1" width="42.109375" style="100" customWidth="1"/>
    <col min="2" max="2" width="34.6640625" customWidth="1"/>
    <col min="3" max="3" width="17.5546875" customWidth="1"/>
    <col min="4" max="4" width="17.44140625" customWidth="1"/>
    <col min="5" max="5" width="16.6640625" customWidth="1"/>
    <col min="6" max="10" width="10" customWidth="1"/>
    <col min="11" max="11" width="17.77734375" customWidth="1"/>
    <col min="12" max="12" width="16.33203125" customWidth="1"/>
    <col min="13" max="13" width="26.33203125" customWidth="1"/>
    <col min="14" max="14" width="30.109375" customWidth="1"/>
    <col min="15" max="20" width="14.88671875" customWidth="1"/>
    <col min="21" max="21" width="26.44140625" customWidth="1"/>
    <col min="22" max="22" width="57.6640625" customWidth="1"/>
    <col min="23" max="23" width="24.5546875" customWidth="1"/>
    <col min="24" max="24" width="11.88671875" customWidth="1"/>
  </cols>
  <sheetData>
    <row r="1" spans="1:23" ht="40.5" customHeight="1" thickBot="1">
      <c r="A1" s="314" t="s">
        <v>338</v>
      </c>
      <c r="B1" s="303"/>
      <c r="C1" s="303"/>
      <c r="D1" s="303"/>
      <c r="E1" s="303"/>
      <c r="F1" s="303"/>
      <c r="G1" s="303"/>
      <c r="H1" s="303"/>
      <c r="I1" s="303"/>
      <c r="J1" s="303"/>
      <c r="K1" s="303"/>
      <c r="L1" s="303"/>
      <c r="M1" s="303"/>
      <c r="N1" s="303"/>
      <c r="O1" s="303"/>
      <c r="P1" s="303"/>
      <c r="Q1" s="303"/>
      <c r="R1" s="303"/>
      <c r="S1" s="303"/>
      <c r="T1" s="303"/>
      <c r="U1" s="304"/>
    </row>
    <row r="2" spans="1:23" ht="15" thickBot="1">
      <c r="A2" s="102"/>
    </row>
    <row r="3" spans="1:23" ht="56.25" customHeight="1" thickBot="1">
      <c r="A3" s="314" t="s">
        <v>339</v>
      </c>
      <c r="B3" s="303"/>
      <c r="C3" s="303"/>
      <c r="D3" s="303"/>
      <c r="E3" s="303"/>
      <c r="F3" s="303"/>
      <c r="G3" s="303"/>
      <c r="H3" s="303"/>
      <c r="I3" s="303"/>
      <c r="J3" s="303"/>
      <c r="K3" s="303"/>
      <c r="L3" s="303"/>
      <c r="M3" s="303"/>
      <c r="N3" s="303"/>
      <c r="O3" s="303"/>
      <c r="P3" s="303"/>
      <c r="Q3" s="303"/>
      <c r="R3" s="303"/>
      <c r="S3" s="303"/>
      <c r="T3" s="303"/>
      <c r="U3" s="304"/>
    </row>
    <row r="4" spans="1:23" ht="59.25" customHeight="1" thickBot="1">
      <c r="A4" s="248" t="s">
        <v>67</v>
      </c>
      <c r="B4" s="248"/>
      <c r="C4" s="249" t="s">
        <v>283</v>
      </c>
      <c r="D4" s="248" t="s">
        <v>18</v>
      </c>
      <c r="E4" s="250" t="s">
        <v>19</v>
      </c>
      <c r="F4" s="306" t="s">
        <v>320</v>
      </c>
      <c r="G4" s="306"/>
      <c r="H4" s="322"/>
      <c r="I4" s="322"/>
      <c r="J4" s="322"/>
      <c r="K4" s="322"/>
      <c r="L4" s="322"/>
      <c r="M4" s="6" t="s">
        <v>321</v>
      </c>
      <c r="N4" s="6" t="s">
        <v>22</v>
      </c>
      <c r="O4" s="310" t="s">
        <v>20</v>
      </c>
      <c r="P4" s="311"/>
      <c r="Q4" s="310" t="s">
        <v>230</v>
      </c>
      <c r="R4" s="311"/>
      <c r="S4" s="251"/>
      <c r="T4" s="251"/>
      <c r="U4" s="248" t="s">
        <v>21</v>
      </c>
      <c r="V4" s="6" t="s">
        <v>23</v>
      </c>
      <c r="W4" s="118" t="s">
        <v>228</v>
      </c>
    </row>
    <row r="5" spans="1:23" ht="60.6" customHeight="1">
      <c r="A5" s="25"/>
      <c r="B5" s="7"/>
      <c r="C5" s="2"/>
      <c r="D5" s="2"/>
      <c r="E5" s="3"/>
      <c r="F5" s="8" t="s">
        <v>26</v>
      </c>
      <c r="G5" s="8" t="s">
        <v>27</v>
      </c>
      <c r="H5" s="8" t="s">
        <v>28</v>
      </c>
      <c r="I5" s="8" t="s">
        <v>29</v>
      </c>
      <c r="J5" s="8" t="s">
        <v>30</v>
      </c>
      <c r="K5" s="8" t="s">
        <v>379</v>
      </c>
      <c r="L5" s="8" t="s">
        <v>380</v>
      </c>
      <c r="M5" s="9"/>
      <c r="N5" s="9"/>
      <c r="O5" s="3" t="s">
        <v>24</v>
      </c>
      <c r="P5" s="3" t="s">
        <v>25</v>
      </c>
      <c r="Q5" s="3" t="s">
        <v>24</v>
      </c>
      <c r="R5" s="3" t="s">
        <v>25</v>
      </c>
      <c r="S5" s="4"/>
      <c r="T5" s="4"/>
      <c r="U5" s="5"/>
      <c r="V5" s="9"/>
      <c r="W5" s="119"/>
    </row>
    <row r="6" spans="1:23" ht="15.6">
      <c r="A6" s="318" t="s">
        <v>288</v>
      </c>
      <c r="B6" s="319"/>
      <c r="C6" s="10" t="s">
        <v>32</v>
      </c>
      <c r="D6" s="11" t="s">
        <v>33</v>
      </c>
      <c r="E6" s="275"/>
      <c r="F6" s="257"/>
      <c r="G6" s="257"/>
      <c r="H6" s="257"/>
      <c r="I6" s="257"/>
      <c r="J6" s="257"/>
      <c r="K6" s="16"/>
      <c r="L6" s="257"/>
      <c r="M6" s="247"/>
      <c r="N6" s="21"/>
      <c r="O6" s="13" t="str">
        <f>IF(AND($E6&lt;&gt;"",S6=""),VLOOKUP($C6&amp;$D6,'Références GES'!$E$21:$M$183,3,FALSE),"")</f>
        <v/>
      </c>
      <c r="P6" s="13" t="str">
        <f>IF(AND($E6&lt;&gt;"",T6=""),VLOOKUP($C6&amp;$D6,'Références GES'!$E$21:$M$183,2,FALSE),"")</f>
        <v/>
      </c>
      <c r="Q6" s="14"/>
      <c r="R6" s="14"/>
      <c r="S6" s="14"/>
      <c r="T6" s="14"/>
      <c r="U6" s="15" t="str">
        <f>IF('0. Installation'!$B$4&lt;DATE(2021,1,1),
"Pas de critère à respecter",
IF(E6&lt;&gt;"",
IF(AND('0. Installation'!$B$4&gt;=DATE(2021,1,1),'0. Installation'!$B$4&lt;DATE(2026,1,1)),IF(MAX(O6,Q6)&gt;=0.7,"Elec. : oui","Elec. : non"),
IF(MAX(O6,Q6)&gt;=0.8,"Elec. : oui","Elec. : non"))
&amp;" / "&amp;
IF(AND('0. Installation'!$B$4&gt;=DATE(2021,1,1),'0. Installation'!$B$4&lt;DATE(2026,1,1)),IF(MAX(P6,R6)&gt;=0.7,"Chaleur : oui","Chaleur : non"),
IF(MAX(P6,R6)&gt;=0.8,"Chaleur : oui","Chaleur : non")),
""))</f>
        <v>Pas de critère à respecter</v>
      </c>
      <c r="V6" s="9"/>
      <c r="W6" s="119"/>
    </row>
    <row r="7" spans="1:23" ht="15.6">
      <c r="A7" s="318"/>
      <c r="B7" s="320"/>
      <c r="C7" s="10" t="s">
        <v>32</v>
      </c>
      <c r="D7" s="11" t="s">
        <v>34</v>
      </c>
      <c r="E7" s="275"/>
      <c r="F7" s="257"/>
      <c r="G7" s="257"/>
      <c r="H7" s="257"/>
      <c r="I7" s="257"/>
      <c r="J7" s="257"/>
      <c r="K7" s="17"/>
      <c r="L7" s="257"/>
      <c r="M7" s="247"/>
      <c r="N7" s="16"/>
      <c r="O7" s="13" t="str">
        <f>IF(AND($E7&lt;&gt;"",S7=""),VLOOKUP($C7&amp;$D7,'Références GES'!$E$21:$M$183,3,FALSE),"")</f>
        <v/>
      </c>
      <c r="P7" s="13" t="str">
        <f>IF(AND($E7&lt;&gt;"",T7=""),VLOOKUP($C7&amp;$D7,'Références GES'!$E$21:$M$183,2,FALSE),"")</f>
        <v/>
      </c>
      <c r="Q7" s="14"/>
      <c r="R7" s="14"/>
      <c r="S7" s="14"/>
      <c r="T7" s="14"/>
      <c r="U7" s="15" t="str">
        <f>IF('0. Installation'!$B$4&lt;DATE(2021,1,1),
"Pas de critère à respecter",
IF(E7&lt;&gt;"",
IF(AND('0. Installation'!$B$4&gt;=DATE(2021,1,1),'0. Installation'!$B$4&lt;DATE(2026,1,1)),IF(MAX(O7,Q7)&gt;=0.7,"Elec. : oui","Elec. : non"),
IF(MAX(O7,Q7)&gt;=0.8,"Elec. : oui","Elec. : non"))
&amp;" / "&amp;
IF(AND('0. Installation'!$B$4&gt;=DATE(2021,1,1),'0. Installation'!$B$4&lt;DATE(2026,1,1)),IF(MAX(P7,R7)&gt;=0.7,"Chaleur : oui","Chaleur : non"),
IF(MAX(P7,R7)&gt;=0.8,"Chaleur : oui","Chaleur : non")),
""))</f>
        <v>Pas de critère à respecter</v>
      </c>
      <c r="V7" s="9"/>
      <c r="W7" s="119"/>
    </row>
    <row r="8" spans="1:23" ht="15.6">
      <c r="A8" s="318"/>
      <c r="B8" s="320"/>
      <c r="C8" s="10" t="s">
        <v>32</v>
      </c>
      <c r="D8" s="11" t="s">
        <v>35</v>
      </c>
      <c r="E8" s="275"/>
      <c r="F8" s="257"/>
      <c r="G8" s="257"/>
      <c r="H8" s="257"/>
      <c r="I8" s="257"/>
      <c r="J8" s="257"/>
      <c r="K8" s="18"/>
      <c r="L8" s="257"/>
      <c r="M8" s="247"/>
      <c r="N8" s="16"/>
      <c r="O8" s="13" t="str">
        <f>IF(AND($E8&lt;&gt;"",S8=""),VLOOKUP($C8&amp;$D8,'Références GES'!$E$21:$M$183,3,FALSE),"")</f>
        <v/>
      </c>
      <c r="P8" s="13" t="str">
        <f>IF(AND($E8&lt;&gt;"",T8=""),VLOOKUP($C8&amp;$D8,'Références GES'!$E$21:$M$183,2,FALSE),"")</f>
        <v/>
      </c>
      <c r="Q8" s="14"/>
      <c r="R8" s="14"/>
      <c r="S8" s="14"/>
      <c r="T8" s="14"/>
      <c r="U8" s="15" t="str">
        <f>IF('0. Installation'!$B$4&lt;DATE(2021,1,1),
"Pas de critère à respecter",
IF(E8&lt;&gt;"",
IF(AND('0. Installation'!$B$4&gt;=DATE(2021,1,1),'0. Installation'!$B$4&lt;DATE(2026,1,1)),IF(MAX(O8,Q8)&gt;=0.7,"Elec. : oui","Elec. : non"),
IF(MAX(O8,Q8)&gt;=0.8,"Elec. : oui","Elec. : non"))
&amp;" / "&amp;
IF(AND('0. Installation'!$B$4&gt;=DATE(2021,1,1),'0. Installation'!$B$4&lt;DATE(2026,1,1)),IF(MAX(P8,R8)&gt;=0.7,"Chaleur : oui","Chaleur : non"),
IF(MAX(P8,R8)&gt;=0.8,"Chaleur : oui","Chaleur : non")),
""))</f>
        <v>Pas de critère à respecter</v>
      </c>
      <c r="V8" s="9"/>
      <c r="W8" s="119"/>
    </row>
    <row r="9" spans="1:23" ht="15.6">
      <c r="A9" s="318"/>
      <c r="B9" s="321"/>
      <c r="C9" s="10" t="s">
        <v>32</v>
      </c>
      <c r="D9" s="11" t="s">
        <v>36</v>
      </c>
      <c r="E9" s="275"/>
      <c r="F9" s="257"/>
      <c r="G9" s="257"/>
      <c r="H9" s="257"/>
      <c r="I9" s="257"/>
      <c r="J9" s="257"/>
      <c r="K9" s="16"/>
      <c r="L9" s="257"/>
      <c r="M9" s="247"/>
      <c r="N9" s="16"/>
      <c r="O9" s="13" t="str">
        <f>IF(AND($E9&lt;&gt;"",S9=""),VLOOKUP($C9&amp;$D9,'Références GES'!$E$21:$M$183,3,FALSE),"")</f>
        <v/>
      </c>
      <c r="P9" s="13" t="str">
        <f>IF(AND($E9&lt;&gt;"",T9=""),VLOOKUP($C9&amp;$D9,'Références GES'!$E$21:$M$183,2,FALSE),"")</f>
        <v/>
      </c>
      <c r="Q9" s="14"/>
      <c r="R9" s="14"/>
      <c r="S9" s="14"/>
      <c r="T9" s="14"/>
      <c r="U9" s="15" t="str">
        <f>IF('0. Installation'!$B$4&lt;DATE(2021,1,1),
"Pas de critère à respecter",
IF(E9&lt;&gt;"",
IF(AND('0. Installation'!$B$4&gt;=DATE(2021,1,1),'0. Installation'!$B$4&lt;DATE(2026,1,1)),IF(MAX(O9,Q9)&gt;=0.7,"Elec. : oui","Elec. : non"),
IF(MAX(O9,Q9)&gt;=0.8,"Elec. : oui","Elec. : non"))
&amp;" / "&amp;
IF(AND('0. Installation'!$B$4&gt;=DATE(2021,1,1),'0. Installation'!$B$4&lt;DATE(2026,1,1)),IF(MAX(P9,R9)&gt;=0.7,"Chaleur : oui","Chaleur : non"),
IF(MAX(P9,R9)&gt;=0.8,"Chaleur : oui","Chaleur : non")),
""))</f>
        <v>Pas de critère à respecter</v>
      </c>
      <c r="V9" s="9"/>
      <c r="W9" s="119"/>
    </row>
    <row r="10" spans="1:23" ht="15.6">
      <c r="A10" s="318" t="s">
        <v>37</v>
      </c>
      <c r="B10" s="318" t="s">
        <v>38</v>
      </c>
      <c r="C10" s="10" t="s">
        <v>39</v>
      </c>
      <c r="D10" s="11" t="s">
        <v>33</v>
      </c>
      <c r="E10" s="275"/>
      <c r="F10" s="257"/>
      <c r="G10" s="257"/>
      <c r="H10" s="257"/>
      <c r="I10" s="257"/>
      <c r="J10" s="257"/>
      <c r="K10" s="16"/>
      <c r="L10" s="257"/>
      <c r="M10" s="247"/>
      <c r="N10" s="16"/>
      <c r="O10" s="14"/>
      <c r="P10" s="14"/>
      <c r="Q10" s="13" t="str">
        <f>IF(AND($E10&lt;&gt;"",S10=""),VLOOKUP($C10&amp;$D10,'Références GES'!$E$21:$M$82,8,FALSE),"")</f>
        <v/>
      </c>
      <c r="R10" s="13" t="str">
        <f>IF(AND($E10&lt;&gt;"",T10=""),VLOOKUP($C10&amp;$D10,'Références GES'!$E$21:$M$82,7,FALSE),"")</f>
        <v/>
      </c>
      <c r="S10" s="14"/>
      <c r="T10" s="14"/>
      <c r="U10" s="15" t="str">
        <f>IF('0. Installation'!$B$4&lt;DATE(2021,1,1),
"Pas de critère à respecter",
IF(E10&lt;&gt;"",
IF(AND('0. Installation'!$B$4&gt;=DATE(2021,1,1),'0. Installation'!$B$4&lt;DATE(2026,1,1)),IF(MAX(O10,Q10)&gt;=0.7,"Elec. : oui","Elec. : non"),
IF(MAX(O10,Q10)&gt;=0.8,"Elec. : oui","Elec. : non"))
&amp;" / "&amp;
IF(AND('0. Installation'!$B$4&gt;=DATE(2021,1,1),'0. Installation'!$B$4&lt;DATE(2026,1,1)),IF(MAX(P10,R10)&gt;=0.7,"Chaleur : oui","Chaleur : non"),
IF(MAX(P10,R10)&gt;=0.8,"Chaleur : oui","Chaleur : non")),
""))</f>
        <v>Pas de critère à respecter</v>
      </c>
      <c r="V10" s="9"/>
      <c r="W10" s="119"/>
    </row>
    <row r="11" spans="1:23" ht="15.6">
      <c r="A11" s="318"/>
      <c r="B11" s="318"/>
      <c r="C11" s="10" t="s">
        <v>39</v>
      </c>
      <c r="D11" s="11" t="s">
        <v>34</v>
      </c>
      <c r="E11" s="275"/>
      <c r="F11" s="257"/>
      <c r="G11" s="257"/>
      <c r="H11" s="257"/>
      <c r="I11" s="257"/>
      <c r="J11" s="257"/>
      <c r="K11" s="16"/>
      <c r="L11" s="257"/>
      <c r="M11" s="247"/>
      <c r="N11" s="16"/>
      <c r="O11" s="14"/>
      <c r="P11" s="14"/>
      <c r="Q11" s="13" t="str">
        <f>IF(AND($E11&lt;&gt;"",S11=""),VLOOKUP($C11&amp;$D11,'Références GES'!$E$21:$M$82,8,FALSE),"")</f>
        <v/>
      </c>
      <c r="R11" s="13" t="str">
        <f>IF(AND($E11&lt;&gt;"",T11=""),VLOOKUP($C11&amp;$D11,'Références GES'!$E$21:$M$82,7,FALSE),"")</f>
        <v/>
      </c>
      <c r="S11" s="14"/>
      <c r="T11" s="14"/>
      <c r="U11" s="15" t="str">
        <f>IF('0. Installation'!$B$4&lt;DATE(2021,1,1),
"Pas de critère à respecter",
IF(E11&lt;&gt;"",
IF(AND('0. Installation'!$B$4&gt;=DATE(2021,1,1),'0. Installation'!$B$4&lt;DATE(2026,1,1)),IF(MAX(O11,Q11)&gt;=0.7,"Elec. : oui","Elec. : non"),
IF(MAX(O11,Q11)&gt;=0.8,"Elec. : oui","Elec. : non"))
&amp;" / "&amp;
IF(AND('0. Installation'!$B$4&gt;=DATE(2021,1,1),'0. Installation'!$B$4&lt;DATE(2026,1,1)),IF(MAX(P11,R11)&gt;=0.7,"Chaleur : oui","Chaleur : non"),
IF(MAX(P11,R11)&gt;=0.8,"Chaleur : oui","Chaleur : non")),
""))</f>
        <v>Pas de critère à respecter</v>
      </c>
      <c r="V11" s="9"/>
      <c r="W11" s="119"/>
    </row>
    <row r="12" spans="1:23" ht="15.6">
      <c r="A12" s="318"/>
      <c r="B12" s="318"/>
      <c r="C12" s="10" t="s">
        <v>39</v>
      </c>
      <c r="D12" s="11" t="s">
        <v>35</v>
      </c>
      <c r="E12" s="275"/>
      <c r="F12" s="257"/>
      <c r="G12" s="257"/>
      <c r="H12" s="257"/>
      <c r="I12" s="257"/>
      <c r="J12" s="257"/>
      <c r="K12" s="16"/>
      <c r="L12" s="257"/>
      <c r="M12" s="247"/>
      <c r="N12" s="16"/>
      <c r="O12" s="14"/>
      <c r="P12" s="14"/>
      <c r="Q12" s="13" t="str">
        <f>IF(AND($E12&lt;&gt;"",S12=""),VLOOKUP($C12&amp;$D12,'Références GES'!$E$21:$M$82,8,FALSE),"")</f>
        <v/>
      </c>
      <c r="R12" s="13" t="str">
        <f>IF(AND($E12&lt;&gt;"",T12=""),VLOOKUP($C12&amp;$D12,'Références GES'!$E$21:$M$82,7,FALSE),"")</f>
        <v/>
      </c>
      <c r="S12" s="14"/>
      <c r="T12" s="14"/>
      <c r="U12" s="15" t="str">
        <f>IF('0. Installation'!$B$4&lt;DATE(2021,1,1),
"Pas de critère à respecter",
IF(E12&lt;&gt;"",
IF(AND('0. Installation'!$B$4&gt;=DATE(2021,1,1),'0. Installation'!$B$4&lt;DATE(2026,1,1)),IF(MAX(O12,Q12)&gt;=0.7,"Elec. : oui","Elec. : non"),
IF(MAX(O12,Q12)&gt;=0.8,"Elec. : oui","Elec. : non"))
&amp;" / "&amp;
IF(AND('0. Installation'!$B$4&gt;=DATE(2021,1,1),'0. Installation'!$B$4&lt;DATE(2026,1,1)),IF(MAX(P12,R12)&gt;=0.7,"Chaleur : oui","Chaleur : non"),
IF(MAX(P12,R12)&gt;=0.8,"Chaleur : oui","Chaleur : non")),
""))</f>
        <v>Pas de critère à respecter</v>
      </c>
      <c r="V12" s="9"/>
      <c r="W12" s="119"/>
    </row>
    <row r="13" spans="1:23" ht="15.6">
      <c r="A13" s="318"/>
      <c r="B13" s="318"/>
      <c r="C13" s="10" t="s">
        <v>39</v>
      </c>
      <c r="D13" s="11" t="s">
        <v>36</v>
      </c>
      <c r="E13" s="275"/>
      <c r="F13" s="257"/>
      <c r="G13" s="257"/>
      <c r="H13" s="257"/>
      <c r="I13" s="257"/>
      <c r="J13" s="257"/>
      <c r="K13" s="16"/>
      <c r="L13" s="257"/>
      <c r="M13" s="247"/>
      <c r="N13" s="16"/>
      <c r="O13" s="14"/>
      <c r="P13" s="14"/>
      <c r="Q13" s="13" t="str">
        <f>IF(AND($E13&lt;&gt;"",S13=""),VLOOKUP($C13&amp;$D13,'Références GES'!$E$21:$M$82,8,FALSE),"")</f>
        <v/>
      </c>
      <c r="R13" s="13" t="str">
        <f>IF(AND($E13&lt;&gt;"",T13=""),VLOOKUP($C13&amp;$D13,'Références GES'!$E$21:$M$82,7,FALSE),"")</f>
        <v/>
      </c>
      <c r="S13" s="14"/>
      <c r="T13" s="14"/>
      <c r="U13" s="15" t="str">
        <f>IF('0. Installation'!$B$4&lt;DATE(2021,1,1),
"Pas de critère à respecter",
IF(E13&lt;&gt;"",
IF(AND('0. Installation'!$B$4&gt;=DATE(2021,1,1),'0. Installation'!$B$4&lt;DATE(2026,1,1)),IF(MAX(O13,Q13)&gt;=0.7,"Elec. : oui","Elec. : non"),
IF(MAX(O13,Q13)&gt;=0.8,"Elec. : oui","Elec. : non"))
&amp;" / "&amp;
IF(AND('0. Installation'!$B$4&gt;=DATE(2021,1,1),'0. Installation'!$B$4&lt;DATE(2026,1,1)),IF(MAX(P13,R13)&gt;=0.7,"Chaleur : oui","Chaleur : non"),
IF(MAX(P13,R13)&gt;=0.8,"Chaleur : oui","Chaleur : non")),
""))</f>
        <v>Pas de critère à respecter</v>
      </c>
      <c r="V13" s="9"/>
      <c r="W13" s="119"/>
    </row>
    <row r="14" spans="1:23" ht="15.75" customHeight="1">
      <c r="A14" s="318"/>
      <c r="B14" s="315" t="s">
        <v>344</v>
      </c>
      <c r="C14" s="274" t="s">
        <v>345</v>
      </c>
      <c r="D14" s="11" t="s">
        <v>33</v>
      </c>
      <c r="E14" s="275"/>
      <c r="F14" s="257"/>
      <c r="G14" s="257"/>
      <c r="H14" s="257"/>
      <c r="I14" s="257"/>
      <c r="J14" s="257"/>
      <c r="K14" s="16"/>
      <c r="L14" s="257"/>
      <c r="M14" s="247"/>
      <c r="N14" s="16"/>
      <c r="O14" s="14"/>
      <c r="P14" s="14"/>
      <c r="Q14" s="13" t="str">
        <f>IF(AND($E14&lt;&gt;"",S14=""),VLOOKUP($C14&amp;$D14,'Références GES'!$E$21:$M$82,8,FALSE),"")</f>
        <v/>
      </c>
      <c r="R14" s="13" t="str">
        <f>IF(AND($E14&lt;&gt;"",T14=""),VLOOKUP($C14&amp;$D14,'Références GES'!$E$21:$M$82,7,FALSE),"")</f>
        <v/>
      </c>
      <c r="S14" s="14"/>
      <c r="T14" s="14"/>
      <c r="U14" s="15" t="str">
        <f>IF('0. Installation'!$B$4&lt;DATE(2021,1,1),
"Pas de critère à respecter",
IF(E14&lt;&gt;"",
IF(AND('0. Installation'!$B$4&gt;=DATE(2021,1,1),'0. Installation'!$B$4&lt;DATE(2026,1,1)),IF(MAX(O14,Q14)&gt;=0.7,"Elec. : oui","Elec. : non"),
IF(MAX(O14,Q14)&gt;=0.8,"Elec. : oui","Elec. : non"))
&amp;" / "&amp;
IF(AND('0. Installation'!$B$4&gt;=DATE(2021,1,1),'0. Installation'!$B$4&lt;DATE(2026,1,1)),IF(MAX(P14,R14)&gt;=0.7,"Chaleur : oui","Chaleur : non"),
IF(MAX(P14,R14)&gt;=0.8,"Chaleur : oui","Chaleur : non")),
""))</f>
        <v>Pas de critère à respecter</v>
      </c>
      <c r="V14" s="9"/>
      <c r="W14" s="119"/>
    </row>
    <row r="15" spans="1:23" ht="15.6">
      <c r="A15" s="318"/>
      <c r="B15" s="316"/>
      <c r="C15" s="274" t="s">
        <v>345</v>
      </c>
      <c r="D15" s="11" t="s">
        <v>34</v>
      </c>
      <c r="E15" s="275"/>
      <c r="F15" s="257"/>
      <c r="G15" s="257"/>
      <c r="H15" s="257"/>
      <c r="I15" s="257"/>
      <c r="J15" s="257"/>
      <c r="K15" s="16"/>
      <c r="L15" s="257"/>
      <c r="M15" s="247"/>
      <c r="N15" s="16"/>
      <c r="O15" s="14"/>
      <c r="P15" s="14"/>
      <c r="Q15" s="13" t="str">
        <f>IF(AND($E15&lt;&gt;"",S15=""),VLOOKUP($C15&amp;$D15,'Références GES'!$E$21:$M$82,8,FALSE),"")</f>
        <v/>
      </c>
      <c r="R15" s="13" t="str">
        <f>IF(AND($E15&lt;&gt;"",T15=""),VLOOKUP($C15&amp;$D15,'Références GES'!$E$21:$M$82,7,FALSE),"")</f>
        <v/>
      </c>
      <c r="S15" s="14"/>
      <c r="T15" s="14"/>
      <c r="U15" s="15" t="str">
        <f>IF('0. Installation'!$B$4&lt;DATE(2021,1,1),
"Pas de critère à respecter",
IF(E15&lt;&gt;"",
IF(AND('0. Installation'!$B$4&gt;=DATE(2021,1,1),'0. Installation'!$B$4&lt;DATE(2026,1,1)),IF(MAX(O15,Q15)&gt;=0.7,"Elec. : oui","Elec. : non"),
IF(MAX(O15,Q15)&gt;=0.8,"Elec. : oui","Elec. : non"))
&amp;" / "&amp;
IF(AND('0. Installation'!$B$4&gt;=DATE(2021,1,1),'0. Installation'!$B$4&lt;DATE(2026,1,1)),IF(MAX(P15,R15)&gt;=0.7,"Chaleur : oui","Chaleur : non"),
IF(MAX(P15,R15)&gt;=0.8,"Chaleur : oui","Chaleur : non")),
""))</f>
        <v>Pas de critère à respecter</v>
      </c>
      <c r="V15" s="9"/>
      <c r="W15" s="119"/>
    </row>
    <row r="16" spans="1:23" ht="15.6">
      <c r="A16" s="318"/>
      <c r="B16" s="316"/>
      <c r="C16" s="274" t="s">
        <v>345</v>
      </c>
      <c r="D16" s="11" t="s">
        <v>35</v>
      </c>
      <c r="E16" s="275"/>
      <c r="F16" s="257"/>
      <c r="G16" s="257"/>
      <c r="H16" s="257"/>
      <c r="I16" s="257"/>
      <c r="J16" s="257"/>
      <c r="K16" s="16"/>
      <c r="L16" s="257"/>
      <c r="M16" s="247"/>
      <c r="N16" s="16"/>
      <c r="O16" s="14"/>
      <c r="P16" s="14"/>
      <c r="Q16" s="13" t="str">
        <f>IF(AND($E16&lt;&gt;"",S16=""),VLOOKUP($C16&amp;$D16,'Références GES'!$E$21:$M$82,8,FALSE),"")</f>
        <v/>
      </c>
      <c r="R16" s="13" t="str">
        <f>IF(AND($E16&lt;&gt;"",T16=""),VLOOKUP($C16&amp;$D16,'Références GES'!$E$21:$M$82,7,FALSE),"")</f>
        <v/>
      </c>
      <c r="S16" s="14"/>
      <c r="T16" s="14"/>
      <c r="U16" s="15" t="str">
        <f>IF('0. Installation'!$B$4&lt;DATE(2021,1,1),
"Pas de critère à respecter",
IF(E16&lt;&gt;"",
IF(AND('0. Installation'!$B$4&gt;=DATE(2021,1,1),'0. Installation'!$B$4&lt;DATE(2026,1,1)),IF(MAX(O16,Q16)&gt;=0.7,"Elec. : oui","Elec. : non"),
IF(MAX(O16,Q16)&gt;=0.8,"Elec. : oui","Elec. : non"))
&amp;" / "&amp;
IF(AND('0. Installation'!$B$4&gt;=DATE(2021,1,1),'0. Installation'!$B$4&lt;DATE(2026,1,1)),IF(MAX(P16,R16)&gt;=0.7,"Chaleur : oui","Chaleur : non"),
IF(MAX(P16,R16)&gt;=0.8,"Chaleur : oui","Chaleur : non")),
""))</f>
        <v>Pas de critère à respecter</v>
      </c>
      <c r="V16" s="9"/>
      <c r="W16" s="119"/>
    </row>
    <row r="17" spans="1:23" ht="15.6">
      <c r="A17" s="318"/>
      <c r="B17" s="323"/>
      <c r="C17" s="274" t="s">
        <v>346</v>
      </c>
      <c r="D17" s="11" t="s">
        <v>36</v>
      </c>
      <c r="E17" s="275"/>
      <c r="F17" s="257"/>
      <c r="G17" s="257"/>
      <c r="H17" s="257"/>
      <c r="I17" s="257"/>
      <c r="J17" s="257"/>
      <c r="K17" s="16"/>
      <c r="L17" s="257"/>
      <c r="M17" s="247"/>
      <c r="N17" s="16"/>
      <c r="O17" s="14"/>
      <c r="P17" s="14"/>
      <c r="Q17" s="13" t="str">
        <f>IF(AND($E17&lt;&gt;"",S17=""),VLOOKUP($C17&amp;$D17,'Références GES'!$E$21:$M$82,8,FALSE),"")</f>
        <v/>
      </c>
      <c r="R17" s="13" t="str">
        <f>IF(AND($E17&lt;&gt;"",T17=""),VLOOKUP($C17&amp;$D17,'Références GES'!$E$21:$M$82,7,FALSE),"")</f>
        <v/>
      </c>
      <c r="S17" s="14"/>
      <c r="T17" s="14"/>
      <c r="U17" s="15" t="str">
        <f>IF('0. Installation'!$B$4&lt;DATE(2021,1,1),
"Pas de critère à respecter",
IF(E17&lt;&gt;"",
IF(AND('0. Installation'!$B$4&gt;=DATE(2021,1,1),'0. Installation'!$B$4&lt;DATE(2026,1,1)),IF(MAX(O17,Q17)&gt;=0.7,"Elec. : oui","Elec. : non"),
IF(MAX(O17,Q17)&gt;=0.8,"Elec. : oui","Elec. : non"))
&amp;" / "&amp;
IF(AND('0. Installation'!$B$4&gt;=DATE(2021,1,1),'0. Installation'!$B$4&lt;DATE(2026,1,1)),IF(MAX(P17,R17)&gt;=0.7,"Chaleur : oui","Chaleur : non"),
IF(MAX(P17,R17)&gt;=0.8,"Chaleur : oui","Chaleur : non")),
""))</f>
        <v>Pas de critère à respecter</v>
      </c>
      <c r="V17" s="9"/>
      <c r="W17" s="119"/>
    </row>
    <row r="18" spans="1:23" ht="15.6">
      <c r="A18" s="318"/>
      <c r="B18" s="318" t="s">
        <v>287</v>
      </c>
      <c r="C18" s="10" t="s">
        <v>40</v>
      </c>
      <c r="D18" s="11" t="s">
        <v>33</v>
      </c>
      <c r="E18" s="275"/>
      <c r="F18" s="257"/>
      <c r="G18" s="257"/>
      <c r="H18" s="257"/>
      <c r="I18" s="257"/>
      <c r="J18" s="257"/>
      <c r="K18" s="16"/>
      <c r="L18" s="257"/>
      <c r="M18" s="247"/>
      <c r="N18" s="16"/>
      <c r="O18" s="14"/>
      <c r="P18" s="14"/>
      <c r="Q18" s="13" t="str">
        <f>IF(AND($E18&lt;&gt;"",S18=""),VLOOKUP($C18&amp;$D18,'Références GES'!$E$21:$M$82,8,FALSE),"")</f>
        <v/>
      </c>
      <c r="R18" s="13" t="str">
        <f>IF(AND($E18&lt;&gt;"",T18=""),VLOOKUP($C18&amp;$D18,'Références GES'!$E$21:$M$82,7,FALSE),"")</f>
        <v/>
      </c>
      <c r="S18" s="14"/>
      <c r="T18" s="14"/>
      <c r="U18" s="15" t="str">
        <f>IF('0. Installation'!$B$4&lt;DATE(2021,1,1),
"Pas de critère à respecter",
IF(E18&lt;&gt;"",
IF(AND('0. Installation'!$B$4&gt;=DATE(2021,1,1),'0. Installation'!$B$4&lt;DATE(2026,1,1)),IF(MAX(O18,Q18)&gt;=0.7,"Elec. : oui","Elec. : non"),
IF(MAX(O18,Q18)&gt;=0.8,"Elec. : oui","Elec. : non"))
&amp;" / "&amp;
IF(AND('0. Installation'!$B$4&gt;=DATE(2021,1,1),'0. Installation'!$B$4&lt;DATE(2026,1,1)),IF(MAX(P18,R18)&gt;=0.7,"Chaleur : oui","Chaleur : non"),
IF(MAX(P18,R18)&gt;=0.8,"Chaleur : oui","Chaleur : non")),
""))</f>
        <v>Pas de critère à respecter</v>
      </c>
      <c r="V18" s="9"/>
      <c r="W18" s="119"/>
    </row>
    <row r="19" spans="1:23" ht="15.6">
      <c r="A19" s="318"/>
      <c r="B19" s="318"/>
      <c r="C19" s="10" t="s">
        <v>40</v>
      </c>
      <c r="D19" s="11" t="s">
        <v>34</v>
      </c>
      <c r="E19" s="275"/>
      <c r="F19" s="257"/>
      <c r="G19" s="257"/>
      <c r="H19" s="257"/>
      <c r="I19" s="257"/>
      <c r="J19" s="257"/>
      <c r="K19" s="16"/>
      <c r="L19" s="257"/>
      <c r="M19" s="247"/>
      <c r="N19" s="16"/>
      <c r="O19" s="14"/>
      <c r="P19" s="14"/>
      <c r="Q19" s="13" t="str">
        <f>IF(AND($E19&lt;&gt;"",S19=""),VLOOKUP($C19&amp;$D19,'Références GES'!$E$21:$M$82,8,FALSE),"")</f>
        <v/>
      </c>
      <c r="R19" s="13" t="str">
        <f>IF(AND($E19&lt;&gt;"",T19=""),VLOOKUP($C19&amp;$D19,'Références GES'!$E$21:$M$82,7,FALSE),"")</f>
        <v/>
      </c>
      <c r="S19" s="14"/>
      <c r="T19" s="14"/>
      <c r="U19" s="15" t="str">
        <f>IF('0. Installation'!$B$4&lt;DATE(2021,1,1),
"Pas de critère à respecter",
IF(E19&lt;&gt;"",
IF(AND('0. Installation'!$B$4&gt;=DATE(2021,1,1),'0. Installation'!$B$4&lt;DATE(2026,1,1)),IF(MAX(O19,Q19)&gt;=0.7,"Elec. : oui","Elec. : non"),
IF(MAX(O19,Q19)&gt;=0.8,"Elec. : oui","Elec. : non"))
&amp;" / "&amp;
IF(AND('0. Installation'!$B$4&gt;=DATE(2021,1,1),'0. Installation'!$B$4&lt;DATE(2026,1,1)),IF(MAX(P19,R19)&gt;=0.7,"Chaleur : oui","Chaleur : non"),
IF(MAX(P19,R19)&gt;=0.8,"Chaleur : oui","Chaleur : non")),
""))</f>
        <v>Pas de critère à respecter</v>
      </c>
      <c r="V19" s="9"/>
      <c r="W19" s="119"/>
    </row>
    <row r="20" spans="1:23" ht="15.6">
      <c r="A20" s="318"/>
      <c r="B20" s="318"/>
      <c r="C20" s="10" t="s">
        <v>40</v>
      </c>
      <c r="D20" s="11" t="s">
        <v>35</v>
      </c>
      <c r="E20" s="275"/>
      <c r="F20" s="257"/>
      <c r="G20" s="257"/>
      <c r="H20" s="257"/>
      <c r="I20" s="257"/>
      <c r="J20" s="257"/>
      <c r="K20" s="16"/>
      <c r="L20" s="257"/>
      <c r="M20" s="247"/>
      <c r="N20" s="16"/>
      <c r="O20" s="14"/>
      <c r="P20" s="14"/>
      <c r="Q20" s="13" t="str">
        <f>IF(AND($E20&lt;&gt;"",S20=""),VLOOKUP($C20&amp;$D20,'Références GES'!$E$21:$M$82,8,FALSE),"")</f>
        <v/>
      </c>
      <c r="R20" s="13" t="str">
        <f>IF(AND($E20&lt;&gt;"",T20=""),VLOOKUP($C20&amp;$D20,'Références GES'!$E$21:$M$82,7,FALSE),"")</f>
        <v/>
      </c>
      <c r="S20" s="14"/>
      <c r="T20" s="14"/>
      <c r="U20" s="15" t="str">
        <f>IF('0. Installation'!$B$4&lt;DATE(2021,1,1),
"Pas de critère à respecter",
IF(E20&lt;&gt;"",
IF(AND('0. Installation'!$B$4&gt;=DATE(2021,1,1),'0. Installation'!$B$4&lt;DATE(2026,1,1)),IF(MAX(O20,Q20)&gt;=0.7,"Elec. : oui","Elec. : non"),
IF(MAX(O20,Q20)&gt;=0.8,"Elec. : oui","Elec. : non"))
&amp;" / "&amp;
IF(AND('0. Installation'!$B$4&gt;=DATE(2021,1,1),'0. Installation'!$B$4&lt;DATE(2026,1,1)),IF(MAX(P20,R20)&gt;=0.7,"Chaleur : oui","Chaleur : non"),
IF(MAX(P20,R20)&gt;=0.8,"Chaleur : oui","Chaleur : non")),
""))</f>
        <v>Pas de critère à respecter</v>
      </c>
      <c r="V20" s="9"/>
      <c r="W20" s="119"/>
    </row>
    <row r="21" spans="1:23" ht="15.6">
      <c r="A21" s="318"/>
      <c r="B21" s="318"/>
      <c r="C21" s="10" t="s">
        <v>40</v>
      </c>
      <c r="D21" s="11" t="s">
        <v>36</v>
      </c>
      <c r="E21" s="275"/>
      <c r="F21" s="257"/>
      <c r="G21" s="257"/>
      <c r="H21" s="257"/>
      <c r="I21" s="257"/>
      <c r="J21" s="257"/>
      <c r="K21" s="16"/>
      <c r="L21" s="257"/>
      <c r="M21" s="247"/>
      <c r="N21" s="16"/>
      <c r="O21" s="14"/>
      <c r="P21" s="14"/>
      <c r="Q21" s="13" t="str">
        <f>IF(AND($E21&lt;&gt;"",S21=""),VLOOKUP($C21&amp;$D21,'Références GES'!$E$21:$M$82,8,FALSE),"")</f>
        <v/>
      </c>
      <c r="R21" s="13" t="str">
        <f>IF(AND($E21&lt;&gt;"",T21=""),VLOOKUP($C21&amp;$D21,'Références GES'!$E$21:$M$82,7,FALSE),"")</f>
        <v/>
      </c>
      <c r="S21" s="14"/>
      <c r="T21" s="14"/>
      <c r="U21" s="15" t="str">
        <f>IF('0. Installation'!$B$4&lt;DATE(2021,1,1),
"Pas de critère à respecter",
IF(E21&lt;&gt;"",
IF(AND('0. Installation'!$B$4&gt;=DATE(2021,1,1),'0. Installation'!$B$4&lt;DATE(2026,1,1)),IF(MAX(O21,Q21)&gt;=0.7,"Elec. : oui","Elec. : non"),
IF(MAX(O21,Q21)&gt;=0.8,"Elec. : oui","Elec. : non"))
&amp;" / "&amp;
IF(AND('0. Installation'!$B$4&gt;=DATE(2021,1,1),'0. Installation'!$B$4&lt;DATE(2026,1,1)),IF(MAX(P21,R21)&gt;=0.7,"Chaleur : oui","Chaleur : non"),
IF(MAX(P21,R21)&gt;=0.8,"Chaleur : oui","Chaleur : non")),
""))</f>
        <v>Pas de critère à respecter</v>
      </c>
      <c r="V21" s="9"/>
      <c r="W21" s="119"/>
    </row>
    <row r="22" spans="1:23" ht="15.6">
      <c r="A22" s="324" t="s">
        <v>41</v>
      </c>
      <c r="B22" s="325" t="s">
        <v>42</v>
      </c>
      <c r="C22" s="10" t="s">
        <v>43</v>
      </c>
      <c r="D22" s="11" t="s">
        <v>33</v>
      </c>
      <c r="E22" s="275"/>
      <c r="F22" s="257"/>
      <c r="G22" s="257"/>
      <c r="H22" s="257"/>
      <c r="I22" s="257"/>
      <c r="J22" s="257"/>
      <c r="K22" s="16"/>
      <c r="L22" s="257"/>
      <c r="M22" s="247"/>
      <c r="N22" s="16"/>
      <c r="O22" s="13" t="str">
        <f>IF(AND($E22&lt;&gt;"",S22=""),VLOOKUP($C22&amp;$D22,'Références GES'!$E$21:$M$183,3,FALSE),"")</f>
        <v/>
      </c>
      <c r="P22" s="13" t="str">
        <f>IF(AND($E22&lt;&gt;"",T22=""),VLOOKUP($C22&amp;$D22,'Références GES'!$E$21:$M$183,2,FALSE),"")</f>
        <v/>
      </c>
      <c r="Q22" s="14"/>
      <c r="R22" s="14"/>
      <c r="S22" s="14"/>
      <c r="T22" s="14"/>
      <c r="U22" s="15" t="str">
        <f>IF('0. Installation'!$B$4&lt;DATE(2021,1,1),
"Pas de critère à respecter",
IF(E22&lt;&gt;"",
IF(AND('0. Installation'!$B$4&gt;=DATE(2021,1,1),'0. Installation'!$B$4&lt;DATE(2026,1,1)),IF(MAX(O22,Q22)&gt;=0.7,"Elec. : oui","Elec. : non"),
IF(MAX(O22,Q22)&gt;=0.8,"Elec. : oui","Elec. : non"))
&amp;" / "&amp;
IF(AND('0. Installation'!$B$4&gt;=DATE(2021,1,1),'0. Installation'!$B$4&lt;DATE(2026,1,1)),IF(MAX(P22,R22)&gt;=0.7,"Chaleur : oui","Chaleur : non"),
IF(MAX(P22,R22)&gt;=0.8,"Chaleur : oui","Chaleur : non")),
""))</f>
        <v>Pas de critère à respecter</v>
      </c>
      <c r="V22" s="9"/>
      <c r="W22" s="119"/>
    </row>
    <row r="23" spans="1:23" ht="15.6">
      <c r="A23" s="324"/>
      <c r="B23" s="325"/>
      <c r="C23" s="10" t="s">
        <v>43</v>
      </c>
      <c r="D23" s="11" t="s">
        <v>34</v>
      </c>
      <c r="E23" s="275"/>
      <c r="F23" s="257"/>
      <c r="G23" s="257"/>
      <c r="H23" s="257"/>
      <c r="I23" s="257"/>
      <c r="J23" s="257"/>
      <c r="K23" s="16"/>
      <c r="L23" s="257"/>
      <c r="M23" s="247"/>
      <c r="N23" s="16"/>
      <c r="O23" s="13" t="str">
        <f>IF(AND($E23&lt;&gt;"",S23=""),VLOOKUP($C23&amp;$D23,'Références GES'!$E$21:$M$183,3,FALSE),"")</f>
        <v/>
      </c>
      <c r="P23" s="13" t="str">
        <f>IF(AND($E23&lt;&gt;"",T23=""),VLOOKUP($C23&amp;$D23,'Références GES'!$E$21:$M$183,2,FALSE),"")</f>
        <v/>
      </c>
      <c r="Q23" s="14"/>
      <c r="R23" s="14"/>
      <c r="S23" s="14"/>
      <c r="T23" s="14"/>
      <c r="U23" s="15" t="str">
        <f>IF('0. Installation'!$B$4&lt;DATE(2021,1,1),
"Pas de critère à respecter",
IF(E23&lt;&gt;"",
IF(AND('0. Installation'!$B$4&gt;=DATE(2021,1,1),'0. Installation'!$B$4&lt;DATE(2026,1,1)),IF(MAX(O23,Q23)&gt;=0.7,"Elec. : oui","Elec. : non"),
IF(MAX(O23,Q23)&gt;=0.8,"Elec. : oui","Elec. : non"))
&amp;" / "&amp;
IF(AND('0. Installation'!$B$4&gt;=DATE(2021,1,1),'0. Installation'!$B$4&lt;DATE(2026,1,1)),IF(MAX(P23,R23)&gt;=0.7,"Chaleur : oui","Chaleur : non"),
IF(MAX(P23,R23)&gt;=0.8,"Chaleur : oui","Chaleur : non")),
""))</f>
        <v>Pas de critère à respecter</v>
      </c>
      <c r="V23" s="9"/>
      <c r="W23" s="119"/>
    </row>
    <row r="24" spans="1:23" ht="15.6">
      <c r="A24" s="324"/>
      <c r="B24" s="325"/>
      <c r="C24" s="10" t="s">
        <v>43</v>
      </c>
      <c r="D24" s="11" t="s">
        <v>35</v>
      </c>
      <c r="E24" s="275"/>
      <c r="F24" s="257"/>
      <c r="G24" s="257"/>
      <c r="H24" s="257"/>
      <c r="I24" s="257"/>
      <c r="J24" s="257"/>
      <c r="K24" s="16"/>
      <c r="L24" s="257"/>
      <c r="M24" s="247"/>
      <c r="N24" s="16"/>
      <c r="O24" s="13" t="str">
        <f>IF(AND($E24&lt;&gt;"",S24=""),VLOOKUP($C24&amp;$D24,'Références GES'!$E$21:$M$183,3,FALSE),"")</f>
        <v/>
      </c>
      <c r="P24" s="13" t="str">
        <f>IF(AND($E24&lt;&gt;"",T24=""),VLOOKUP($C24&amp;$D24,'Références GES'!$E$21:$M$183,2,FALSE),"")</f>
        <v/>
      </c>
      <c r="Q24" s="14"/>
      <c r="R24" s="14"/>
      <c r="S24" s="14"/>
      <c r="T24" s="14"/>
      <c r="U24" s="15" t="str">
        <f>IF('0. Installation'!$B$4&lt;DATE(2021,1,1),
"Pas de critère à respecter",
IF(E24&lt;&gt;"",
IF(AND('0. Installation'!$B$4&gt;=DATE(2021,1,1),'0. Installation'!$B$4&lt;DATE(2026,1,1)),IF(MAX(O24,Q24)&gt;=0.7,"Elec. : oui","Elec. : non"),
IF(MAX(O24,Q24)&gt;=0.8,"Elec. : oui","Elec. : non"))
&amp;" / "&amp;
IF(AND('0. Installation'!$B$4&gt;=DATE(2021,1,1),'0. Installation'!$B$4&lt;DATE(2026,1,1)),IF(MAX(P24,R24)&gt;=0.7,"Chaleur : oui","Chaleur : non"),
IF(MAX(P24,R24)&gt;=0.8,"Chaleur : oui","Chaleur : non")),
""))</f>
        <v>Pas de critère à respecter</v>
      </c>
      <c r="V24" s="9"/>
      <c r="W24" s="119"/>
    </row>
    <row r="25" spans="1:23" ht="15.6">
      <c r="A25" s="324"/>
      <c r="B25" s="325"/>
      <c r="C25" s="10" t="s">
        <v>43</v>
      </c>
      <c r="D25" s="11" t="s">
        <v>36</v>
      </c>
      <c r="E25" s="275"/>
      <c r="F25" s="257"/>
      <c r="G25" s="257"/>
      <c r="H25" s="257"/>
      <c r="I25" s="257"/>
      <c r="J25" s="257"/>
      <c r="K25" s="16"/>
      <c r="L25" s="257"/>
      <c r="M25" s="247"/>
      <c r="N25" s="16"/>
      <c r="O25" s="13" t="str">
        <f>IF(AND($E25&lt;&gt;"",S25=""),VLOOKUP($C25&amp;$D25,'Références GES'!$E$21:$M$183,3,FALSE),"")</f>
        <v/>
      </c>
      <c r="P25" s="13" t="str">
        <f>IF(AND($E25&lt;&gt;"",T25=""),VLOOKUP($C25&amp;$D25,'Références GES'!$E$21:$M$183,2,FALSE),"")</f>
        <v/>
      </c>
      <c r="Q25" s="14"/>
      <c r="R25" s="14"/>
      <c r="S25" s="14"/>
      <c r="T25" s="14"/>
      <c r="U25" s="15" t="str">
        <f>IF('0. Installation'!$B$4&lt;DATE(2021,1,1),
"Pas de critère à respecter",
IF(E25&lt;&gt;"",
IF(AND('0. Installation'!$B$4&gt;=DATE(2021,1,1),'0. Installation'!$B$4&lt;DATE(2026,1,1)),IF(MAX(O25,Q25)&gt;=0.7,"Elec. : oui","Elec. : non"),
IF(MAX(O25,Q25)&gt;=0.8,"Elec. : oui","Elec. : non"))
&amp;" / "&amp;
IF(AND('0. Installation'!$B$4&gt;=DATE(2021,1,1),'0. Installation'!$B$4&lt;DATE(2026,1,1)),IF(MAX(P25,R25)&gt;=0.7,"Chaleur : oui","Chaleur : non"),
IF(MAX(P25,R25)&gt;=0.8,"Chaleur : oui","Chaleur : non")),
""))</f>
        <v>Pas de critère à respecter</v>
      </c>
      <c r="V25" s="9"/>
      <c r="W25" s="119"/>
    </row>
    <row r="26" spans="1:23" ht="15.6">
      <c r="A26" s="324"/>
      <c r="B26" s="318" t="s">
        <v>44</v>
      </c>
      <c r="C26" s="10" t="s">
        <v>45</v>
      </c>
      <c r="D26" s="11" t="s">
        <v>33</v>
      </c>
      <c r="E26" s="275"/>
      <c r="F26" s="257"/>
      <c r="G26" s="257"/>
      <c r="H26" s="257"/>
      <c r="I26" s="257"/>
      <c r="J26" s="257"/>
      <c r="K26" s="16"/>
      <c r="L26" s="257"/>
      <c r="M26" s="247"/>
      <c r="N26" s="16"/>
      <c r="O26" s="13" t="str">
        <f>IF(AND($E26&lt;&gt;"",S26=""),VLOOKUP($C26&amp;$D26,'Références GES'!$E$21:$M$183,3,FALSE),"")</f>
        <v/>
      </c>
      <c r="P26" s="13" t="str">
        <f>IF(AND($E26&lt;&gt;"",T26=""),VLOOKUP($C26&amp;$D26,'Références GES'!$E$21:$M$183,2,FALSE),"")</f>
        <v/>
      </c>
      <c r="Q26" s="14"/>
      <c r="R26" s="14"/>
      <c r="S26" s="14"/>
      <c r="T26" s="14"/>
      <c r="U26" s="15" t="str">
        <f>IF('0. Installation'!$B$4&lt;DATE(2021,1,1),
"Pas de critère à respecter",
IF(E26&lt;&gt;"",
IF(AND('0. Installation'!$B$4&gt;=DATE(2021,1,1),'0. Installation'!$B$4&lt;DATE(2026,1,1)),IF(MAX(O26,Q26)&gt;=0.7,"Elec. : oui","Elec. : non"),
IF(MAX(O26,Q26)&gt;=0.8,"Elec. : oui","Elec. : non"))
&amp;" / "&amp;
IF(AND('0. Installation'!$B$4&gt;=DATE(2021,1,1),'0. Installation'!$B$4&lt;DATE(2026,1,1)),IF(MAX(P26,R26)&gt;=0.7,"Chaleur : oui","Chaleur : non"),
IF(MAX(P26,R26)&gt;=0.8,"Chaleur : oui","Chaleur : non")),
""))</f>
        <v>Pas de critère à respecter</v>
      </c>
      <c r="V26" s="9"/>
      <c r="W26" s="119"/>
    </row>
    <row r="27" spans="1:23" ht="15.6">
      <c r="A27" s="324"/>
      <c r="B27" s="318"/>
      <c r="C27" s="10" t="s">
        <v>45</v>
      </c>
      <c r="D27" s="11" t="s">
        <v>34</v>
      </c>
      <c r="E27" s="275"/>
      <c r="F27" s="257"/>
      <c r="G27" s="257"/>
      <c r="H27" s="257"/>
      <c r="I27" s="257"/>
      <c r="J27" s="257"/>
      <c r="K27" s="16"/>
      <c r="L27" s="257"/>
      <c r="M27" s="247"/>
      <c r="N27" s="16"/>
      <c r="O27" s="13" t="str">
        <f>IF(AND($E27&lt;&gt;"",S27=""),VLOOKUP($C27&amp;$D27,'Références GES'!$E$21:$M$183,3,FALSE),"")</f>
        <v/>
      </c>
      <c r="P27" s="13" t="str">
        <f>IF(AND($E27&lt;&gt;"",T27=""),VLOOKUP($C27&amp;$D27,'Références GES'!$E$21:$M$183,2,FALSE),"")</f>
        <v/>
      </c>
      <c r="Q27" s="14"/>
      <c r="R27" s="14"/>
      <c r="S27" s="14"/>
      <c r="T27" s="14"/>
      <c r="U27" s="15" t="str">
        <f>IF('0. Installation'!$B$4&lt;DATE(2021,1,1),
"Pas de critère à respecter",
IF(E27&lt;&gt;"",
IF(AND('0. Installation'!$B$4&gt;=DATE(2021,1,1),'0. Installation'!$B$4&lt;DATE(2026,1,1)),IF(MAX(O27,Q27)&gt;=0.7,"Elec. : oui","Elec. : non"),
IF(MAX(O27,Q27)&gt;=0.8,"Elec. : oui","Elec. : non"))
&amp;" / "&amp;
IF(AND('0. Installation'!$B$4&gt;=DATE(2021,1,1),'0. Installation'!$B$4&lt;DATE(2026,1,1)),IF(MAX(P27,R27)&gt;=0.7,"Chaleur : oui","Chaleur : non"),
IF(MAX(P27,R27)&gt;=0.8,"Chaleur : oui","Chaleur : non")),
""))</f>
        <v>Pas de critère à respecter</v>
      </c>
      <c r="V27" s="9"/>
      <c r="W27" s="119"/>
    </row>
    <row r="28" spans="1:23" ht="15.6">
      <c r="A28" s="324"/>
      <c r="B28" s="318"/>
      <c r="C28" s="10" t="s">
        <v>45</v>
      </c>
      <c r="D28" s="11" t="s">
        <v>35</v>
      </c>
      <c r="E28" s="275"/>
      <c r="F28" s="257"/>
      <c r="G28" s="257"/>
      <c r="H28" s="257"/>
      <c r="I28" s="257"/>
      <c r="J28" s="257"/>
      <c r="K28" s="16"/>
      <c r="L28" s="257"/>
      <c r="M28" s="247"/>
      <c r="N28" s="16"/>
      <c r="O28" s="13" t="str">
        <f>IF(AND($E28&lt;&gt;"",S28=""),VLOOKUP($C28&amp;$D28,'Références GES'!$E$21:$M$183,3,FALSE),"")</f>
        <v/>
      </c>
      <c r="P28" s="13" t="str">
        <f>IF(AND($E28&lt;&gt;"",T28=""),VLOOKUP($C28&amp;$D28,'Références GES'!$E$21:$M$183,2,FALSE),"")</f>
        <v/>
      </c>
      <c r="Q28" s="14"/>
      <c r="R28" s="14"/>
      <c r="S28" s="14"/>
      <c r="T28" s="14"/>
      <c r="U28" s="15" t="str">
        <f>IF('0. Installation'!$B$4&lt;DATE(2021,1,1),
"Pas de critère à respecter",
IF(E28&lt;&gt;"",
IF(AND('0. Installation'!$B$4&gt;=DATE(2021,1,1),'0. Installation'!$B$4&lt;DATE(2026,1,1)),IF(MAX(O28,Q28)&gt;=0.7,"Elec. : oui","Elec. : non"),
IF(MAX(O28,Q28)&gt;=0.8,"Elec. : oui","Elec. : non"))
&amp;" / "&amp;
IF(AND('0. Installation'!$B$4&gt;=DATE(2021,1,1),'0. Installation'!$B$4&lt;DATE(2026,1,1)),IF(MAX(P28,R28)&gt;=0.7,"Chaleur : oui","Chaleur : non"),
IF(MAX(P28,R28)&gt;=0.8,"Chaleur : oui","Chaleur : non")),
""))</f>
        <v>Pas de critère à respecter</v>
      </c>
      <c r="V28" s="9"/>
      <c r="W28" s="119"/>
    </row>
    <row r="29" spans="1:23" ht="15.6">
      <c r="A29" s="324"/>
      <c r="B29" s="318"/>
      <c r="C29" s="10" t="s">
        <v>45</v>
      </c>
      <c r="D29" s="11" t="s">
        <v>36</v>
      </c>
      <c r="E29" s="275"/>
      <c r="F29" s="257"/>
      <c r="G29" s="257"/>
      <c r="H29" s="257"/>
      <c r="I29" s="257"/>
      <c r="J29" s="257"/>
      <c r="K29" s="16"/>
      <c r="L29" s="257"/>
      <c r="M29" s="247"/>
      <c r="N29" s="16"/>
      <c r="O29" s="13" t="str">
        <f>IF(AND($E29&lt;&gt;"",S29=""),VLOOKUP($C29&amp;$D29,'Références GES'!$E$21:$M$183,3,FALSE),"")</f>
        <v/>
      </c>
      <c r="P29" s="13" t="str">
        <f>IF(AND($E29&lt;&gt;"",T29=""),VLOOKUP($C29&amp;$D29,'Références GES'!$E$21:$M$183,2,FALSE),"")</f>
        <v/>
      </c>
      <c r="Q29" s="14"/>
      <c r="R29" s="14"/>
      <c r="S29" s="14"/>
      <c r="T29" s="14"/>
      <c r="U29" s="15" t="str">
        <f>IF('0. Installation'!$B$4&lt;DATE(2021,1,1),
"Pas de critère à respecter",
IF(E29&lt;&gt;"",
IF(AND('0. Installation'!$B$4&gt;=DATE(2021,1,1),'0. Installation'!$B$4&lt;DATE(2026,1,1)),IF(MAX(O29,Q29)&gt;=0.7,"Elec. : oui","Elec. : non"),
IF(MAX(O29,Q29)&gt;=0.8,"Elec. : oui","Elec. : non"))
&amp;" / "&amp;
IF(AND('0. Installation'!$B$4&gt;=DATE(2021,1,1),'0. Installation'!$B$4&lt;DATE(2026,1,1)),IF(MAX(P29,R29)&gt;=0.7,"Chaleur : oui","Chaleur : non"),
IF(MAX(P29,R29)&gt;=0.8,"Chaleur : oui","Chaleur : non")),
""))</f>
        <v>Pas de critère à respecter</v>
      </c>
      <c r="V29" s="9"/>
      <c r="W29" s="119"/>
    </row>
    <row r="30" spans="1:23" ht="15.6">
      <c r="A30" s="318" t="s">
        <v>46</v>
      </c>
      <c r="B30" s="318" t="s">
        <v>47</v>
      </c>
      <c r="C30" s="10" t="s">
        <v>48</v>
      </c>
      <c r="D30" s="11" t="s">
        <v>33</v>
      </c>
      <c r="E30" s="275"/>
      <c r="F30" s="257"/>
      <c r="G30" s="257"/>
      <c r="H30" s="257"/>
      <c r="I30" s="257"/>
      <c r="J30" s="257"/>
      <c r="K30" s="16"/>
      <c r="L30" s="257"/>
      <c r="M30" s="247"/>
      <c r="N30" s="16"/>
      <c r="O30" s="14"/>
      <c r="P30" s="14"/>
      <c r="Q30" s="13" t="str">
        <f>IF(AND($E30&lt;&gt;"",S30=""),VLOOKUP($C30&amp;$D30,'Références GES'!$E$21:$M$82,8,FALSE),"")</f>
        <v/>
      </c>
      <c r="R30" s="13" t="str">
        <f>IF(AND($E30&lt;&gt;"",T30=""),VLOOKUP($C30&amp;$D30,'Références GES'!$E$21:$M$82,7,FALSE),"")</f>
        <v/>
      </c>
      <c r="S30" s="14"/>
      <c r="T30" s="14"/>
      <c r="U30" s="15" t="str">
        <f>IF('0. Installation'!$B$4&lt;DATE(2021,1,1),
"Pas de critère à respecter",
IF(E30&lt;&gt;"",
IF(AND('0. Installation'!$B$4&gt;=DATE(2021,1,1),'0. Installation'!$B$4&lt;DATE(2026,1,1)),IF(MAX(O30,Q30)&gt;=0.7,"Elec. : oui","Elec. : non"),
IF(MAX(O30,Q30)&gt;=0.8,"Elec. : oui","Elec. : non"))
&amp;" / "&amp;
IF(AND('0. Installation'!$B$4&gt;=DATE(2021,1,1),'0. Installation'!$B$4&lt;DATE(2026,1,1)),IF(MAX(P30,R30)&gt;=0.7,"Chaleur : oui","Chaleur : non"),
IF(MAX(P30,R30)&gt;=0.8,"Chaleur : oui","Chaleur : non")),
""))</f>
        <v>Pas de critère à respecter</v>
      </c>
      <c r="V30" s="9"/>
      <c r="W30" s="119"/>
    </row>
    <row r="31" spans="1:23" ht="15.6">
      <c r="A31" s="318"/>
      <c r="B31" s="318"/>
      <c r="C31" s="10" t="s">
        <v>48</v>
      </c>
      <c r="D31" s="11" t="s">
        <v>34</v>
      </c>
      <c r="E31" s="275"/>
      <c r="F31" s="257"/>
      <c r="G31" s="257"/>
      <c r="H31" s="257"/>
      <c r="I31" s="257"/>
      <c r="J31" s="257"/>
      <c r="K31" s="16"/>
      <c r="L31" s="257"/>
      <c r="M31" s="247"/>
      <c r="N31" s="16"/>
      <c r="O31" s="14"/>
      <c r="P31" s="14"/>
      <c r="Q31" s="13" t="str">
        <f>IF(AND($E31&lt;&gt;"",S31=""),VLOOKUP($C31&amp;$D31,'Références GES'!$E$21:$M$82,8,FALSE),"")</f>
        <v/>
      </c>
      <c r="R31" s="13" t="str">
        <f>IF(AND($E31&lt;&gt;"",T31=""),VLOOKUP($C31&amp;$D31,'Références GES'!$E$21:$M$82,7,FALSE),"")</f>
        <v/>
      </c>
      <c r="S31" s="14"/>
      <c r="T31" s="14"/>
      <c r="U31" s="15" t="str">
        <f>IF('0. Installation'!$B$4&lt;DATE(2021,1,1),
"Pas de critère à respecter",
IF(E31&lt;&gt;"",
IF(AND('0. Installation'!$B$4&gt;=DATE(2021,1,1),'0. Installation'!$B$4&lt;DATE(2026,1,1)),IF(MAX(O31,Q31)&gt;=0.7,"Elec. : oui","Elec. : non"),
IF(MAX(O31,Q31)&gt;=0.8,"Elec. : oui","Elec. : non"))
&amp;" / "&amp;
IF(AND('0. Installation'!$B$4&gt;=DATE(2021,1,1),'0. Installation'!$B$4&lt;DATE(2026,1,1)),IF(MAX(P31,R31)&gt;=0.7,"Chaleur : oui","Chaleur : non"),
IF(MAX(P31,R31)&gt;=0.8,"Chaleur : oui","Chaleur : non")),
""))</f>
        <v>Pas de critère à respecter</v>
      </c>
      <c r="V31" s="9"/>
      <c r="W31" s="119"/>
    </row>
    <row r="32" spans="1:23" ht="15.6">
      <c r="A32" s="318"/>
      <c r="B32" s="318"/>
      <c r="C32" s="10" t="s">
        <v>48</v>
      </c>
      <c r="D32" s="11" t="s">
        <v>35</v>
      </c>
      <c r="E32" s="275"/>
      <c r="F32" s="257"/>
      <c r="G32" s="257"/>
      <c r="H32" s="257"/>
      <c r="I32" s="257"/>
      <c r="J32" s="257"/>
      <c r="K32" s="16"/>
      <c r="L32" s="257"/>
      <c r="M32" s="247"/>
      <c r="N32" s="16"/>
      <c r="O32" s="14"/>
      <c r="P32" s="14"/>
      <c r="Q32" s="13" t="str">
        <f>IF(AND($E32&lt;&gt;"",S32=""),VLOOKUP($C32&amp;$D32,'Références GES'!$E$21:$M$82,8,FALSE),"")</f>
        <v/>
      </c>
      <c r="R32" s="13" t="str">
        <f>IF(AND($E32&lt;&gt;"",T32=""),VLOOKUP($C32&amp;$D32,'Références GES'!$E$21:$M$82,7,FALSE),"")</f>
        <v/>
      </c>
      <c r="S32" s="14"/>
      <c r="T32" s="14"/>
      <c r="U32" s="15" t="str">
        <f>IF('0. Installation'!$B$4&lt;DATE(2021,1,1),
"Pas de critère à respecter",
IF(E32&lt;&gt;"",
IF(AND('0. Installation'!$B$4&gt;=DATE(2021,1,1),'0. Installation'!$B$4&lt;DATE(2026,1,1)),IF(MAX(O32,Q32)&gt;=0.7,"Elec. : oui","Elec. : non"),
IF(MAX(O32,Q32)&gt;=0.8,"Elec. : oui","Elec. : non"))
&amp;" / "&amp;
IF(AND('0. Installation'!$B$4&gt;=DATE(2021,1,1),'0. Installation'!$B$4&lt;DATE(2026,1,1)),IF(MAX(P32,R32)&gt;=0.7,"Chaleur : oui","Chaleur : non"),
IF(MAX(P32,R32)&gt;=0.8,"Chaleur : oui","Chaleur : non")),
""))</f>
        <v>Pas de critère à respecter</v>
      </c>
      <c r="V32" s="9"/>
      <c r="W32" s="119"/>
    </row>
    <row r="33" spans="1:23" ht="15.6">
      <c r="A33" s="318"/>
      <c r="B33" s="318"/>
      <c r="C33" s="10" t="s">
        <v>48</v>
      </c>
      <c r="D33" s="11" t="s">
        <v>36</v>
      </c>
      <c r="E33" s="275"/>
      <c r="F33" s="257"/>
      <c r="G33" s="257"/>
      <c r="H33" s="257"/>
      <c r="I33" s="257"/>
      <c r="J33" s="257"/>
      <c r="K33" s="16"/>
      <c r="L33" s="257"/>
      <c r="M33" s="247"/>
      <c r="N33" s="16"/>
      <c r="O33" s="14"/>
      <c r="P33" s="14"/>
      <c r="Q33" s="13" t="str">
        <f>IF(AND($E33&lt;&gt;"",S33=""),VLOOKUP($C33&amp;$D33,'Références GES'!$E$21:$M$82,8,FALSE),"")</f>
        <v/>
      </c>
      <c r="R33" s="13" t="str">
        <f>IF(AND($E33&lt;&gt;"",T33=""),VLOOKUP($C33&amp;$D33,'Références GES'!$E$21:$M$82,7,FALSE),"")</f>
        <v/>
      </c>
      <c r="S33" s="14"/>
      <c r="T33" s="14"/>
      <c r="U33" s="15" t="str">
        <f>IF('0. Installation'!$B$4&lt;DATE(2021,1,1),
"Pas de critère à respecter",
IF(E33&lt;&gt;"",
IF(AND('0. Installation'!$B$4&gt;=DATE(2021,1,1),'0. Installation'!$B$4&lt;DATE(2026,1,1)),IF(MAX(O33,Q33)&gt;=0.7,"Elec. : oui","Elec. : non"),
IF(MAX(O33,Q33)&gt;=0.8,"Elec. : oui","Elec. : non"))
&amp;" / "&amp;
IF(AND('0. Installation'!$B$4&gt;=DATE(2021,1,1),'0. Installation'!$B$4&lt;DATE(2026,1,1)),IF(MAX(P33,R33)&gt;=0.7,"Chaleur : oui","Chaleur : non"),
IF(MAX(P33,R33)&gt;=0.8,"Chaleur : oui","Chaleur : non")),
""))</f>
        <v>Pas de critère à respecter</v>
      </c>
      <c r="V33" s="9"/>
      <c r="W33" s="119"/>
    </row>
    <row r="34" spans="1:23" ht="15.6">
      <c r="A34" s="318"/>
      <c r="B34" s="326" t="s">
        <v>369</v>
      </c>
      <c r="C34" s="10" t="s">
        <v>49</v>
      </c>
      <c r="D34" s="11" t="s">
        <v>33</v>
      </c>
      <c r="E34" s="275"/>
      <c r="F34" s="257"/>
      <c r="G34" s="257"/>
      <c r="H34" s="257"/>
      <c r="I34" s="257"/>
      <c r="J34" s="257"/>
      <c r="K34" s="16"/>
      <c r="L34" s="257"/>
      <c r="M34" s="247"/>
      <c r="N34" s="16"/>
      <c r="O34" s="14"/>
      <c r="P34" s="14"/>
      <c r="Q34" s="13" t="str">
        <f>IF(AND($E34&lt;&gt;"",S34=""),VLOOKUP($C34&amp;$D34,'Références GES'!$E$21:$M$82,8,FALSE),"")</f>
        <v/>
      </c>
      <c r="R34" s="13" t="str">
        <f>IF(AND($E34&lt;&gt;"",T34=""),VLOOKUP($C34&amp;$D34,'Références GES'!$E$21:$M$82,7,FALSE),"")</f>
        <v/>
      </c>
      <c r="S34" s="14"/>
      <c r="T34" s="14"/>
      <c r="U34" s="15" t="str">
        <f>IF('0. Installation'!$B$4&lt;DATE(2021,1,1),
"Pas de critère à respecter",
IF(E34&lt;&gt;"",
IF(AND('0. Installation'!$B$4&gt;=DATE(2021,1,1),'0. Installation'!$B$4&lt;DATE(2026,1,1)),IF(MAX(O34,Q34)&gt;=0.7,"Elec. : oui","Elec. : non"),
IF(MAX(O34,Q34)&gt;=0.8,"Elec. : oui","Elec. : non"))
&amp;" / "&amp;
IF(AND('0. Installation'!$B$4&gt;=DATE(2021,1,1),'0. Installation'!$B$4&lt;DATE(2026,1,1)),IF(MAX(P34,R34)&gt;=0.7,"Chaleur : oui","Chaleur : non"),
IF(MAX(P34,R34)&gt;=0.8,"Chaleur : oui","Chaleur : non")),
""))</f>
        <v>Pas de critère à respecter</v>
      </c>
      <c r="V34" s="9"/>
      <c r="W34" s="119"/>
    </row>
    <row r="35" spans="1:23" ht="15.6">
      <c r="A35" s="318"/>
      <c r="B35" s="326"/>
      <c r="C35" s="10" t="s">
        <v>49</v>
      </c>
      <c r="D35" s="11" t="s">
        <v>34</v>
      </c>
      <c r="E35" s="275"/>
      <c r="F35" s="257"/>
      <c r="G35" s="257"/>
      <c r="H35" s="257"/>
      <c r="I35" s="257"/>
      <c r="J35" s="257"/>
      <c r="K35" s="16"/>
      <c r="L35" s="257"/>
      <c r="M35" s="247"/>
      <c r="N35" s="16"/>
      <c r="O35" s="14"/>
      <c r="P35" s="14"/>
      <c r="Q35" s="13" t="str">
        <f>IF(AND($E35&lt;&gt;"",S35=""),VLOOKUP($C35&amp;$D35,'Références GES'!$E$21:$M$82,8,FALSE),"")</f>
        <v/>
      </c>
      <c r="R35" s="13" t="str">
        <f>IF(AND($E35&lt;&gt;"",T35=""),VLOOKUP($C35&amp;$D35,'Références GES'!$E$21:$M$82,7,FALSE),"")</f>
        <v/>
      </c>
      <c r="S35" s="14"/>
      <c r="T35" s="14"/>
      <c r="U35" s="15" t="str">
        <f>IF('0. Installation'!$B$4&lt;DATE(2021,1,1),
"Pas de critère à respecter",
IF(E35&lt;&gt;"",
IF(AND('0. Installation'!$B$4&gt;=DATE(2021,1,1),'0. Installation'!$B$4&lt;DATE(2026,1,1)),IF(MAX(O35,Q35)&gt;=0.7,"Elec. : oui","Elec. : non"),
IF(MAX(O35,Q35)&gt;=0.8,"Elec. : oui","Elec. : non"))
&amp;" / "&amp;
IF(AND('0. Installation'!$B$4&gt;=DATE(2021,1,1),'0. Installation'!$B$4&lt;DATE(2026,1,1)),IF(MAX(P35,R35)&gt;=0.7,"Chaleur : oui","Chaleur : non"),
IF(MAX(P35,R35)&gt;=0.8,"Chaleur : oui","Chaleur : non")),
""))</f>
        <v>Pas de critère à respecter</v>
      </c>
      <c r="V35" s="9"/>
      <c r="W35" s="119"/>
    </row>
    <row r="36" spans="1:23" ht="15.6">
      <c r="A36" s="318"/>
      <c r="B36" s="326"/>
      <c r="C36" s="10" t="s">
        <v>49</v>
      </c>
      <c r="D36" s="11" t="s">
        <v>35</v>
      </c>
      <c r="E36" s="275"/>
      <c r="F36" s="257"/>
      <c r="G36" s="257"/>
      <c r="H36" s="257"/>
      <c r="I36" s="257"/>
      <c r="J36" s="257"/>
      <c r="K36" s="16"/>
      <c r="L36" s="257"/>
      <c r="M36" s="247"/>
      <c r="N36" s="16"/>
      <c r="O36" s="14"/>
      <c r="P36" s="14"/>
      <c r="Q36" s="13" t="str">
        <f>IF(AND($E36&lt;&gt;"",S36=""),VLOOKUP($C36&amp;$D36,'Références GES'!$E$21:$M$82,8,FALSE),"")</f>
        <v/>
      </c>
      <c r="R36" s="13" t="str">
        <f>IF(AND($E36&lt;&gt;"",T36=""),VLOOKUP($C36&amp;$D36,'Références GES'!$E$21:$M$82,7,FALSE),"")</f>
        <v/>
      </c>
      <c r="S36" s="14"/>
      <c r="T36" s="14"/>
      <c r="U36" s="15" t="str">
        <f>IF('0. Installation'!$B$4&lt;DATE(2021,1,1),
"Pas de critère à respecter",
IF(E36&lt;&gt;"",
IF(AND('0. Installation'!$B$4&gt;=DATE(2021,1,1),'0. Installation'!$B$4&lt;DATE(2026,1,1)),IF(MAX(O36,Q36)&gt;=0.7,"Elec. : oui","Elec. : non"),
IF(MAX(O36,Q36)&gt;=0.8,"Elec. : oui","Elec. : non"))
&amp;" / "&amp;
IF(AND('0. Installation'!$B$4&gt;=DATE(2021,1,1),'0. Installation'!$B$4&lt;DATE(2026,1,1)),IF(MAX(P36,R36)&gt;=0.7,"Chaleur : oui","Chaleur : non"),
IF(MAX(P36,R36)&gt;=0.8,"Chaleur : oui","Chaleur : non")),
""))</f>
        <v>Pas de critère à respecter</v>
      </c>
      <c r="V36" s="9"/>
      <c r="W36" s="119"/>
    </row>
    <row r="37" spans="1:23" ht="15.6">
      <c r="A37" s="318"/>
      <c r="B37" s="326"/>
      <c r="C37" s="10" t="s">
        <v>49</v>
      </c>
      <c r="D37" s="11" t="s">
        <v>36</v>
      </c>
      <c r="E37" s="275"/>
      <c r="F37" s="257"/>
      <c r="G37" s="257"/>
      <c r="H37" s="257"/>
      <c r="I37" s="257"/>
      <c r="J37" s="257"/>
      <c r="K37" s="16"/>
      <c r="L37" s="257"/>
      <c r="M37" s="247"/>
      <c r="N37" s="16"/>
      <c r="O37" s="14"/>
      <c r="P37" s="14"/>
      <c r="Q37" s="13" t="str">
        <f>IF(AND($E37&lt;&gt;"",S37=""),VLOOKUP($C37&amp;$D37,'Références GES'!$E$21:$M$82,8,FALSE),"")</f>
        <v/>
      </c>
      <c r="R37" s="13" t="str">
        <f>IF(AND($E37&lt;&gt;"",T37=""),VLOOKUP($C37&amp;$D37,'Références GES'!$E$21:$M$82,7,FALSE),"")</f>
        <v/>
      </c>
      <c r="S37" s="14"/>
      <c r="T37" s="14"/>
      <c r="U37" s="15" t="str">
        <f>IF('0. Installation'!$B$4&lt;DATE(2021,1,1),
"Pas de critère à respecter",
IF(E37&lt;&gt;"",
IF(AND('0. Installation'!$B$4&gt;=DATE(2021,1,1),'0. Installation'!$B$4&lt;DATE(2026,1,1)),IF(MAX(O37,Q37)&gt;=0.7,"Elec. : oui","Elec. : non"),
IF(MAX(O37,Q37)&gt;=0.8,"Elec. : oui","Elec. : non"))
&amp;" / "&amp;
IF(AND('0. Installation'!$B$4&gt;=DATE(2021,1,1),'0. Installation'!$B$4&lt;DATE(2026,1,1)),IF(MAX(P37,R37)&gt;=0.7,"Chaleur : oui","Chaleur : non"),
IF(MAX(P37,R37)&gt;=0.8,"Chaleur : oui","Chaleur : non")),
""))</f>
        <v>Pas de critère à respecter</v>
      </c>
      <c r="V37" s="9"/>
      <c r="W37" s="119"/>
    </row>
    <row r="38" spans="1:23" ht="15.6">
      <c r="A38" s="318"/>
      <c r="B38" s="326" t="s">
        <v>370</v>
      </c>
      <c r="C38" s="10" t="s">
        <v>50</v>
      </c>
      <c r="D38" s="11" t="s">
        <v>33</v>
      </c>
      <c r="E38" s="275"/>
      <c r="F38" s="257"/>
      <c r="G38" s="257"/>
      <c r="H38" s="257"/>
      <c r="I38" s="257"/>
      <c r="J38" s="257"/>
      <c r="K38" s="16"/>
      <c r="L38" s="257"/>
      <c r="M38" s="247"/>
      <c r="N38" s="16"/>
      <c r="O38" s="14"/>
      <c r="P38" s="14"/>
      <c r="Q38" s="13" t="str">
        <f>IF(AND($E38&lt;&gt;"",S38=""),VLOOKUP($C38&amp;$D38,'Références GES'!$E$21:$M$82,8,FALSE),"")</f>
        <v/>
      </c>
      <c r="R38" s="13" t="str">
        <f>IF(AND($E38&lt;&gt;"",T38=""),VLOOKUP($C38&amp;$D38,'Références GES'!$E$21:$M$82,7,FALSE),"")</f>
        <v/>
      </c>
      <c r="S38" s="14"/>
      <c r="T38" s="14"/>
      <c r="U38" s="15" t="str">
        <f>IF('0. Installation'!$B$4&lt;DATE(2021,1,1),
"Pas de critère à respecter",
IF(E38&lt;&gt;"",
IF(AND('0. Installation'!$B$4&gt;=DATE(2021,1,1),'0. Installation'!$B$4&lt;DATE(2026,1,1)),IF(MAX(O38,Q38)&gt;=0.7,"Elec. : oui","Elec. : non"),
IF(MAX(O38,Q38)&gt;=0.8,"Elec. : oui","Elec. : non"))
&amp;" / "&amp;
IF(AND('0. Installation'!$B$4&gt;=DATE(2021,1,1),'0. Installation'!$B$4&lt;DATE(2026,1,1)),IF(MAX(P38,R38)&gt;=0.7,"Chaleur : oui","Chaleur : non"),
IF(MAX(P38,R38)&gt;=0.8,"Chaleur : oui","Chaleur : non")),
""))</f>
        <v>Pas de critère à respecter</v>
      </c>
      <c r="V38" s="9"/>
      <c r="W38" s="119"/>
    </row>
    <row r="39" spans="1:23" ht="15.6">
      <c r="A39" s="318"/>
      <c r="B39" s="326"/>
      <c r="C39" s="10" t="s">
        <v>50</v>
      </c>
      <c r="D39" s="11" t="s">
        <v>34</v>
      </c>
      <c r="E39" s="275"/>
      <c r="F39" s="257"/>
      <c r="G39" s="257"/>
      <c r="H39" s="257"/>
      <c r="I39" s="257"/>
      <c r="J39" s="257"/>
      <c r="K39" s="16"/>
      <c r="L39" s="257"/>
      <c r="M39" s="247"/>
      <c r="N39" s="16"/>
      <c r="O39" s="14"/>
      <c r="P39" s="14"/>
      <c r="Q39" s="13" t="str">
        <f>IF(AND($E39&lt;&gt;"",S39=""),VLOOKUP($C39&amp;$D39,'Références GES'!$E$21:$M$82,8,FALSE),"")</f>
        <v/>
      </c>
      <c r="R39" s="13" t="str">
        <f>IF(AND($E39&lt;&gt;"",T39=""),VLOOKUP($C39&amp;$D39,'Références GES'!$E$21:$M$82,7,FALSE),"")</f>
        <v/>
      </c>
      <c r="S39" s="14"/>
      <c r="T39" s="14"/>
      <c r="U39" s="15" t="str">
        <f>IF('0. Installation'!$B$4&lt;DATE(2021,1,1),
"Pas de critère à respecter",
IF(E39&lt;&gt;"",
IF(AND('0. Installation'!$B$4&gt;=DATE(2021,1,1),'0. Installation'!$B$4&lt;DATE(2026,1,1)),IF(MAX(O39,Q39)&gt;=0.7,"Elec. : oui","Elec. : non"),
IF(MAX(O39,Q39)&gt;=0.8,"Elec. : oui","Elec. : non"))
&amp;" / "&amp;
IF(AND('0. Installation'!$B$4&gt;=DATE(2021,1,1),'0. Installation'!$B$4&lt;DATE(2026,1,1)),IF(MAX(P39,R39)&gt;=0.7,"Chaleur : oui","Chaleur : non"),
IF(MAX(P39,R39)&gt;=0.8,"Chaleur : oui","Chaleur : non")),
""))</f>
        <v>Pas de critère à respecter</v>
      </c>
      <c r="V39" s="9"/>
      <c r="W39" s="119"/>
    </row>
    <row r="40" spans="1:23" ht="15.6">
      <c r="A40" s="318"/>
      <c r="B40" s="326"/>
      <c r="C40" s="10" t="s">
        <v>50</v>
      </c>
      <c r="D40" s="11" t="s">
        <v>35</v>
      </c>
      <c r="E40" s="275"/>
      <c r="F40" s="257"/>
      <c r="G40" s="257"/>
      <c r="H40" s="257"/>
      <c r="I40" s="257"/>
      <c r="J40" s="257"/>
      <c r="K40" s="16"/>
      <c r="L40" s="257"/>
      <c r="M40" s="247"/>
      <c r="N40" s="16"/>
      <c r="O40" s="14"/>
      <c r="P40" s="14"/>
      <c r="Q40" s="13" t="str">
        <f>IF(AND($E40&lt;&gt;"",S40=""),VLOOKUP($C40&amp;$D40,'Références GES'!$E$21:$M$82,8,FALSE),"")</f>
        <v/>
      </c>
      <c r="R40" s="13" t="str">
        <f>IF(AND($E40&lt;&gt;"",T40=""),VLOOKUP($C40&amp;$D40,'Références GES'!$E$21:$M$82,7,FALSE),"")</f>
        <v/>
      </c>
      <c r="S40" s="14"/>
      <c r="T40" s="14"/>
      <c r="U40" s="15" t="str">
        <f>IF('0. Installation'!$B$4&lt;DATE(2021,1,1),
"Pas de critère à respecter",
IF(E40&lt;&gt;"",
IF(AND('0. Installation'!$B$4&gt;=DATE(2021,1,1),'0. Installation'!$B$4&lt;DATE(2026,1,1)),IF(MAX(O40,Q40)&gt;=0.7,"Elec. : oui","Elec. : non"),
IF(MAX(O40,Q40)&gt;=0.8,"Elec. : oui","Elec. : non"))
&amp;" / "&amp;
IF(AND('0. Installation'!$B$4&gt;=DATE(2021,1,1),'0. Installation'!$B$4&lt;DATE(2026,1,1)),IF(MAX(P40,R40)&gt;=0.7,"Chaleur : oui","Chaleur : non"),
IF(MAX(P40,R40)&gt;=0.8,"Chaleur : oui","Chaleur : non")),
""))</f>
        <v>Pas de critère à respecter</v>
      </c>
      <c r="V40" s="9"/>
      <c r="W40" s="119"/>
    </row>
    <row r="41" spans="1:23" ht="15.6">
      <c r="A41" s="318"/>
      <c r="B41" s="326"/>
      <c r="C41" s="10" t="s">
        <v>50</v>
      </c>
      <c r="D41" s="11" t="s">
        <v>36</v>
      </c>
      <c r="E41" s="275"/>
      <c r="F41" s="257"/>
      <c r="G41" s="257"/>
      <c r="H41" s="257"/>
      <c r="I41" s="257"/>
      <c r="J41" s="257"/>
      <c r="K41" s="16"/>
      <c r="L41" s="257"/>
      <c r="M41" s="247"/>
      <c r="N41" s="16"/>
      <c r="O41" s="14"/>
      <c r="P41" s="14"/>
      <c r="Q41" s="13" t="str">
        <f>IF(AND($E41&lt;&gt;"",S41=""),VLOOKUP($C41&amp;$D41,'Références GES'!$E$21:$M$82,8,FALSE),"")</f>
        <v/>
      </c>
      <c r="R41" s="13" t="str">
        <f>IF(AND($E41&lt;&gt;"",T41=""),VLOOKUP($C41&amp;$D41,'Références GES'!$E$21:$M$82,7,FALSE),"")</f>
        <v/>
      </c>
      <c r="S41" s="14"/>
      <c r="T41" s="14"/>
      <c r="U41" s="15" t="str">
        <f>IF('0. Installation'!$B$4&lt;DATE(2021,1,1),
"Pas de critère à respecter",
IF(E41&lt;&gt;"",
IF(AND('0. Installation'!$B$4&gt;=DATE(2021,1,1),'0. Installation'!$B$4&lt;DATE(2026,1,1)),IF(MAX(O41,Q41)&gt;=0.7,"Elec. : oui","Elec. : non"),
IF(MAX(O41,Q41)&gt;=0.8,"Elec. : oui","Elec. : non"))
&amp;" / "&amp;
IF(AND('0. Installation'!$B$4&gt;=DATE(2021,1,1),'0. Installation'!$B$4&lt;DATE(2026,1,1)),IF(MAX(P41,R41)&gt;=0.7,"Chaleur : oui","Chaleur : non"),
IF(MAX(P41,R41)&gt;=0.8,"Chaleur : oui","Chaleur : non")),
""))</f>
        <v>Pas de critère à respecter</v>
      </c>
      <c r="V41" s="9"/>
      <c r="W41" s="119"/>
    </row>
    <row r="42" spans="1:23" ht="15.6">
      <c r="A42" s="315" t="s">
        <v>51</v>
      </c>
      <c r="B42" s="307" t="s">
        <v>371</v>
      </c>
      <c r="C42" s="19" t="s">
        <v>52</v>
      </c>
      <c r="D42" s="11" t="s">
        <v>33</v>
      </c>
      <c r="E42" s="275"/>
      <c r="F42" s="257"/>
      <c r="G42" s="257"/>
      <c r="H42" s="257"/>
      <c r="I42" s="257"/>
      <c r="J42" s="257"/>
      <c r="K42" s="16"/>
      <c r="L42" s="257"/>
      <c r="M42" s="247"/>
      <c r="N42" s="16"/>
      <c r="O42" s="13" t="str">
        <f>IF(AND($E42&lt;&gt;"",S42=""),VLOOKUP($C42&amp;$D42,'Références GES'!$E$21:$M$183,3,FALSE),"")</f>
        <v/>
      </c>
      <c r="P42" s="13" t="str">
        <f>IF(AND($E42&lt;&gt;"",T42=""),VLOOKUP($C42&amp;$D42,'Références GES'!$E$21:$M$183,2,FALSE),"")</f>
        <v/>
      </c>
      <c r="Q42" s="14"/>
      <c r="R42" s="14"/>
      <c r="S42" s="14"/>
      <c r="T42" s="14"/>
      <c r="U42" s="15" t="str">
        <f>IF('0. Installation'!$B$4&lt;DATE(2021,1,1),
"Pas de critère à respecter",
IF(E42&lt;&gt;"",
IF(AND('0. Installation'!$B$4&gt;=DATE(2021,1,1),'0. Installation'!$B$4&lt;DATE(2026,1,1)),IF(MAX(O42,Q42)&gt;=0.7,"Elec. : oui","Elec. : non"),
IF(MAX(O42,Q42)&gt;=0.8,"Elec. : oui","Elec. : non"))
&amp;" / "&amp;
IF(AND('0. Installation'!$B$4&gt;=DATE(2021,1,1),'0. Installation'!$B$4&lt;DATE(2026,1,1)),IF(MAX(P42,R42)&gt;=0.7,"Chaleur : oui","Chaleur : non"),
IF(MAX(P42,R42)&gt;=0.8,"Chaleur : oui","Chaleur : non")),
""))</f>
        <v>Pas de critère à respecter</v>
      </c>
      <c r="V42" s="9"/>
      <c r="W42" s="119"/>
    </row>
    <row r="43" spans="1:23" ht="15.6">
      <c r="A43" s="316"/>
      <c r="B43" s="308"/>
      <c r="C43" s="19" t="s">
        <v>52</v>
      </c>
      <c r="D43" s="11" t="s">
        <v>34</v>
      </c>
      <c r="E43" s="275"/>
      <c r="F43" s="257"/>
      <c r="G43" s="257"/>
      <c r="H43" s="257"/>
      <c r="I43" s="257"/>
      <c r="J43" s="257"/>
      <c r="K43" s="16"/>
      <c r="L43" s="257"/>
      <c r="M43" s="247"/>
      <c r="N43" s="16"/>
      <c r="O43" s="13" t="str">
        <f>IF(AND($E43&lt;&gt;"",S43=""),VLOOKUP($C43&amp;$D43,'Références GES'!$E$21:$M$183,3,FALSE),"")</f>
        <v/>
      </c>
      <c r="P43" s="13" t="str">
        <f>IF(AND($E43&lt;&gt;"",T43=""),VLOOKUP($C43&amp;$D43,'Références GES'!$E$21:$M$183,2,FALSE),"")</f>
        <v/>
      </c>
      <c r="Q43" s="14"/>
      <c r="R43" s="14"/>
      <c r="S43" s="14"/>
      <c r="T43" s="14"/>
      <c r="U43" s="15" t="str">
        <f>IF('0. Installation'!$B$4&lt;DATE(2021,1,1),
"Pas de critère à respecter",
IF(E43&lt;&gt;"",
IF(AND('0. Installation'!$B$4&gt;=DATE(2021,1,1),'0. Installation'!$B$4&lt;DATE(2026,1,1)),IF(MAX(O43,Q43)&gt;=0.7,"Elec. : oui","Elec. : non"),
IF(MAX(O43,Q43)&gt;=0.8,"Elec. : oui","Elec. : non"))
&amp;" / "&amp;
IF(AND('0. Installation'!$B$4&gt;=DATE(2021,1,1),'0. Installation'!$B$4&lt;DATE(2026,1,1)),IF(MAX(P43,R43)&gt;=0.7,"Chaleur : oui","Chaleur : non"),
IF(MAX(P43,R43)&gt;=0.8,"Chaleur : oui","Chaleur : non")),
""))</f>
        <v>Pas de critère à respecter</v>
      </c>
      <c r="V43" s="9"/>
      <c r="W43" s="119"/>
    </row>
    <row r="44" spans="1:23" ht="15.6">
      <c r="A44" s="316"/>
      <c r="B44" s="308"/>
      <c r="C44" s="19" t="s">
        <v>52</v>
      </c>
      <c r="D44" s="11" t="s">
        <v>35</v>
      </c>
      <c r="E44" s="275"/>
      <c r="F44" s="257"/>
      <c r="G44" s="257"/>
      <c r="H44" s="257"/>
      <c r="I44" s="257"/>
      <c r="J44" s="257"/>
      <c r="K44" s="16"/>
      <c r="L44" s="257"/>
      <c r="M44" s="247"/>
      <c r="N44" s="16"/>
      <c r="O44" s="13" t="str">
        <f>IF(AND($E44&lt;&gt;"",S44=""),VLOOKUP($C44&amp;$D44,'Références GES'!$E$21:$M$183,3,FALSE),"")</f>
        <v/>
      </c>
      <c r="P44" s="13" t="str">
        <f>IF(AND($E44&lt;&gt;"",T44=""),VLOOKUP($C44&amp;$D44,'Références GES'!$E$21:$M$183,2,FALSE),"")</f>
        <v/>
      </c>
      <c r="Q44" s="14"/>
      <c r="R44" s="14"/>
      <c r="S44" s="14"/>
      <c r="T44" s="14"/>
      <c r="U44" s="15" t="str">
        <f>IF('0. Installation'!$B$4&lt;DATE(2021,1,1),
"Pas de critère à respecter",
IF(E44&lt;&gt;"",
IF(AND('0. Installation'!$B$4&gt;=DATE(2021,1,1),'0. Installation'!$B$4&lt;DATE(2026,1,1)),IF(MAX(O44,Q44)&gt;=0.7,"Elec. : oui","Elec. : non"),
IF(MAX(O44,Q44)&gt;=0.8,"Elec. : oui","Elec. : non"))
&amp;" / "&amp;
IF(AND('0. Installation'!$B$4&gt;=DATE(2021,1,1),'0. Installation'!$B$4&lt;DATE(2026,1,1)),IF(MAX(P44,R44)&gt;=0.7,"Chaleur : oui","Chaleur : non"),
IF(MAX(P44,R44)&gt;=0.8,"Chaleur : oui","Chaleur : non")),
""))</f>
        <v>Pas de critère à respecter</v>
      </c>
      <c r="V44" s="9"/>
      <c r="W44" s="119"/>
    </row>
    <row r="45" spans="1:23" ht="15.6">
      <c r="A45" s="316"/>
      <c r="B45" s="317"/>
      <c r="C45" s="19" t="s">
        <v>52</v>
      </c>
      <c r="D45" s="11" t="s">
        <v>36</v>
      </c>
      <c r="E45" s="275"/>
      <c r="F45" s="257"/>
      <c r="G45" s="257"/>
      <c r="H45" s="257"/>
      <c r="I45" s="257"/>
      <c r="J45" s="257"/>
      <c r="K45" s="16"/>
      <c r="L45" s="257"/>
      <c r="M45" s="247"/>
      <c r="N45" s="16"/>
      <c r="O45" s="13" t="str">
        <f>IF(AND($E45&lt;&gt;"",S45=""),VLOOKUP($C45&amp;$D45,'Références GES'!$E$21:$M$183,3,FALSE),"")</f>
        <v/>
      </c>
      <c r="P45" s="13" t="str">
        <f>IF(AND($E45&lt;&gt;"",T45=""),VLOOKUP($C45&amp;$D45,'Références GES'!$E$21:$M$183,2,FALSE),"")</f>
        <v/>
      </c>
      <c r="Q45" s="14"/>
      <c r="R45" s="14"/>
      <c r="S45" s="14"/>
      <c r="T45" s="14"/>
      <c r="U45" s="15" t="str">
        <f>IF('0. Installation'!$B$4&lt;DATE(2021,1,1),
"Pas de critère à respecter",
IF(E45&lt;&gt;"",
IF(AND('0. Installation'!$B$4&gt;=DATE(2021,1,1),'0. Installation'!$B$4&lt;DATE(2026,1,1)),IF(MAX(O45,Q45)&gt;=0.7,"Elec. : oui","Elec. : non"),
IF(MAX(O45,Q45)&gt;=0.8,"Elec. : oui","Elec. : non"))
&amp;" / "&amp;
IF(AND('0. Installation'!$B$4&gt;=DATE(2021,1,1),'0. Installation'!$B$4&lt;DATE(2026,1,1)),IF(MAX(P45,R45)&gt;=0.7,"Chaleur : oui","Chaleur : non"),
IF(MAX(P45,R45)&gt;=0.8,"Chaleur : oui","Chaleur : non")),
""))</f>
        <v>Pas de critère à respecter</v>
      </c>
      <c r="V45" s="9"/>
      <c r="W45" s="119"/>
    </row>
    <row r="46" spans="1:23" ht="15.6">
      <c r="A46" s="316"/>
      <c r="B46" s="307" t="s">
        <v>53</v>
      </c>
      <c r="C46" s="19" t="s">
        <v>54</v>
      </c>
      <c r="D46" s="11" t="s">
        <v>33</v>
      </c>
      <c r="E46" s="275"/>
      <c r="F46" s="257"/>
      <c r="G46" s="257"/>
      <c r="H46" s="257"/>
      <c r="I46" s="257"/>
      <c r="J46" s="257"/>
      <c r="K46" s="16"/>
      <c r="L46" s="257"/>
      <c r="M46" s="247"/>
      <c r="N46" s="16"/>
      <c r="O46" s="13" t="str">
        <f>IF(AND($E46&lt;&gt;"",S46=""),VLOOKUP($C46&amp;$D46,'Références GES'!$E$21:$M$183,3,FALSE),"")</f>
        <v/>
      </c>
      <c r="P46" s="13" t="str">
        <f>IF(AND($E46&lt;&gt;"",T46=""),VLOOKUP($C46&amp;$D46,'Références GES'!$E$21:$M$183,2,FALSE),"")</f>
        <v/>
      </c>
      <c r="Q46" s="14"/>
      <c r="R46" s="14"/>
      <c r="S46" s="14"/>
      <c r="T46" s="14"/>
      <c r="U46" s="15" t="str">
        <f>IF('0. Installation'!$B$4&lt;DATE(2021,1,1),
"Pas de critère à respecter",
IF(E46&lt;&gt;"",
IF(AND('0. Installation'!$B$4&gt;=DATE(2021,1,1),'0. Installation'!$B$4&lt;DATE(2026,1,1)),IF(MAX(O46,Q46)&gt;=0.7,"Elec. : oui","Elec. : non"),
IF(MAX(O46,Q46)&gt;=0.8,"Elec. : oui","Elec. : non"))
&amp;" / "&amp;
IF(AND('0. Installation'!$B$4&gt;=DATE(2021,1,1),'0. Installation'!$B$4&lt;DATE(2026,1,1)),IF(MAX(P46,R46)&gt;=0.7,"Chaleur : oui","Chaleur : non"),
IF(MAX(P46,R46)&gt;=0.8,"Chaleur : oui","Chaleur : non")),
""))</f>
        <v>Pas de critère à respecter</v>
      </c>
      <c r="V46" s="9"/>
      <c r="W46" s="119"/>
    </row>
    <row r="47" spans="1:23" ht="15.6">
      <c r="A47" s="316"/>
      <c r="B47" s="308"/>
      <c r="C47" s="19" t="s">
        <v>54</v>
      </c>
      <c r="D47" s="11" t="s">
        <v>34</v>
      </c>
      <c r="E47" s="275"/>
      <c r="F47" s="257"/>
      <c r="G47" s="257"/>
      <c r="H47" s="257"/>
      <c r="I47" s="257"/>
      <c r="J47" s="257"/>
      <c r="K47" s="16"/>
      <c r="L47" s="257"/>
      <c r="M47" s="247"/>
      <c r="N47" s="16"/>
      <c r="O47" s="13" t="str">
        <f>IF(AND($E47&lt;&gt;"",S47=""),VLOOKUP($C47&amp;$D47,'Références GES'!$E$21:$M$183,3,FALSE),"")</f>
        <v/>
      </c>
      <c r="P47" s="13" t="str">
        <f>IF(AND($E47&lt;&gt;"",T47=""),VLOOKUP($C47&amp;$D47,'Références GES'!$E$21:$M$183,2,FALSE),"")</f>
        <v/>
      </c>
      <c r="Q47" s="14"/>
      <c r="R47" s="14"/>
      <c r="S47" s="14"/>
      <c r="T47" s="14"/>
      <c r="U47" s="15" t="str">
        <f>IF('0. Installation'!$B$4&lt;DATE(2021,1,1),
"Pas de critère à respecter",
IF(E47&lt;&gt;"",
IF(AND('0. Installation'!$B$4&gt;=DATE(2021,1,1),'0. Installation'!$B$4&lt;DATE(2026,1,1)),IF(MAX(O47,Q47)&gt;=0.7,"Elec. : oui","Elec. : non"),
IF(MAX(O47,Q47)&gt;=0.8,"Elec. : oui","Elec. : non"))
&amp;" / "&amp;
IF(AND('0. Installation'!$B$4&gt;=DATE(2021,1,1),'0. Installation'!$B$4&lt;DATE(2026,1,1)),IF(MAX(P47,R47)&gt;=0.7,"Chaleur : oui","Chaleur : non"),
IF(MAX(P47,R47)&gt;=0.8,"Chaleur : oui","Chaleur : non")),
""))</f>
        <v>Pas de critère à respecter</v>
      </c>
      <c r="V47" s="9"/>
      <c r="W47" s="119"/>
    </row>
    <row r="48" spans="1:23" ht="15.6">
      <c r="A48" s="316"/>
      <c r="B48" s="308"/>
      <c r="C48" s="19" t="s">
        <v>54</v>
      </c>
      <c r="D48" s="11" t="s">
        <v>35</v>
      </c>
      <c r="E48" s="275"/>
      <c r="F48" s="257"/>
      <c r="G48" s="257"/>
      <c r="H48" s="257"/>
      <c r="I48" s="257"/>
      <c r="J48" s="257"/>
      <c r="K48" s="16"/>
      <c r="L48" s="257"/>
      <c r="M48" s="247"/>
      <c r="N48" s="16"/>
      <c r="O48" s="13" t="str">
        <f>IF(AND($E48&lt;&gt;"",S48=""),VLOOKUP($C48&amp;$D48,'Références GES'!$E$21:$M$183,3,FALSE),"")</f>
        <v/>
      </c>
      <c r="P48" s="13" t="str">
        <f>IF(AND($E48&lt;&gt;"",T48=""),VLOOKUP($C48&amp;$D48,'Références GES'!$E$21:$M$183,2,FALSE),"")</f>
        <v/>
      </c>
      <c r="Q48" s="14"/>
      <c r="R48" s="14"/>
      <c r="S48" s="14"/>
      <c r="T48" s="14"/>
      <c r="U48" s="15" t="str">
        <f>IF('0. Installation'!$B$4&lt;DATE(2021,1,1),
"Pas de critère à respecter",
IF(E48&lt;&gt;"",
IF(AND('0. Installation'!$B$4&gt;=DATE(2021,1,1),'0. Installation'!$B$4&lt;DATE(2026,1,1)),IF(MAX(O48,Q48)&gt;=0.7,"Elec. : oui","Elec. : non"),
IF(MAX(O48,Q48)&gt;=0.8,"Elec. : oui","Elec. : non"))
&amp;" / "&amp;
IF(AND('0. Installation'!$B$4&gt;=DATE(2021,1,1),'0. Installation'!$B$4&lt;DATE(2026,1,1)),IF(MAX(P48,R48)&gt;=0.7,"Chaleur : oui","Chaleur : non"),
IF(MAX(P48,R48)&gt;=0.8,"Chaleur : oui","Chaleur : non")),
""))</f>
        <v>Pas de critère à respecter</v>
      </c>
      <c r="V48" s="9"/>
      <c r="W48" s="119"/>
    </row>
    <row r="49" spans="1:23" ht="15.6">
      <c r="A49" s="316"/>
      <c r="B49" s="317"/>
      <c r="C49" s="19" t="s">
        <v>54</v>
      </c>
      <c r="D49" s="11" t="s">
        <v>36</v>
      </c>
      <c r="E49" s="275"/>
      <c r="F49" s="257"/>
      <c r="G49" s="257"/>
      <c r="H49" s="257"/>
      <c r="I49" s="257"/>
      <c r="J49" s="257"/>
      <c r="K49" s="16"/>
      <c r="L49" s="257"/>
      <c r="M49" s="247"/>
      <c r="N49" s="16"/>
      <c r="O49" s="13" t="str">
        <f>IF(AND($E49&lt;&gt;"",S49=""),VLOOKUP($C49&amp;$D49,'Références GES'!$E$21:$M$183,3,FALSE),"")</f>
        <v/>
      </c>
      <c r="P49" s="13" t="str">
        <f>IF(AND($E49&lt;&gt;"",T49=""),VLOOKUP($C49&amp;$D49,'Références GES'!$E$21:$M$183,2,FALSE),"")</f>
        <v/>
      </c>
      <c r="Q49" s="14"/>
      <c r="R49" s="14"/>
      <c r="S49" s="14"/>
      <c r="T49" s="14"/>
      <c r="U49" s="15" t="str">
        <f>IF('0. Installation'!$B$4&lt;DATE(2021,1,1),
"Pas de critère à respecter",
IF(E49&lt;&gt;"",
IF(AND('0. Installation'!$B$4&gt;=DATE(2021,1,1),'0. Installation'!$B$4&lt;DATE(2026,1,1)),IF(MAX(O49,Q49)&gt;=0.7,"Elec. : oui","Elec. : non"),
IF(MAX(O49,Q49)&gt;=0.8,"Elec. : oui","Elec. : non"))
&amp;" / "&amp;
IF(AND('0. Installation'!$B$4&gt;=DATE(2021,1,1),'0. Installation'!$B$4&lt;DATE(2026,1,1)),IF(MAX(P49,R49)&gt;=0.7,"Chaleur : oui","Chaleur : non"),
IF(MAX(P49,R49)&gt;=0.8,"Chaleur : oui","Chaleur : non")),
""))</f>
        <v>Pas de critère à respecter</v>
      </c>
      <c r="V49" s="9"/>
      <c r="W49" s="119"/>
    </row>
    <row r="50" spans="1:23" ht="15.6">
      <c r="A50" s="316"/>
      <c r="B50" s="307" t="s">
        <v>55</v>
      </c>
      <c r="C50" s="19" t="s">
        <v>56</v>
      </c>
      <c r="D50" s="11" t="s">
        <v>33</v>
      </c>
      <c r="E50" s="275"/>
      <c r="F50" s="257"/>
      <c r="G50" s="257"/>
      <c r="H50" s="257"/>
      <c r="I50" s="257"/>
      <c r="J50" s="257"/>
      <c r="K50" s="16"/>
      <c r="L50" s="257"/>
      <c r="M50" s="247"/>
      <c r="N50" s="16"/>
      <c r="O50" s="13" t="str">
        <f>IF(AND($E50&lt;&gt;"",S50=""),VLOOKUP($C50&amp;$D50,'Références GES'!$E$21:$M$183,3,FALSE),"")</f>
        <v/>
      </c>
      <c r="P50" s="13" t="str">
        <f>IF(AND($E50&lt;&gt;"",T50=""),VLOOKUP($C50&amp;$D50,'Références GES'!$E$21:$M$183,2,FALSE),"")</f>
        <v/>
      </c>
      <c r="Q50" s="14"/>
      <c r="R50" s="14"/>
      <c r="S50" s="14"/>
      <c r="T50" s="14"/>
      <c r="U50" s="15" t="str">
        <f>IF('0. Installation'!$B$4&lt;DATE(2021,1,1),
"Pas de critère à respecter",
IF(E50&lt;&gt;"",
IF(AND('0. Installation'!$B$4&gt;=DATE(2021,1,1),'0. Installation'!$B$4&lt;DATE(2026,1,1)),IF(MAX(O50,Q50)&gt;=0.7,"Elec. : oui","Elec. : non"),
IF(MAX(O50,Q50)&gt;=0.8,"Elec. : oui","Elec. : non"))
&amp;" / "&amp;
IF(AND('0. Installation'!$B$4&gt;=DATE(2021,1,1),'0. Installation'!$B$4&lt;DATE(2026,1,1)),IF(MAX(P50,R50)&gt;=0.7,"Chaleur : oui","Chaleur : non"),
IF(MAX(P50,R50)&gt;=0.8,"Chaleur : oui","Chaleur : non")),
""))</f>
        <v>Pas de critère à respecter</v>
      </c>
      <c r="V50" s="9"/>
      <c r="W50" s="119"/>
    </row>
    <row r="51" spans="1:23" ht="15.6">
      <c r="A51" s="316"/>
      <c r="B51" s="308"/>
      <c r="C51" s="19" t="s">
        <v>56</v>
      </c>
      <c r="D51" s="11" t="s">
        <v>34</v>
      </c>
      <c r="E51" s="275"/>
      <c r="F51" s="257"/>
      <c r="G51" s="257"/>
      <c r="H51" s="257"/>
      <c r="I51" s="257"/>
      <c r="J51" s="257"/>
      <c r="K51" s="16"/>
      <c r="L51" s="257"/>
      <c r="M51" s="247"/>
      <c r="N51" s="16"/>
      <c r="O51" s="13" t="str">
        <f>IF(AND($E51&lt;&gt;"",S51=""),VLOOKUP($C51&amp;$D51,'Références GES'!$E$21:$M$183,3,FALSE),"")</f>
        <v/>
      </c>
      <c r="P51" s="13" t="str">
        <f>IF(AND($E51&lt;&gt;"",T51=""),VLOOKUP($C51&amp;$D51,'Références GES'!$E$21:$M$183,2,FALSE),"")</f>
        <v/>
      </c>
      <c r="Q51" s="14"/>
      <c r="R51" s="14"/>
      <c r="S51" s="14"/>
      <c r="T51" s="14"/>
      <c r="U51" s="15" t="str">
        <f>IF('0. Installation'!$B$4&lt;DATE(2021,1,1),
"Pas de critère à respecter",
IF(E51&lt;&gt;"",
IF(AND('0. Installation'!$B$4&gt;=DATE(2021,1,1),'0. Installation'!$B$4&lt;DATE(2026,1,1)),IF(MAX(O51,Q51)&gt;=0.7,"Elec. : oui","Elec. : non"),
IF(MAX(O51,Q51)&gt;=0.8,"Elec. : oui","Elec. : non"))
&amp;" / "&amp;
IF(AND('0. Installation'!$B$4&gt;=DATE(2021,1,1),'0. Installation'!$B$4&lt;DATE(2026,1,1)),IF(MAX(P51,R51)&gt;=0.7,"Chaleur : oui","Chaleur : non"),
IF(MAX(P51,R51)&gt;=0.8,"Chaleur : oui","Chaleur : non")),
""))</f>
        <v>Pas de critère à respecter</v>
      </c>
      <c r="V51" s="9"/>
      <c r="W51" s="119"/>
    </row>
    <row r="52" spans="1:23" ht="15.6">
      <c r="A52" s="316"/>
      <c r="B52" s="308"/>
      <c r="C52" s="19" t="s">
        <v>56</v>
      </c>
      <c r="D52" s="11" t="s">
        <v>35</v>
      </c>
      <c r="E52" s="275"/>
      <c r="F52" s="257"/>
      <c r="G52" s="257"/>
      <c r="H52" s="257"/>
      <c r="I52" s="257"/>
      <c r="J52" s="257"/>
      <c r="K52" s="16"/>
      <c r="L52" s="257"/>
      <c r="M52" s="247"/>
      <c r="N52" s="16"/>
      <c r="O52" s="13" t="str">
        <f>IF(AND($E52&lt;&gt;"",S52=""),VLOOKUP($C52&amp;$D52,'Références GES'!$E$21:$M$183,3,FALSE),"")</f>
        <v/>
      </c>
      <c r="P52" s="13" t="str">
        <f>IF(AND($E52&lt;&gt;"",T52=""),VLOOKUP($C52&amp;$D52,'Références GES'!$E$21:$M$183,2,FALSE),"")</f>
        <v/>
      </c>
      <c r="Q52" s="14"/>
      <c r="R52" s="14"/>
      <c r="S52" s="14"/>
      <c r="T52" s="14"/>
      <c r="U52" s="15" t="str">
        <f>IF('0. Installation'!$B$4&lt;DATE(2021,1,1),
"Pas de critère à respecter",
IF(E52&lt;&gt;"",
IF(AND('0. Installation'!$B$4&gt;=DATE(2021,1,1),'0. Installation'!$B$4&lt;DATE(2026,1,1)),IF(MAX(O52,Q52)&gt;=0.7,"Elec. : oui","Elec. : non"),
IF(MAX(O52,Q52)&gt;=0.8,"Elec. : oui","Elec. : non"))
&amp;" / "&amp;
IF(AND('0. Installation'!$B$4&gt;=DATE(2021,1,1),'0. Installation'!$B$4&lt;DATE(2026,1,1)),IF(MAX(P52,R52)&gt;=0.7,"Chaleur : oui","Chaleur : non"),
IF(MAX(P52,R52)&gt;=0.8,"Chaleur : oui","Chaleur : non")),
""))</f>
        <v>Pas de critère à respecter</v>
      </c>
      <c r="V52" s="9"/>
      <c r="W52" s="119"/>
    </row>
    <row r="53" spans="1:23" ht="15.6">
      <c r="A53" s="316"/>
      <c r="B53" s="317"/>
      <c r="C53" s="19" t="s">
        <v>56</v>
      </c>
      <c r="D53" s="11" t="s">
        <v>36</v>
      </c>
      <c r="E53" s="275"/>
      <c r="F53" s="257"/>
      <c r="G53" s="257"/>
      <c r="H53" s="257"/>
      <c r="I53" s="257"/>
      <c r="J53" s="257"/>
      <c r="K53" s="16"/>
      <c r="L53" s="257"/>
      <c r="M53" s="247"/>
      <c r="N53" s="16"/>
      <c r="O53" s="13" t="str">
        <f>IF(AND($E53&lt;&gt;"",S53=""),VLOOKUP($C53&amp;$D53,'Références GES'!$E$21:$M$183,3,FALSE),"")</f>
        <v/>
      </c>
      <c r="P53" s="13" t="str">
        <f>IF(AND($E53&lt;&gt;"",T53=""),VLOOKUP($C53&amp;$D53,'Références GES'!$E$21:$M$183,2,FALSE),"")</f>
        <v/>
      </c>
      <c r="Q53" s="14"/>
      <c r="R53" s="14"/>
      <c r="S53" s="14"/>
      <c r="T53" s="14"/>
      <c r="U53" s="15" t="str">
        <f>IF('0. Installation'!$B$4&lt;DATE(2021,1,1),
"Pas de critère à respecter",
IF(E53&lt;&gt;"",
IF(AND('0. Installation'!$B$4&gt;=DATE(2021,1,1),'0. Installation'!$B$4&lt;DATE(2026,1,1)),IF(MAX(O53,Q53)&gt;=0.7,"Elec. : oui","Elec. : non"),
IF(MAX(O53,Q53)&gt;=0.8,"Elec. : oui","Elec. : non"))
&amp;" / "&amp;
IF(AND('0. Installation'!$B$4&gt;=DATE(2021,1,1),'0. Installation'!$B$4&lt;DATE(2026,1,1)),IF(MAX(P53,R53)&gt;=0.7,"Chaleur : oui","Chaleur : non"),
IF(MAX(P53,R53)&gt;=0.8,"Chaleur : oui","Chaleur : non")),
""))</f>
        <v>Pas de critère à respecter</v>
      </c>
      <c r="V53" s="9"/>
      <c r="W53" s="119"/>
    </row>
    <row r="54" spans="1:23" ht="15.6">
      <c r="A54" s="316"/>
      <c r="B54" s="307" t="s">
        <v>372</v>
      </c>
      <c r="C54" s="19" t="s">
        <v>57</v>
      </c>
      <c r="D54" s="11" t="s">
        <v>33</v>
      </c>
      <c r="E54" s="275"/>
      <c r="F54" s="257"/>
      <c r="G54" s="257"/>
      <c r="H54" s="257"/>
      <c r="I54" s="257"/>
      <c r="J54" s="257"/>
      <c r="K54" s="16"/>
      <c r="L54" s="257"/>
      <c r="M54" s="247"/>
      <c r="N54" s="16"/>
      <c r="O54" s="13" t="str">
        <f>IF(AND($E54&lt;&gt;"",S54=""),VLOOKUP($C54&amp;$D54,'Références GES'!$E$21:$M$183,3,FALSE),"")</f>
        <v/>
      </c>
      <c r="P54" s="13" t="str">
        <f>IF(AND($E54&lt;&gt;"",T54=""),VLOOKUP($C54&amp;$D54,'Références GES'!$E$21:$M$183,2,FALSE),"")</f>
        <v/>
      </c>
      <c r="Q54" s="14"/>
      <c r="R54" s="14"/>
      <c r="S54" s="14"/>
      <c r="T54" s="14"/>
      <c r="U54" s="15" t="str">
        <f>IF('0. Installation'!$B$4&lt;DATE(2021,1,1),
"Pas de critère à respecter",
IF(E54&lt;&gt;"",
IF(AND('0. Installation'!$B$4&gt;=DATE(2021,1,1),'0. Installation'!$B$4&lt;DATE(2026,1,1)),IF(MAX(O54,Q54)&gt;=0.7,"Elec. : oui","Elec. : non"),
IF(MAX(O54,Q54)&gt;=0.8,"Elec. : oui","Elec. : non"))
&amp;" / "&amp;
IF(AND('0. Installation'!$B$4&gt;=DATE(2021,1,1),'0. Installation'!$B$4&lt;DATE(2026,1,1)),IF(MAX(P54,R54)&gt;=0.7,"Chaleur : oui","Chaleur : non"),
IF(MAX(P54,R54)&gt;=0.8,"Chaleur : oui","Chaleur : non")),
""))</f>
        <v>Pas de critère à respecter</v>
      </c>
      <c r="V54" s="9"/>
      <c r="W54" s="119"/>
    </row>
    <row r="55" spans="1:23" ht="15.6">
      <c r="A55" s="316"/>
      <c r="B55" s="308"/>
      <c r="C55" s="19" t="s">
        <v>57</v>
      </c>
      <c r="D55" s="11" t="s">
        <v>34</v>
      </c>
      <c r="E55" s="275"/>
      <c r="F55" s="257"/>
      <c r="G55" s="257"/>
      <c r="H55" s="257"/>
      <c r="I55" s="257"/>
      <c r="J55" s="257"/>
      <c r="K55" s="16"/>
      <c r="L55" s="257"/>
      <c r="M55" s="247"/>
      <c r="N55" s="16"/>
      <c r="O55" s="13" t="str">
        <f>IF(AND($E55&lt;&gt;"",S55=""),VLOOKUP($C55&amp;$D55,'Références GES'!$E$21:$M$183,3,FALSE),"")</f>
        <v/>
      </c>
      <c r="P55" s="13" t="str">
        <f>IF(AND($E55&lt;&gt;"",T55=""),VLOOKUP($C55&amp;$D55,'Références GES'!$E$21:$M$183,2,FALSE),"")</f>
        <v/>
      </c>
      <c r="Q55" s="14"/>
      <c r="R55" s="14"/>
      <c r="S55" s="14"/>
      <c r="T55" s="14"/>
      <c r="U55" s="15" t="str">
        <f>IF('0. Installation'!$B$4&lt;DATE(2021,1,1),
"Pas de critère à respecter",
IF(E55&lt;&gt;"",
IF(AND('0. Installation'!$B$4&gt;=DATE(2021,1,1),'0. Installation'!$B$4&lt;DATE(2026,1,1)),IF(MAX(O55,Q55)&gt;=0.7,"Elec. : oui","Elec. : non"),
IF(MAX(O55,Q55)&gt;=0.8,"Elec. : oui","Elec. : non"))
&amp;" / "&amp;
IF(AND('0. Installation'!$B$4&gt;=DATE(2021,1,1),'0. Installation'!$B$4&lt;DATE(2026,1,1)),IF(MAX(P55,R55)&gt;=0.7,"Chaleur : oui","Chaleur : non"),
IF(MAX(P55,R55)&gt;=0.8,"Chaleur : oui","Chaleur : non")),
""))</f>
        <v>Pas de critère à respecter</v>
      </c>
      <c r="V55" s="9"/>
      <c r="W55" s="119"/>
    </row>
    <row r="56" spans="1:23" ht="15.6">
      <c r="A56" s="316"/>
      <c r="B56" s="308"/>
      <c r="C56" s="19" t="s">
        <v>57</v>
      </c>
      <c r="D56" s="11" t="s">
        <v>35</v>
      </c>
      <c r="E56" s="275"/>
      <c r="F56" s="257"/>
      <c r="G56" s="257"/>
      <c r="H56" s="257"/>
      <c r="I56" s="257"/>
      <c r="J56" s="257"/>
      <c r="K56" s="16"/>
      <c r="L56" s="257"/>
      <c r="M56" s="247"/>
      <c r="N56" s="16"/>
      <c r="O56" s="13" t="str">
        <f>IF(AND($E56&lt;&gt;"",S56=""),VLOOKUP($C56&amp;$D56,'Références GES'!$E$21:$M$183,3,FALSE),"")</f>
        <v/>
      </c>
      <c r="P56" s="13" t="str">
        <f>IF(AND($E56&lt;&gt;"",T56=""),VLOOKUP($C56&amp;$D56,'Références GES'!$E$21:$M$183,2,FALSE),"")</f>
        <v/>
      </c>
      <c r="Q56" s="14"/>
      <c r="R56" s="14"/>
      <c r="S56" s="14"/>
      <c r="T56" s="14"/>
      <c r="U56" s="15" t="str">
        <f>IF('0. Installation'!$B$4&lt;DATE(2021,1,1),
"Pas de critère à respecter",
IF(E56&lt;&gt;"",
IF(AND('0. Installation'!$B$4&gt;=DATE(2021,1,1),'0. Installation'!$B$4&lt;DATE(2026,1,1)),IF(MAX(O56,Q56)&gt;=0.7,"Elec. : oui","Elec. : non"),
IF(MAX(O56,Q56)&gt;=0.8,"Elec. : oui","Elec. : non"))
&amp;" / "&amp;
IF(AND('0. Installation'!$B$4&gt;=DATE(2021,1,1),'0. Installation'!$B$4&lt;DATE(2026,1,1)),IF(MAX(P56,R56)&gt;=0.7,"Chaleur : oui","Chaleur : non"),
IF(MAX(P56,R56)&gt;=0.8,"Chaleur : oui","Chaleur : non")),
""))</f>
        <v>Pas de critère à respecter</v>
      </c>
      <c r="V56" s="9"/>
      <c r="W56" s="119"/>
    </row>
    <row r="57" spans="1:23" ht="15.6">
      <c r="A57" s="316"/>
      <c r="B57" s="317"/>
      <c r="C57" s="19" t="s">
        <v>57</v>
      </c>
      <c r="D57" s="11" t="s">
        <v>36</v>
      </c>
      <c r="E57" s="275"/>
      <c r="F57" s="257"/>
      <c r="G57" s="257"/>
      <c r="H57" s="257"/>
      <c r="I57" s="257"/>
      <c r="J57" s="257"/>
      <c r="K57" s="16"/>
      <c r="L57" s="257"/>
      <c r="M57" s="247"/>
      <c r="N57" s="16"/>
      <c r="O57" s="13" t="str">
        <f>IF(AND($E57&lt;&gt;"",S57=""),VLOOKUP($C57&amp;$D57,'Références GES'!$E$21:$M$183,3,FALSE),"")</f>
        <v/>
      </c>
      <c r="P57" s="13" t="str">
        <f>IF(AND($E57&lt;&gt;"",T57=""),VLOOKUP($C57&amp;$D57,'Références GES'!$E$21:$M$183,2,FALSE),"")</f>
        <v/>
      </c>
      <c r="Q57" s="14"/>
      <c r="R57" s="14"/>
      <c r="S57" s="14"/>
      <c r="T57" s="14"/>
      <c r="U57" s="15" t="str">
        <f>IF('0. Installation'!$B$4&lt;DATE(2021,1,1),
"Pas de critère à respecter",
IF(E57&lt;&gt;"",
IF(AND('0. Installation'!$B$4&gt;=DATE(2021,1,1),'0. Installation'!$B$4&lt;DATE(2026,1,1)),IF(MAX(O57,Q57)&gt;=0.7,"Elec. : oui","Elec. : non"),
IF(MAX(O57,Q57)&gt;=0.8,"Elec. : oui","Elec. : non"))
&amp;" / "&amp;
IF(AND('0. Installation'!$B$4&gt;=DATE(2021,1,1),'0. Installation'!$B$4&lt;DATE(2026,1,1)),IF(MAX(P57,R57)&gt;=0.7,"Chaleur : oui","Chaleur : non"),
IF(MAX(P57,R57)&gt;=0.8,"Chaleur : oui","Chaleur : non")),
""))</f>
        <v>Pas de critère à respecter</v>
      </c>
      <c r="V57" s="9"/>
      <c r="W57" s="119"/>
    </row>
    <row r="58" spans="1:23" ht="15.6">
      <c r="A58" s="316"/>
      <c r="B58" s="307" t="s">
        <v>58</v>
      </c>
      <c r="C58" s="19" t="s">
        <v>59</v>
      </c>
      <c r="D58" s="11" t="s">
        <v>33</v>
      </c>
      <c r="E58" s="275"/>
      <c r="F58" s="257"/>
      <c r="G58" s="257"/>
      <c r="H58" s="257"/>
      <c r="I58" s="257"/>
      <c r="J58" s="257"/>
      <c r="K58" s="16"/>
      <c r="L58" s="257"/>
      <c r="M58" s="247"/>
      <c r="N58" s="16"/>
      <c r="O58" s="13" t="str">
        <f>IF(AND($E58&lt;&gt;"",S58=""),VLOOKUP($C58&amp;$D58,'Références GES'!$E$21:$M$183,3,FALSE),"")</f>
        <v/>
      </c>
      <c r="P58" s="13" t="str">
        <f>IF(AND($E58&lt;&gt;"",T58=""),VLOOKUP($C58&amp;$D58,'Références GES'!$E$21:$M$183,2,FALSE),"")</f>
        <v/>
      </c>
      <c r="Q58" s="14"/>
      <c r="R58" s="14"/>
      <c r="S58" s="14"/>
      <c r="T58" s="14"/>
      <c r="U58" s="15" t="str">
        <f>IF('0. Installation'!$B$4&lt;DATE(2021,1,1),
"Pas de critère à respecter",
IF(E58&lt;&gt;"",
IF(AND('0. Installation'!$B$4&gt;=DATE(2021,1,1),'0. Installation'!$B$4&lt;DATE(2026,1,1)),IF(MAX(O58,Q58)&gt;=0.7,"Elec. : oui","Elec. : non"),
IF(MAX(O58,Q58)&gt;=0.8,"Elec. : oui","Elec. : non"))
&amp;" / "&amp;
IF(AND('0. Installation'!$B$4&gt;=DATE(2021,1,1),'0. Installation'!$B$4&lt;DATE(2026,1,1)),IF(MAX(P58,R58)&gt;=0.7,"Chaleur : oui","Chaleur : non"),
IF(MAX(P58,R58)&gt;=0.8,"Chaleur : oui","Chaleur : non")),
""))</f>
        <v>Pas de critère à respecter</v>
      </c>
      <c r="V58" s="9"/>
      <c r="W58" s="119"/>
    </row>
    <row r="59" spans="1:23" ht="15.6">
      <c r="A59" s="316"/>
      <c r="B59" s="308"/>
      <c r="C59" s="19" t="s">
        <v>59</v>
      </c>
      <c r="D59" s="11" t="s">
        <v>34</v>
      </c>
      <c r="E59" s="275"/>
      <c r="F59" s="257"/>
      <c r="G59" s="257"/>
      <c r="H59" s="257"/>
      <c r="I59" s="257"/>
      <c r="J59" s="257"/>
      <c r="K59" s="16"/>
      <c r="L59" s="257"/>
      <c r="M59" s="247"/>
      <c r="N59" s="16"/>
      <c r="O59" s="13" t="str">
        <f>IF(AND($E59&lt;&gt;"",S59=""),VLOOKUP($C59&amp;$D59,'Références GES'!$E$21:$M$183,3,FALSE),"")</f>
        <v/>
      </c>
      <c r="P59" s="13" t="str">
        <f>IF(AND($E59&lt;&gt;"",T59=""),VLOOKUP($C59&amp;$D59,'Références GES'!$E$21:$M$183,2,FALSE),"")</f>
        <v/>
      </c>
      <c r="Q59" s="14"/>
      <c r="R59" s="14"/>
      <c r="S59" s="14"/>
      <c r="T59" s="14"/>
      <c r="U59" s="15" t="str">
        <f>IF('0. Installation'!$B$4&lt;DATE(2021,1,1),
"Pas de critère à respecter",
IF(E59&lt;&gt;"",
IF(AND('0. Installation'!$B$4&gt;=DATE(2021,1,1),'0. Installation'!$B$4&lt;DATE(2026,1,1)),IF(MAX(O59,Q59)&gt;=0.7,"Elec. : oui","Elec. : non"),
IF(MAX(O59,Q59)&gt;=0.8,"Elec. : oui","Elec. : non"))
&amp;" / "&amp;
IF(AND('0. Installation'!$B$4&gt;=DATE(2021,1,1),'0. Installation'!$B$4&lt;DATE(2026,1,1)),IF(MAX(P59,R59)&gt;=0.7,"Chaleur : oui","Chaleur : non"),
IF(MAX(P59,R59)&gt;=0.8,"Chaleur : oui","Chaleur : non")),
""))</f>
        <v>Pas de critère à respecter</v>
      </c>
      <c r="V59" s="9"/>
      <c r="W59" s="119"/>
    </row>
    <row r="60" spans="1:23" ht="15.6">
      <c r="A60" s="316"/>
      <c r="B60" s="308"/>
      <c r="C60" s="19" t="s">
        <v>59</v>
      </c>
      <c r="D60" s="11" t="s">
        <v>35</v>
      </c>
      <c r="E60" s="275"/>
      <c r="F60" s="257"/>
      <c r="G60" s="257"/>
      <c r="H60" s="257"/>
      <c r="I60" s="257"/>
      <c r="J60" s="257"/>
      <c r="K60" s="16"/>
      <c r="L60" s="257"/>
      <c r="M60" s="247"/>
      <c r="N60" s="16"/>
      <c r="O60" s="13" t="str">
        <f>IF(AND($E60&lt;&gt;"",S60=""),VLOOKUP($C60&amp;$D60,'Références GES'!$E$21:$M$183,3,FALSE),"")</f>
        <v/>
      </c>
      <c r="P60" s="13" t="str">
        <f>IF(AND($E60&lt;&gt;"",T60=""),VLOOKUP($C60&amp;$D60,'Références GES'!$E$21:$M$183,2,FALSE),"")</f>
        <v/>
      </c>
      <c r="Q60" s="14"/>
      <c r="R60" s="14"/>
      <c r="S60" s="14"/>
      <c r="T60" s="14"/>
      <c r="U60" s="15" t="str">
        <f>IF('0. Installation'!$B$4&lt;DATE(2021,1,1),
"Pas de critère à respecter",
IF(E60&lt;&gt;"",
IF(AND('0. Installation'!$B$4&gt;=DATE(2021,1,1),'0. Installation'!$B$4&lt;DATE(2026,1,1)),IF(MAX(O60,Q60)&gt;=0.7,"Elec. : oui","Elec. : non"),
IF(MAX(O60,Q60)&gt;=0.8,"Elec. : oui","Elec. : non"))
&amp;" / "&amp;
IF(AND('0. Installation'!$B$4&gt;=DATE(2021,1,1),'0. Installation'!$B$4&lt;DATE(2026,1,1)),IF(MAX(P60,R60)&gt;=0.7,"Chaleur : oui","Chaleur : non"),
IF(MAX(P60,R60)&gt;=0.8,"Chaleur : oui","Chaleur : non")),
""))</f>
        <v>Pas de critère à respecter</v>
      </c>
      <c r="V60" s="9"/>
      <c r="W60" s="119"/>
    </row>
    <row r="61" spans="1:23" ht="15.6">
      <c r="A61" s="316"/>
      <c r="B61" s="317"/>
      <c r="C61" s="19" t="s">
        <v>59</v>
      </c>
      <c r="D61" s="11" t="s">
        <v>36</v>
      </c>
      <c r="E61" s="275"/>
      <c r="F61" s="257"/>
      <c r="G61" s="257"/>
      <c r="H61" s="257"/>
      <c r="I61" s="257"/>
      <c r="J61" s="257"/>
      <c r="K61" s="16"/>
      <c r="L61" s="257"/>
      <c r="M61" s="247"/>
      <c r="N61" s="16"/>
      <c r="O61" s="13" t="str">
        <f>IF(AND($E61&lt;&gt;"",S61=""),VLOOKUP($C61&amp;$D61,'Références GES'!$E$21:$M$183,3,FALSE),"")</f>
        <v/>
      </c>
      <c r="P61" s="13" t="str">
        <f>IF(AND($E61&lt;&gt;"",T61=""),VLOOKUP($C61&amp;$D61,'Références GES'!$E$21:$M$183,2,FALSE),"")</f>
        <v/>
      </c>
      <c r="Q61" s="14"/>
      <c r="R61" s="14"/>
      <c r="S61" s="14"/>
      <c r="T61" s="14"/>
      <c r="U61" s="15" t="str">
        <f>IF('0. Installation'!$B$4&lt;DATE(2021,1,1),
"Pas de critère à respecter",
IF(E61&lt;&gt;"",
IF(AND('0. Installation'!$B$4&gt;=DATE(2021,1,1),'0. Installation'!$B$4&lt;DATE(2026,1,1)),IF(MAX(O61,Q61)&gt;=0.7,"Elec. : oui","Elec. : non"),
IF(MAX(O61,Q61)&gt;=0.8,"Elec. : oui","Elec. : non"))
&amp;" / "&amp;
IF(AND('0. Installation'!$B$4&gt;=DATE(2021,1,1),'0. Installation'!$B$4&lt;DATE(2026,1,1)),IF(MAX(P61,R61)&gt;=0.7,"Chaleur : oui","Chaleur : non"),
IF(MAX(P61,R61)&gt;=0.8,"Chaleur : oui","Chaleur : non")),
""))</f>
        <v>Pas de critère à respecter</v>
      </c>
      <c r="V61" s="9"/>
      <c r="W61" s="119"/>
    </row>
    <row r="62" spans="1:23" ht="15.6">
      <c r="A62" s="316"/>
      <c r="B62" s="307" t="s">
        <v>60</v>
      </c>
      <c r="C62" s="19" t="s">
        <v>61</v>
      </c>
      <c r="D62" s="11" t="s">
        <v>33</v>
      </c>
      <c r="E62" s="275"/>
      <c r="F62" s="257"/>
      <c r="G62" s="257"/>
      <c r="H62" s="257"/>
      <c r="I62" s="257"/>
      <c r="J62" s="257"/>
      <c r="K62" s="16"/>
      <c r="L62" s="257"/>
      <c r="M62" s="247"/>
      <c r="N62" s="16"/>
      <c r="O62" s="13" t="str">
        <f>IF(AND($E62&lt;&gt;"",S62=""),VLOOKUP($C62&amp;$D62,'Références GES'!$E$21:$M$183,3,FALSE),"")</f>
        <v/>
      </c>
      <c r="P62" s="13" t="str">
        <f>IF(AND($E62&lt;&gt;"",T62=""),VLOOKUP($C62&amp;$D62,'Références GES'!$E$21:$M$183,2,FALSE),"")</f>
        <v/>
      </c>
      <c r="Q62" s="14"/>
      <c r="R62" s="14"/>
      <c r="S62" s="14"/>
      <c r="T62" s="14"/>
      <c r="U62" s="15" t="str">
        <f>IF('0. Installation'!$B$4&lt;DATE(2021,1,1),
"Pas de critère à respecter",
IF(E62&lt;&gt;"",
IF(AND('0. Installation'!$B$4&gt;=DATE(2021,1,1),'0. Installation'!$B$4&lt;DATE(2026,1,1)),IF(MAX(O62,Q62)&gt;=0.7,"Elec. : oui","Elec. : non"),
IF(MAX(O62,Q62)&gt;=0.8,"Elec. : oui","Elec. : non"))
&amp;" / "&amp;
IF(AND('0. Installation'!$B$4&gt;=DATE(2021,1,1),'0. Installation'!$B$4&lt;DATE(2026,1,1)),IF(MAX(P62,R62)&gt;=0.7,"Chaleur : oui","Chaleur : non"),
IF(MAX(P62,R62)&gt;=0.8,"Chaleur : oui","Chaleur : non")),
""))</f>
        <v>Pas de critère à respecter</v>
      </c>
      <c r="V62" s="9"/>
      <c r="W62" s="119"/>
    </row>
    <row r="63" spans="1:23" ht="15.6">
      <c r="A63" s="316"/>
      <c r="B63" s="308"/>
      <c r="C63" s="19" t="s">
        <v>61</v>
      </c>
      <c r="D63" s="11" t="s">
        <v>34</v>
      </c>
      <c r="E63" s="275"/>
      <c r="F63" s="257"/>
      <c r="G63" s="257"/>
      <c r="H63" s="257"/>
      <c r="I63" s="257"/>
      <c r="J63" s="257"/>
      <c r="K63" s="16"/>
      <c r="L63" s="257"/>
      <c r="M63" s="247"/>
      <c r="N63" s="16"/>
      <c r="O63" s="13" t="str">
        <f>IF(AND($E63&lt;&gt;"",S63=""),VLOOKUP($C63&amp;$D63,'Références GES'!$E$21:$M$183,3,FALSE),"")</f>
        <v/>
      </c>
      <c r="P63" s="13" t="str">
        <f>IF(AND($E63&lt;&gt;"",T63=""),VLOOKUP($C63&amp;$D63,'Références GES'!$E$21:$M$183,2,FALSE),"")</f>
        <v/>
      </c>
      <c r="Q63" s="14"/>
      <c r="R63" s="14"/>
      <c r="S63" s="14"/>
      <c r="T63" s="14"/>
      <c r="U63" s="15" t="str">
        <f>IF('0. Installation'!$B$4&lt;DATE(2021,1,1),
"Pas de critère à respecter",
IF(E63&lt;&gt;"",
IF(AND('0. Installation'!$B$4&gt;=DATE(2021,1,1),'0. Installation'!$B$4&lt;DATE(2026,1,1)),IF(MAX(O63,Q63)&gt;=0.7,"Elec. : oui","Elec. : non"),
IF(MAX(O63,Q63)&gt;=0.8,"Elec. : oui","Elec. : non"))
&amp;" / "&amp;
IF(AND('0. Installation'!$B$4&gt;=DATE(2021,1,1),'0. Installation'!$B$4&lt;DATE(2026,1,1)),IF(MAX(P63,R63)&gt;=0.7,"Chaleur : oui","Chaleur : non"),
IF(MAX(P63,R63)&gt;=0.8,"Chaleur : oui","Chaleur : non")),
""))</f>
        <v>Pas de critère à respecter</v>
      </c>
      <c r="V63" s="9"/>
      <c r="W63" s="119"/>
    </row>
    <row r="64" spans="1:23" ht="15.6">
      <c r="A64" s="316"/>
      <c r="B64" s="308"/>
      <c r="C64" s="19" t="s">
        <v>61</v>
      </c>
      <c r="D64" s="11" t="s">
        <v>35</v>
      </c>
      <c r="E64" s="275"/>
      <c r="F64" s="257"/>
      <c r="G64" s="257"/>
      <c r="H64" s="257"/>
      <c r="I64" s="257"/>
      <c r="J64" s="257"/>
      <c r="K64" s="16"/>
      <c r="L64" s="257"/>
      <c r="M64" s="247"/>
      <c r="N64" s="16"/>
      <c r="O64" s="13" t="str">
        <f>IF(AND($E64&lt;&gt;"",S64=""),VLOOKUP($C64&amp;$D64,'Références GES'!$E$21:$M$183,3,FALSE),"")</f>
        <v/>
      </c>
      <c r="P64" s="13" t="str">
        <f>IF(AND($E64&lt;&gt;"",T64=""),VLOOKUP($C64&amp;$D64,'Références GES'!$E$21:$M$183,2,FALSE),"")</f>
        <v/>
      </c>
      <c r="Q64" s="14"/>
      <c r="R64" s="14"/>
      <c r="S64" s="14"/>
      <c r="T64" s="14"/>
      <c r="U64" s="15" t="str">
        <f>IF('0. Installation'!$B$4&lt;DATE(2021,1,1),
"Pas de critère à respecter",
IF(E64&lt;&gt;"",
IF(AND('0. Installation'!$B$4&gt;=DATE(2021,1,1),'0. Installation'!$B$4&lt;DATE(2026,1,1)),IF(MAX(O64,Q64)&gt;=0.7,"Elec. : oui","Elec. : non"),
IF(MAX(O64,Q64)&gt;=0.8,"Elec. : oui","Elec. : non"))
&amp;" / "&amp;
IF(AND('0. Installation'!$B$4&gt;=DATE(2021,1,1),'0. Installation'!$B$4&lt;DATE(2026,1,1)),IF(MAX(P64,R64)&gt;=0.7,"Chaleur : oui","Chaleur : non"),
IF(MAX(P64,R64)&gt;=0.8,"Chaleur : oui","Chaleur : non")),
""))</f>
        <v>Pas de critère à respecter</v>
      </c>
      <c r="V64" s="9"/>
      <c r="W64" s="119"/>
    </row>
    <row r="65" spans="1:23" ht="15.6">
      <c r="A65" s="316"/>
      <c r="B65" s="308"/>
      <c r="C65" s="19" t="s">
        <v>61</v>
      </c>
      <c r="D65" s="20" t="s">
        <v>36</v>
      </c>
      <c r="E65" s="275"/>
      <c r="F65" s="257"/>
      <c r="G65" s="257"/>
      <c r="H65" s="257"/>
      <c r="I65" s="257"/>
      <c r="J65" s="257"/>
      <c r="K65" s="23"/>
      <c r="L65" s="257"/>
      <c r="M65" s="247"/>
      <c r="N65" s="16"/>
      <c r="O65" s="13" t="str">
        <f>IF(AND($E65&lt;&gt;"",S65=""),VLOOKUP($C65&amp;$D65,'Références GES'!$E$21:$M$183,3,FALSE),"")</f>
        <v/>
      </c>
      <c r="P65" s="13" t="str">
        <f>IF(AND($E65&lt;&gt;"",T65=""),VLOOKUP($C65&amp;$D65,'Références GES'!$E$21:$M$183,2,FALSE),"")</f>
        <v/>
      </c>
      <c r="Q65" s="22"/>
      <c r="R65" s="22"/>
      <c r="S65" s="22"/>
      <c r="T65" s="22"/>
      <c r="U65" s="15" t="str">
        <f>IF('0. Installation'!$B$4&lt;DATE(2021,1,1),
"Pas de critère à respecter",
IF(E65&lt;&gt;"",
IF(AND('0. Installation'!$B$4&gt;=DATE(2021,1,1),'0. Installation'!$B$4&lt;DATE(2026,1,1)),IF(MAX(O65,Q65)&gt;=0.7,"Elec. : oui","Elec. : non"),
IF(MAX(O65,Q65)&gt;=0.8,"Elec. : oui","Elec. : non"))
&amp;" / "&amp;
IF(AND('0. Installation'!$B$4&gt;=DATE(2021,1,1),'0. Installation'!$B$4&lt;DATE(2026,1,1)),IF(MAX(P65,R65)&gt;=0.7,"Chaleur : oui","Chaleur : non"),
IF(MAX(P65,R65)&gt;=0.8,"Chaleur : oui","Chaleur : non")),
""))</f>
        <v>Pas de critère à respecter</v>
      </c>
      <c r="V65" s="9"/>
      <c r="W65" s="119"/>
    </row>
    <row r="66" spans="1:23" ht="15.6">
      <c r="A66" s="103" t="s">
        <v>62</v>
      </c>
      <c r="B66" s="24"/>
      <c r="C66" s="24"/>
      <c r="D66" s="11" t="s">
        <v>63</v>
      </c>
      <c r="E66" s="275"/>
      <c r="F66" s="257"/>
      <c r="G66" s="257"/>
      <c r="H66" s="257"/>
      <c r="I66" s="257"/>
      <c r="J66" s="257"/>
      <c r="K66" s="16"/>
      <c r="L66" s="257"/>
      <c r="M66" s="247"/>
      <c r="N66" s="16"/>
      <c r="O66" s="14"/>
      <c r="P66" s="14"/>
      <c r="Q66" s="13" t="str">
        <f>IF(AND($E66&lt;&gt;"",S66=""),VLOOKUP(A66&amp;$D66,'Références GES'!$E$21:$M$82,8,FALSE),"")</f>
        <v/>
      </c>
      <c r="R66" s="13" t="str">
        <f>IF(AND($E66&lt;&gt;"",T66=""),VLOOKUP(A66&amp;$D66,'Références GES'!$E$21:$M$82,7,FALSE),"")</f>
        <v/>
      </c>
      <c r="S66" s="14"/>
      <c r="T66" s="14"/>
      <c r="U66" s="15" t="str">
        <f>IF('0. Installation'!$B$4&lt;DATE(2021,1,1),
"Pas de critère à respecter",
IF(E66&lt;&gt;"",
IF(AND('0. Installation'!$B$4&gt;=DATE(2021,1,1),'0. Installation'!$B$4&lt;DATE(2026,1,1)),IF(MAX(O66,Q66)&gt;=0.7,"Elec. : oui","Elec. : non"),
IF(MAX(O66,Q66)&gt;=0.8,"Elec. : oui","Elec. : non"))
&amp;" / "&amp;
IF(AND('0. Installation'!$B$4&gt;=DATE(2021,1,1),'0. Installation'!$B$4&lt;DATE(2026,1,1)),IF(MAX(P66,R66)&gt;=0.7,"Chaleur : oui","Chaleur : non"),
IF(MAX(P66,R66)&gt;=0.8,"Chaleur : oui","Chaleur : non")),
""))</f>
        <v>Pas de critère à respecter</v>
      </c>
      <c r="V66" s="9"/>
      <c r="W66" s="119"/>
    </row>
    <row r="67" spans="1:23" ht="15.6">
      <c r="A67" s="103" t="s">
        <v>64</v>
      </c>
      <c r="B67" s="24"/>
      <c r="C67" s="24"/>
      <c r="D67" s="11" t="s">
        <v>63</v>
      </c>
      <c r="E67" s="275"/>
      <c r="F67" s="257"/>
      <c r="G67" s="257"/>
      <c r="H67" s="257"/>
      <c r="I67" s="257"/>
      <c r="J67" s="257"/>
      <c r="K67" s="16"/>
      <c r="L67" s="257"/>
      <c r="M67" s="247"/>
      <c r="N67" s="16"/>
      <c r="O67" s="14"/>
      <c r="P67" s="14"/>
      <c r="Q67" s="13" t="str">
        <f>IF(AND($E67&lt;&gt;"",S67=""),VLOOKUP(A67&amp;$D67,'Références GES'!$E$21:$M$82,8,FALSE),"")</f>
        <v/>
      </c>
      <c r="R67" s="13" t="str">
        <f>IF(AND($E67&lt;&gt;"",T67=""),VLOOKUP(A67&amp;$D67,'Références GES'!$E$21:$M$82,7,FALSE),"")</f>
        <v/>
      </c>
      <c r="S67" s="14"/>
      <c r="T67" s="14"/>
      <c r="U67" s="15" t="str">
        <f>IF('0. Installation'!$B$4&lt;DATE(2021,1,1),
"Pas de critère à respecter",
IF(E67&lt;&gt;"",
IF(AND('0. Installation'!$B$4&gt;=DATE(2021,1,1),'0. Installation'!$B$4&lt;DATE(2026,1,1)),IF(MAX(O67,Q67)&gt;=0.7,"Elec. : oui","Elec. : non"),
IF(MAX(O67,Q67)&gt;=0.8,"Elec. : oui","Elec. : non"))
&amp;" / "&amp;
IF(AND('0. Installation'!$B$4&gt;=DATE(2021,1,1),'0. Installation'!$B$4&lt;DATE(2026,1,1)),IF(MAX(P67,R67)&gt;=0.7,"Chaleur : oui","Chaleur : non"),
IF(MAX(P67,R67)&gt;=0.8,"Chaleur : oui","Chaleur : non")),
""))</f>
        <v>Pas de critère à respecter</v>
      </c>
      <c r="V67" s="9"/>
      <c r="W67" s="119"/>
    </row>
    <row r="68" spans="1:23" ht="15" thickBot="1">
      <c r="A68" s="102"/>
      <c r="W68" s="119"/>
    </row>
    <row r="69" spans="1:23" ht="45.75" customHeight="1" thickBot="1">
      <c r="A69" s="314" t="s">
        <v>245</v>
      </c>
      <c r="B69" s="303"/>
      <c r="C69" s="303"/>
      <c r="D69" s="303"/>
      <c r="E69" s="303"/>
      <c r="F69" s="303"/>
      <c r="G69" s="303"/>
      <c r="H69" s="303"/>
      <c r="I69" s="303"/>
      <c r="J69" s="303"/>
      <c r="K69" s="303"/>
      <c r="L69" s="303"/>
      <c r="M69" s="303"/>
      <c r="N69" s="303"/>
      <c r="O69" s="303"/>
      <c r="P69" s="303"/>
      <c r="Q69" s="303"/>
      <c r="R69" s="303"/>
      <c r="S69" s="303"/>
      <c r="T69" s="303"/>
      <c r="U69" s="304"/>
      <c r="W69" s="119"/>
    </row>
    <row r="70" spans="1:23" ht="45.75" customHeight="1" thickBot="1">
      <c r="A70" s="204" t="s">
        <v>67</v>
      </c>
      <c r="B70" s="204" t="s">
        <v>341</v>
      </c>
      <c r="C70" s="251"/>
      <c r="D70" s="7" t="s">
        <v>18</v>
      </c>
      <c r="E70" s="252" t="s">
        <v>19</v>
      </c>
      <c r="F70" s="306" t="s">
        <v>320</v>
      </c>
      <c r="G70" s="306"/>
      <c r="H70" s="306"/>
      <c r="I70" s="306"/>
      <c r="J70" s="306"/>
      <c r="K70" s="306"/>
      <c r="L70" s="306"/>
      <c r="M70" s="253" t="s">
        <v>321</v>
      </c>
      <c r="N70" s="253" t="s">
        <v>22</v>
      </c>
      <c r="O70" s="312" t="s">
        <v>20</v>
      </c>
      <c r="P70" s="313"/>
      <c r="Q70" s="251"/>
      <c r="R70" s="251"/>
      <c r="S70" s="251"/>
      <c r="T70" s="251"/>
      <c r="U70" s="248" t="s">
        <v>21</v>
      </c>
      <c r="V70" s="108" t="s">
        <v>23</v>
      </c>
      <c r="W70" s="118" t="s">
        <v>228</v>
      </c>
    </row>
    <row r="71" spans="1:23" ht="56.4" customHeight="1">
      <c r="A71" s="203"/>
      <c r="B71" s="204"/>
      <c r="C71" s="251"/>
      <c r="D71" s="2"/>
      <c r="E71" s="107"/>
      <c r="F71" s="8" t="s">
        <v>26</v>
      </c>
      <c r="G71" s="8" t="s">
        <v>27</v>
      </c>
      <c r="H71" s="8" t="s">
        <v>28</v>
      </c>
      <c r="I71" s="8" t="s">
        <v>29</v>
      </c>
      <c r="J71" s="8" t="s">
        <v>30</v>
      </c>
      <c r="K71" s="8" t="s">
        <v>379</v>
      </c>
      <c r="L71" s="8" t="s">
        <v>380</v>
      </c>
      <c r="M71" s="2"/>
      <c r="N71" s="2"/>
      <c r="O71" s="107" t="s">
        <v>24</v>
      </c>
      <c r="P71" s="107" t="s">
        <v>25</v>
      </c>
      <c r="Q71" s="251"/>
      <c r="R71" s="251"/>
      <c r="S71" s="251"/>
      <c r="T71" s="251"/>
      <c r="U71" s="106"/>
      <c r="V71" s="9"/>
      <c r="W71" s="119"/>
    </row>
    <row r="72" spans="1:23" ht="15.6">
      <c r="A72" s="21"/>
      <c r="B72" s="21"/>
      <c r="C72" s="14"/>
      <c r="D72" s="21"/>
      <c r="E72" s="275"/>
      <c r="F72" s="257"/>
      <c r="G72" s="257"/>
      <c r="H72" s="257"/>
      <c r="I72" s="257"/>
      <c r="J72" s="257"/>
      <c r="K72" s="16"/>
      <c r="L72" s="16"/>
      <c r="M72" s="247"/>
      <c r="N72" s="16"/>
      <c r="O72" s="209" t="str">
        <f>IF(AND($E72&lt;&gt;"",$E72&lt;&gt;"A compléter"),
IF(COUNTIF(Listes!A$17:A$30,A72)=0,
VLOOKUP($A72&amp;"/"&amp;$B72,'Références GES'!$E$21:$M$183,3,FALSE),
VLOOKUP($A72&amp;"/"&amp;$D72,'Références GES'!$E$21:$M$183,3,FALSE)),
"")</f>
        <v/>
      </c>
      <c r="P72" s="13" t="str">
        <f>IF(AND($E72&lt;&gt;"",$E72&lt;&gt;"A compléter"),
IF(COUNTIF(Listes!A$17:A$30,A72)=0,
VLOOKUP($A72&amp;"/"&amp;$B72,'Références GES'!$E$21:$M$183,2,FALSE),
VLOOKUP($A72&amp;"/"&amp;$D72,'Références GES'!$E$21:$M$183,2,FALSE)),
"")</f>
        <v/>
      </c>
      <c r="Q72" s="14"/>
      <c r="R72" s="14"/>
      <c r="S72" s="14"/>
      <c r="T72" s="14"/>
      <c r="U72" s="15" t="str">
        <f>IF('0. Installation'!$B$4&lt;DATE(2021,1,1),
"Pas de critère à respecter",
IF(E72&lt;&gt;"",
IF(AND('0. Installation'!$B$4&gt;=DATE(2021,1,1),'0. Installation'!$B$4&lt;DATE(2026,1,1)),IF(MAX(O72,IF(ISNA(S72)=FALSE,S72,0))&gt;=0.7,"Elec. : oui","Elec. : non"),
IF(MAX(O72,IF(ISNA(S72)=FALSE,S72,0))&gt;=0.8,"Elec. : oui","Elec. : non"))
&amp;" / "&amp;
IF(AND('0. Installation'!$B$4&gt;=DATE(2021,1,1),'0. Installation'!$B$4&lt;DATE(2026,1,1)),IF(MAX(P72,IF(ISNA(T72)=FALSE,T72,0))&gt;=0.7,"Chaleur : oui","Chaleur : non"),
IF(MAX(P72,IF(ISNA(T72)=FALSE,T72,0))&gt;=0.8,"Chaleur : oui","Chaleur : non")),
""))</f>
        <v>Pas de critère à respecter</v>
      </c>
      <c r="V72" s="9"/>
      <c r="W72" s="119">
        <f>A72</f>
        <v>0</v>
      </c>
    </row>
    <row r="73" spans="1:23" ht="15.6">
      <c r="A73" s="21"/>
      <c r="B73" s="21"/>
      <c r="C73" s="14"/>
      <c r="D73" s="21"/>
      <c r="E73" s="275"/>
      <c r="F73" s="257"/>
      <c r="G73" s="257"/>
      <c r="H73" s="257"/>
      <c r="I73" s="257"/>
      <c r="J73" s="257"/>
      <c r="K73" s="16"/>
      <c r="L73" s="16"/>
      <c r="M73" s="247"/>
      <c r="N73" s="16"/>
      <c r="O73" s="209" t="str">
        <f>IF(AND($E73&lt;&gt;"",$E73&lt;&gt;"A compléter"),
IF(COUNTIF(Listes!A$17:A$30,A73)=0,
VLOOKUP($A73&amp;"/"&amp;$B73,'Références GES'!$E$21:$M$183,3,FALSE),
VLOOKUP($A73&amp;"/"&amp;$D73,'Références GES'!$E$21:$M$183,3,FALSE)),
"")</f>
        <v/>
      </c>
      <c r="P73" s="13" t="str">
        <f>IF(AND($E73&lt;&gt;"",$E73&lt;&gt;"A compléter"),
IF(COUNTIF(Listes!A$17:A$30,A73)=0,
VLOOKUP($A73&amp;"/"&amp;$B73,'Références GES'!$E$21:$M$183,2,FALSE),
VLOOKUP($A73&amp;"/"&amp;$D73,'Références GES'!$E$21:$M$183,2,FALSE)),
"")</f>
        <v/>
      </c>
      <c r="Q73" s="14"/>
      <c r="R73" s="14"/>
      <c r="S73" s="14"/>
      <c r="T73" s="14"/>
      <c r="U73" s="15" t="str">
        <f>IF('0. Installation'!$B$4&lt;DATE(2021,1,1),
"Pas de critère à respecter",
IF(E73&lt;&gt;"",
IF(AND('0. Installation'!$B$4&gt;=DATE(2021,1,1),'0. Installation'!$B$4&lt;DATE(2026,1,1)),IF(MAX(O73,IF(ISNA(S73)=FALSE,S73,0))&gt;=0.7,"Elec. : oui","Elec. : non"),
IF(MAX(O73,IF(ISNA(S73)=FALSE,S73,0))&gt;=0.8,"Elec. : oui","Elec. : non"))
&amp;" / "&amp;
IF(AND('0. Installation'!$B$4&gt;=DATE(2021,1,1),'0. Installation'!$B$4&lt;DATE(2026,1,1)),IF(MAX(P73,IF(ISNA(T73)=FALSE,T73,0))&gt;=0.7,"Chaleur : oui","Chaleur : non"),
IF(MAX(P73,IF(ISNA(T73)=FALSE,T73,0))&gt;=0.8,"Chaleur : oui","Chaleur : non")),
""))</f>
        <v>Pas de critère à respecter</v>
      </c>
      <c r="V73" s="9"/>
      <c r="W73" s="119">
        <f t="shared" ref="W73:W91" si="0">A73</f>
        <v>0</v>
      </c>
    </row>
    <row r="74" spans="1:23" ht="15.6">
      <c r="A74" s="219"/>
      <c r="B74" s="21"/>
      <c r="C74" s="14"/>
      <c r="D74" s="21"/>
      <c r="E74" s="275"/>
      <c r="F74" s="257"/>
      <c r="G74" s="257"/>
      <c r="H74" s="257"/>
      <c r="I74" s="257"/>
      <c r="J74" s="257"/>
      <c r="K74" s="16"/>
      <c r="L74" s="16"/>
      <c r="M74" s="247"/>
      <c r="N74" s="16"/>
      <c r="O74" s="209" t="str">
        <f>IF(AND($E74&lt;&gt;"",$E74&lt;&gt;"A compléter"),
IF(COUNTIF(Listes!A$17:A$30,A74)=0,
VLOOKUP($A74&amp;"/"&amp;$B74,'Références GES'!$E$21:$M$183,3,FALSE),
VLOOKUP($A74&amp;"/"&amp;$D74,'Références GES'!$E$21:$M$183,3,FALSE)),
"")</f>
        <v/>
      </c>
      <c r="P74" s="13" t="str">
        <f>IF(AND($E74&lt;&gt;"",$E74&lt;&gt;"A compléter"),
IF(COUNTIF(Listes!A$17:A$30,A74)=0,
VLOOKUP($A74&amp;"/"&amp;$B74,'Références GES'!$E$21:$M$183,2,FALSE),
VLOOKUP($A74&amp;"/"&amp;$D74,'Références GES'!$E$21:$M$183,2,FALSE)),
"")</f>
        <v/>
      </c>
      <c r="Q74" s="14"/>
      <c r="R74" s="14"/>
      <c r="S74" s="14"/>
      <c r="T74" s="14"/>
      <c r="U74" s="15" t="str">
        <f>IF('0. Installation'!$B$4&lt;DATE(2021,1,1),
"Pas de critère à respecter",
IF(E74&lt;&gt;"",
IF(AND('0. Installation'!$B$4&gt;=DATE(2021,1,1),'0. Installation'!$B$4&lt;DATE(2026,1,1)),IF(MAX(O74,IF(ISNA(S74)=FALSE,S74,0))&gt;=0.7,"Elec. : oui","Elec. : non"),
IF(MAX(O74,IF(ISNA(S74)=FALSE,S74,0))&gt;=0.8,"Elec. : oui","Elec. : non"))
&amp;" / "&amp;
IF(AND('0. Installation'!$B$4&gt;=DATE(2021,1,1),'0. Installation'!$B$4&lt;DATE(2026,1,1)),IF(MAX(P74,IF(ISNA(T74)=FALSE,T74,0))&gt;=0.7,"Chaleur : oui","Chaleur : non"),
IF(MAX(P74,IF(ISNA(T74)=FALSE,T74,0))&gt;=0.8,"Chaleur : oui","Chaleur : non")),
""))</f>
        <v>Pas de critère à respecter</v>
      </c>
      <c r="V74" s="9"/>
      <c r="W74" s="119">
        <f t="shared" si="0"/>
        <v>0</v>
      </c>
    </row>
    <row r="75" spans="1:23" ht="17.25" customHeight="1">
      <c r="A75" s="21"/>
      <c r="B75" s="21"/>
      <c r="C75" s="14"/>
      <c r="D75" s="21"/>
      <c r="E75" s="275" t="str">
        <f t="shared" ref="E75:E91" si="1">IF(A75&lt;&gt;"","A compléter","")</f>
        <v/>
      </c>
      <c r="F75" s="257"/>
      <c r="G75" s="257"/>
      <c r="H75" s="257"/>
      <c r="I75" s="257"/>
      <c r="J75" s="257"/>
      <c r="K75" s="16"/>
      <c r="L75" s="16"/>
      <c r="M75" s="247"/>
      <c r="N75" s="16"/>
      <c r="O75" s="209" t="str">
        <f>IF(AND($E75&lt;&gt;"",$E75&lt;&gt;"A compléter"),
IF(COUNTIF(Listes!A$17:A$30,A75)=0,
VLOOKUP($A75&amp;"/"&amp;$B75,'Références GES'!$E$21:$M$183,3,FALSE),
VLOOKUP($A75&amp;"/"&amp;$D75,'Références GES'!$E$21:$M$183,3,FALSE)),
"")</f>
        <v/>
      </c>
      <c r="P75" s="13" t="str">
        <f>IF(AND($E75&lt;&gt;"",$E75&lt;&gt;"A compléter"),
IF(COUNTIF(Listes!A$17:A$30,A75)=0,
VLOOKUP($A75&amp;"/"&amp;$B75,'Références GES'!$E$21:$M$183,2,FALSE),
VLOOKUP($A75&amp;"/"&amp;$D75,'Références GES'!$E$21:$M$183,2,FALSE)),
"")</f>
        <v/>
      </c>
      <c r="Q75" s="14"/>
      <c r="R75" s="14"/>
      <c r="S75" s="14"/>
      <c r="T75" s="14"/>
      <c r="U75" s="15" t="str">
        <f>IF('0. Installation'!$B$4&lt;DATE(2021,1,1),
"Pas de critère à respecter",
IF(E75&lt;&gt;"",
IF(AND('0. Installation'!$B$4&gt;=DATE(2021,1,1),'0. Installation'!$B$4&lt;DATE(2026,1,1)),IF(MAX(O75,IF(ISNA(S75)=FALSE,S75,0))&gt;=0.7,"Elec. : oui","Elec. : non"),
IF(MAX(O75,IF(ISNA(S75)=FALSE,S75,0))&gt;=0.8,"Elec. : oui","Elec. : non"))
&amp;" / "&amp;
IF(AND('0. Installation'!$B$4&gt;=DATE(2021,1,1),'0. Installation'!$B$4&lt;DATE(2026,1,1)),IF(MAX(P75,IF(ISNA(T75)=FALSE,T75,0))&gt;=0.7,"Chaleur : oui","Chaleur : non"),
IF(MAX(P75,IF(ISNA(T75)=FALSE,T75,0))&gt;=0.8,"Chaleur : oui","Chaleur : non")),
""))</f>
        <v>Pas de critère à respecter</v>
      </c>
      <c r="V75" s="9"/>
      <c r="W75" s="119">
        <f t="shared" si="0"/>
        <v>0</v>
      </c>
    </row>
    <row r="76" spans="1:23" ht="15" customHeight="1">
      <c r="A76" s="21"/>
      <c r="B76" s="21"/>
      <c r="C76" s="14"/>
      <c r="D76" s="21"/>
      <c r="E76" s="275" t="str">
        <f t="shared" si="1"/>
        <v/>
      </c>
      <c r="F76" s="257"/>
      <c r="G76" s="257"/>
      <c r="H76" s="257"/>
      <c r="I76" s="257"/>
      <c r="J76" s="257"/>
      <c r="K76" s="16"/>
      <c r="L76" s="16"/>
      <c r="M76" s="247"/>
      <c r="N76" s="16"/>
      <c r="O76" s="209" t="str">
        <f>IF(AND($E76&lt;&gt;"",$E76&lt;&gt;"A compléter"),
IF(COUNTIF(Listes!A$17:A$30,A76)=0,
VLOOKUP($A76&amp;"/"&amp;$B76,'Références GES'!$E$21:$M$183,3,FALSE),
VLOOKUP($A76&amp;"/"&amp;$D76,'Références GES'!$E$21:$M$183,3,FALSE)),
"")</f>
        <v/>
      </c>
      <c r="P76" s="13" t="str">
        <f>IF(AND($E76&lt;&gt;"",$E76&lt;&gt;"A compléter"),
IF(COUNTIF(Listes!A$17:A$30,A76)=0,
VLOOKUP($A76&amp;"/"&amp;$B76,'Références GES'!$E$21:$M$183,2,FALSE),
VLOOKUP($A76&amp;"/"&amp;$D76,'Références GES'!$E$21:$M$183,2,FALSE)),
"")</f>
        <v/>
      </c>
      <c r="Q76" s="14"/>
      <c r="R76" s="14"/>
      <c r="S76" s="14"/>
      <c r="T76" s="14"/>
      <c r="U76" s="15" t="str">
        <f>IF('0. Installation'!$B$4&lt;DATE(2021,1,1),
"Pas de critère à respecter",
IF(E76&lt;&gt;"",
IF(AND('0. Installation'!$B$4&gt;=DATE(2021,1,1),'0. Installation'!$B$4&lt;DATE(2026,1,1)),IF(MAX(O76,IF(ISNA(S76)=FALSE,S76,0))&gt;=0.7,"Elec. : oui","Elec. : non"),
IF(MAX(O76,IF(ISNA(S76)=FALSE,S76,0))&gt;=0.8,"Elec. : oui","Elec. : non"))
&amp;" / "&amp;
IF(AND('0. Installation'!$B$4&gt;=DATE(2021,1,1),'0. Installation'!$B$4&lt;DATE(2026,1,1)),IF(MAX(P76,IF(ISNA(T76)=FALSE,T76,0))&gt;=0.7,"Chaleur : oui","Chaleur : non"),
IF(MAX(P76,IF(ISNA(T76)=FALSE,T76,0))&gt;=0.8,"Chaleur : oui","Chaleur : non")),
""))</f>
        <v>Pas de critère à respecter</v>
      </c>
      <c r="V76" s="9"/>
      <c r="W76" s="119">
        <f t="shared" si="0"/>
        <v>0</v>
      </c>
    </row>
    <row r="77" spans="1:23" ht="15" customHeight="1">
      <c r="A77" s="21"/>
      <c r="B77" s="21"/>
      <c r="C77" s="14"/>
      <c r="D77" s="21"/>
      <c r="E77" s="275" t="str">
        <f t="shared" si="1"/>
        <v/>
      </c>
      <c r="F77" s="257"/>
      <c r="G77" s="257"/>
      <c r="H77" s="257"/>
      <c r="I77" s="257"/>
      <c r="J77" s="257"/>
      <c r="K77" s="16"/>
      <c r="L77" s="16"/>
      <c r="M77" s="247"/>
      <c r="N77" s="16"/>
      <c r="O77" s="209" t="str">
        <f>IF(AND($E77&lt;&gt;"",$E77&lt;&gt;"A compléter"),
IF(COUNTIF(Listes!A$17:A$30,A77)=0,
VLOOKUP($A77&amp;"/"&amp;$B77,'Références GES'!$E$21:$M$183,3,FALSE),
VLOOKUP($A77&amp;"/"&amp;$D77,'Références GES'!$E$21:$M$183,3,FALSE)),
"")</f>
        <v/>
      </c>
      <c r="P77" s="13" t="str">
        <f>IF(AND($E77&lt;&gt;"",$E77&lt;&gt;"A compléter"),
IF(COUNTIF(Listes!A$17:A$30,A77)=0,
VLOOKUP($A77&amp;"/"&amp;$B77,'Références GES'!$E$21:$M$183,2,FALSE),
VLOOKUP($A77&amp;"/"&amp;$D77,'Références GES'!$E$21:$M$183,2,FALSE)),
"")</f>
        <v/>
      </c>
      <c r="Q77" s="14"/>
      <c r="R77" s="14"/>
      <c r="S77" s="14"/>
      <c r="T77" s="14"/>
      <c r="U77" s="15" t="str">
        <f>IF('0. Installation'!$B$4&lt;DATE(2021,1,1),
"Pas de critère à respecter",
IF(E77&lt;&gt;"",
IF(AND('0. Installation'!$B$4&gt;=DATE(2021,1,1),'0. Installation'!$B$4&lt;DATE(2026,1,1)),IF(MAX(O77,IF(ISNA(S77)=FALSE,S77,0))&gt;=0.7,"Elec. : oui","Elec. : non"),
IF(MAX(O77,IF(ISNA(S77)=FALSE,S77,0))&gt;=0.8,"Elec. : oui","Elec. : non"))
&amp;" / "&amp;
IF(AND('0. Installation'!$B$4&gt;=DATE(2021,1,1),'0. Installation'!$B$4&lt;DATE(2026,1,1)),IF(MAX(P77,IF(ISNA(T77)=FALSE,T77,0))&gt;=0.7,"Chaleur : oui","Chaleur : non"),
IF(MAX(P77,IF(ISNA(T77)=FALSE,T77,0))&gt;=0.8,"Chaleur : oui","Chaleur : non")),
""))</f>
        <v>Pas de critère à respecter</v>
      </c>
      <c r="V77" s="9"/>
      <c r="W77" s="119">
        <f t="shared" si="0"/>
        <v>0</v>
      </c>
    </row>
    <row r="78" spans="1:23" ht="15" customHeight="1">
      <c r="A78" s="21"/>
      <c r="B78" s="21"/>
      <c r="C78" s="14"/>
      <c r="D78" s="21"/>
      <c r="E78" s="275" t="str">
        <f t="shared" si="1"/>
        <v/>
      </c>
      <c r="F78" s="257"/>
      <c r="G78" s="257"/>
      <c r="H78" s="257"/>
      <c r="I78" s="257"/>
      <c r="J78" s="257"/>
      <c r="K78" s="16"/>
      <c r="L78" s="16"/>
      <c r="M78" s="247"/>
      <c r="N78" s="16"/>
      <c r="O78" s="209" t="str">
        <f>IF(AND($E78&lt;&gt;"",$E78&lt;&gt;"A compléter"),
IF(COUNTIF(Listes!A$17:A$30,A78)=0,
VLOOKUP($A78&amp;"/"&amp;$B78,'Références GES'!$E$21:$M$183,3,FALSE),
VLOOKUP($A78&amp;"/"&amp;$D78,'Références GES'!$E$21:$M$183,3,FALSE)),
"")</f>
        <v/>
      </c>
      <c r="P78" s="13" t="str">
        <f>IF(AND($E78&lt;&gt;"",$E78&lt;&gt;"A compléter"),
IF(COUNTIF(Listes!A$17:A$30,A78)=0,
VLOOKUP($A78&amp;"/"&amp;$B78,'Références GES'!$E$21:$M$183,2,FALSE),
VLOOKUP($A78&amp;"/"&amp;$D78,'Références GES'!$E$21:$M$183,2,FALSE)),
"")</f>
        <v/>
      </c>
      <c r="Q78" s="14"/>
      <c r="R78" s="14"/>
      <c r="S78" s="14"/>
      <c r="T78" s="14"/>
      <c r="U78" s="15" t="str">
        <f>IF('0. Installation'!$B$4&lt;DATE(2021,1,1),
"Pas de critère à respecter",
IF(E78&lt;&gt;"",
IF(AND('0. Installation'!$B$4&gt;=DATE(2021,1,1),'0. Installation'!$B$4&lt;DATE(2026,1,1)),IF(MAX(O78,IF(ISNA(S78)=FALSE,S78,0))&gt;=0.7,"Elec. : oui","Elec. : non"),
IF(MAX(O78,IF(ISNA(S78)=FALSE,S78,0))&gt;=0.8,"Elec. : oui","Elec. : non"))
&amp;" / "&amp;
IF(AND('0. Installation'!$B$4&gt;=DATE(2021,1,1),'0. Installation'!$B$4&lt;DATE(2026,1,1)),IF(MAX(P78,IF(ISNA(T78)=FALSE,T78,0))&gt;=0.7,"Chaleur : oui","Chaleur : non"),
IF(MAX(P78,IF(ISNA(T78)=FALSE,T78,0))&gt;=0.8,"Chaleur : oui","Chaleur : non")),
""))</f>
        <v>Pas de critère à respecter</v>
      </c>
      <c r="V78" s="9"/>
      <c r="W78" s="119">
        <f t="shared" si="0"/>
        <v>0</v>
      </c>
    </row>
    <row r="79" spans="1:23" ht="15" customHeight="1">
      <c r="A79" s="21"/>
      <c r="B79" s="21"/>
      <c r="C79" s="14"/>
      <c r="D79" s="21"/>
      <c r="E79" s="275" t="str">
        <f t="shared" si="1"/>
        <v/>
      </c>
      <c r="F79" s="257"/>
      <c r="G79" s="257"/>
      <c r="H79" s="257"/>
      <c r="I79" s="257"/>
      <c r="J79" s="257"/>
      <c r="K79" s="16"/>
      <c r="L79" s="16"/>
      <c r="M79" s="247"/>
      <c r="N79" s="16"/>
      <c r="O79" s="209" t="str">
        <f>IF(AND($E79&lt;&gt;"",$E79&lt;&gt;"A compléter"),
IF(COUNTIF(Listes!A$17:A$30,A79)=0,
VLOOKUP($A79&amp;"/"&amp;$B79,'Références GES'!$E$21:$M$183,3,FALSE),
VLOOKUP($A79&amp;"/"&amp;$D79,'Références GES'!$E$21:$M$183,3,FALSE)),
"")</f>
        <v/>
      </c>
      <c r="P79" s="13" t="str">
        <f>IF(AND($E79&lt;&gt;"",$E79&lt;&gt;"A compléter"),
IF(COUNTIF(Listes!A$17:A$30,A79)=0,
VLOOKUP($A79&amp;"/"&amp;$B79,'Références GES'!$E$21:$M$183,2,FALSE),
VLOOKUP($A79&amp;"/"&amp;$D79,'Références GES'!$E$21:$M$183,2,FALSE)),
"")</f>
        <v/>
      </c>
      <c r="Q79" s="14"/>
      <c r="R79" s="14"/>
      <c r="S79" s="14"/>
      <c r="T79" s="14"/>
      <c r="U79" s="15" t="str">
        <f>IF('0. Installation'!$B$4&lt;DATE(2021,1,1),
"Pas de critère à respecter",
IF(E79&lt;&gt;"",
IF(AND('0. Installation'!$B$4&gt;=DATE(2021,1,1),'0. Installation'!$B$4&lt;DATE(2026,1,1)),IF(MAX(O79,IF(ISNA(S79)=FALSE,S79,0))&gt;=0.7,"Elec. : oui","Elec. : non"),
IF(MAX(O79,IF(ISNA(S79)=FALSE,S79,0))&gt;=0.8,"Elec. : oui","Elec. : non"))
&amp;" / "&amp;
IF(AND('0. Installation'!$B$4&gt;=DATE(2021,1,1),'0. Installation'!$B$4&lt;DATE(2026,1,1)),IF(MAX(P79,IF(ISNA(T79)=FALSE,T79,0))&gt;=0.7,"Chaleur : oui","Chaleur : non"),
IF(MAX(P79,IF(ISNA(T79)=FALSE,T79,0))&gt;=0.8,"Chaleur : oui","Chaleur : non")),
""))</f>
        <v>Pas de critère à respecter</v>
      </c>
      <c r="V79" s="9"/>
      <c r="W79" s="119">
        <f t="shared" si="0"/>
        <v>0</v>
      </c>
    </row>
    <row r="80" spans="1:23" ht="15" customHeight="1">
      <c r="A80" s="21"/>
      <c r="B80" s="21"/>
      <c r="C80" s="14"/>
      <c r="D80" s="21"/>
      <c r="E80" s="275" t="str">
        <f t="shared" si="1"/>
        <v/>
      </c>
      <c r="F80" s="257"/>
      <c r="G80" s="257"/>
      <c r="H80" s="257"/>
      <c r="I80" s="257"/>
      <c r="J80" s="257"/>
      <c r="K80" s="16"/>
      <c r="L80" s="16"/>
      <c r="M80" s="247"/>
      <c r="N80" s="16"/>
      <c r="O80" s="209" t="str">
        <f>IF(AND($E80&lt;&gt;"",$E80&lt;&gt;"A compléter"),
IF(COUNTIF(Listes!A$17:A$30,A80)=0,
VLOOKUP($A80&amp;"/"&amp;$B80,'Références GES'!$E$21:$M$183,3,FALSE),
VLOOKUP($A80&amp;"/"&amp;$D80,'Références GES'!$E$21:$M$183,3,FALSE)),
"")</f>
        <v/>
      </c>
      <c r="P80" s="13" t="str">
        <f>IF(AND($E80&lt;&gt;"",$E80&lt;&gt;"A compléter"),
IF(COUNTIF(Listes!A$17:A$30,A80)=0,
VLOOKUP($A80&amp;"/"&amp;$B80,'Références GES'!$E$21:$M$183,2,FALSE),
VLOOKUP($A80&amp;"/"&amp;$D80,'Références GES'!$E$21:$M$183,2,FALSE)),
"")</f>
        <v/>
      </c>
      <c r="Q80" s="14"/>
      <c r="R80" s="14"/>
      <c r="S80" s="14"/>
      <c r="T80" s="14"/>
      <c r="U80" s="15" t="str">
        <f>IF('0. Installation'!$B$4&lt;DATE(2021,1,1),
"Pas de critère à respecter",
IF(E80&lt;&gt;"",
IF(AND('0. Installation'!$B$4&gt;=DATE(2021,1,1),'0. Installation'!$B$4&lt;DATE(2026,1,1)),IF(MAX(O80,IF(ISNA(S80)=FALSE,S80,0))&gt;=0.7,"Elec. : oui","Elec. : non"),
IF(MAX(O80,IF(ISNA(S80)=FALSE,S80,0))&gt;=0.8,"Elec. : oui","Elec. : non"))
&amp;" / "&amp;
IF(AND('0. Installation'!$B$4&gt;=DATE(2021,1,1),'0. Installation'!$B$4&lt;DATE(2026,1,1)),IF(MAX(P80,IF(ISNA(T80)=FALSE,T80,0))&gt;=0.7,"Chaleur : oui","Chaleur : non"),
IF(MAX(P80,IF(ISNA(T80)=FALSE,T80,0))&gt;=0.8,"Chaleur : oui","Chaleur : non")),
""))</f>
        <v>Pas de critère à respecter</v>
      </c>
      <c r="V80" s="9"/>
      <c r="W80" s="119">
        <f t="shared" si="0"/>
        <v>0</v>
      </c>
    </row>
    <row r="81" spans="1:23" ht="15" customHeight="1">
      <c r="A81" s="21"/>
      <c r="B81" s="21"/>
      <c r="C81" s="14"/>
      <c r="D81" s="21"/>
      <c r="E81" s="275" t="str">
        <f t="shared" si="1"/>
        <v/>
      </c>
      <c r="F81" s="257"/>
      <c r="G81" s="257"/>
      <c r="H81" s="257"/>
      <c r="I81" s="257"/>
      <c r="J81" s="257"/>
      <c r="K81" s="16"/>
      <c r="L81" s="16"/>
      <c r="M81" s="247"/>
      <c r="N81" s="16"/>
      <c r="O81" s="209" t="str">
        <f>IF(AND($E81&lt;&gt;"",$E81&lt;&gt;"A compléter"),
IF(COUNTIF(Listes!A$17:A$30,A81)=0,
VLOOKUP($A81&amp;"/"&amp;$B81,'Références GES'!$E$21:$M$183,3,FALSE),
VLOOKUP($A81&amp;"/"&amp;$D81,'Références GES'!$E$21:$M$183,3,FALSE)),
"")</f>
        <v/>
      </c>
      <c r="P81" s="13" t="str">
        <f>IF(AND($E81&lt;&gt;"",$E81&lt;&gt;"A compléter"),
IF(COUNTIF(Listes!A$17:A$30,A81)=0,
VLOOKUP($A81&amp;"/"&amp;$B81,'Références GES'!$E$21:$M$183,2,FALSE),
VLOOKUP($A81&amp;"/"&amp;$D81,'Références GES'!$E$21:$M$183,2,FALSE)),
"")</f>
        <v/>
      </c>
      <c r="Q81" s="14"/>
      <c r="R81" s="14"/>
      <c r="S81" s="14"/>
      <c r="T81" s="14"/>
      <c r="U81" s="15" t="str">
        <f>IF('0. Installation'!$B$4&lt;DATE(2021,1,1),
"Pas de critère à respecter",
IF(E81&lt;&gt;"",
IF(AND('0. Installation'!$B$4&gt;=DATE(2021,1,1),'0. Installation'!$B$4&lt;DATE(2026,1,1)),IF(MAX(O81,IF(ISNA(S81)=FALSE,S81,0))&gt;=0.7,"Elec. : oui","Elec. : non"),
IF(MAX(O81,IF(ISNA(S81)=FALSE,S81,0))&gt;=0.8,"Elec. : oui","Elec. : non"))
&amp;" / "&amp;
IF(AND('0. Installation'!$B$4&gt;=DATE(2021,1,1),'0. Installation'!$B$4&lt;DATE(2026,1,1)),IF(MAX(P81,IF(ISNA(T81)=FALSE,T81,0))&gt;=0.7,"Chaleur : oui","Chaleur : non"),
IF(MAX(P81,IF(ISNA(T81)=FALSE,T81,0))&gt;=0.8,"Chaleur : oui","Chaleur : non")),
""))</f>
        <v>Pas de critère à respecter</v>
      </c>
      <c r="V81" s="9"/>
      <c r="W81" s="119">
        <f t="shared" si="0"/>
        <v>0</v>
      </c>
    </row>
    <row r="82" spans="1:23" ht="15" customHeight="1">
      <c r="A82" s="21"/>
      <c r="B82" s="21"/>
      <c r="C82" s="14"/>
      <c r="D82" s="21"/>
      <c r="E82" s="275" t="str">
        <f t="shared" si="1"/>
        <v/>
      </c>
      <c r="F82" s="257"/>
      <c r="G82" s="257"/>
      <c r="H82" s="257"/>
      <c r="I82" s="257"/>
      <c r="J82" s="257"/>
      <c r="K82" s="16"/>
      <c r="L82" s="16"/>
      <c r="M82" s="247"/>
      <c r="N82" s="16"/>
      <c r="O82" s="209" t="str">
        <f>IF(AND($E82&lt;&gt;"",$E82&lt;&gt;"A compléter"),
IF(COUNTIF(Listes!A$17:A$30,A82)=0,
VLOOKUP($A82&amp;"/"&amp;$B82,'Références GES'!$E$21:$M$183,3,FALSE),
VLOOKUP($A82&amp;"/"&amp;$D82,'Références GES'!$E$21:$M$183,3,FALSE)),
"")</f>
        <v/>
      </c>
      <c r="P82" s="13" t="str">
        <f>IF(AND($E82&lt;&gt;"",$E82&lt;&gt;"A compléter"),
IF(COUNTIF(Listes!A$17:A$30,A82)=0,
VLOOKUP($A82&amp;"/"&amp;$B82,'Références GES'!$E$21:$M$183,2,FALSE),
VLOOKUP($A82&amp;"/"&amp;$D82,'Références GES'!$E$21:$M$183,2,FALSE)),
"")</f>
        <v/>
      </c>
      <c r="Q82" s="14"/>
      <c r="R82" s="14"/>
      <c r="S82" s="14"/>
      <c r="T82" s="14"/>
      <c r="U82" s="15" t="str">
        <f>IF('0. Installation'!$B$4&lt;DATE(2021,1,1),
"Pas de critère à respecter",
IF(E82&lt;&gt;"",
IF(AND('0. Installation'!$B$4&gt;=DATE(2021,1,1),'0. Installation'!$B$4&lt;DATE(2026,1,1)),IF(MAX(O82,IF(ISNA(S82)=FALSE,S82,0))&gt;=0.7,"Elec. : oui","Elec. : non"),
IF(MAX(O82,IF(ISNA(S82)=FALSE,S82,0))&gt;=0.8,"Elec. : oui","Elec. : non"))
&amp;" / "&amp;
IF(AND('0. Installation'!$B$4&gt;=DATE(2021,1,1),'0. Installation'!$B$4&lt;DATE(2026,1,1)),IF(MAX(P82,IF(ISNA(T82)=FALSE,T82,0))&gt;=0.7,"Chaleur : oui","Chaleur : non"),
IF(MAX(P82,IF(ISNA(T82)=FALSE,T82,0))&gt;=0.8,"Chaleur : oui","Chaleur : non")),
""))</f>
        <v>Pas de critère à respecter</v>
      </c>
      <c r="V82" s="9"/>
      <c r="W82" s="119">
        <f t="shared" si="0"/>
        <v>0</v>
      </c>
    </row>
    <row r="83" spans="1:23" ht="15" customHeight="1">
      <c r="A83" s="21"/>
      <c r="B83" s="21"/>
      <c r="C83" s="14"/>
      <c r="D83" s="21"/>
      <c r="E83" s="275" t="str">
        <f t="shared" si="1"/>
        <v/>
      </c>
      <c r="F83" s="257"/>
      <c r="G83" s="257"/>
      <c r="H83" s="257"/>
      <c r="I83" s="257"/>
      <c r="J83" s="257"/>
      <c r="K83" s="16"/>
      <c r="L83" s="16"/>
      <c r="M83" s="247"/>
      <c r="N83" s="16"/>
      <c r="O83" s="209" t="str">
        <f>IF(AND($E83&lt;&gt;"",$E83&lt;&gt;"A compléter"),
IF(COUNTIF(Listes!A$17:A$30,A83)=0,
VLOOKUP($A83&amp;"/"&amp;$B83,'Références GES'!$E$21:$M$183,3,FALSE),
VLOOKUP($A83&amp;"/"&amp;$D83,'Références GES'!$E$21:$M$183,3,FALSE)),
"")</f>
        <v/>
      </c>
      <c r="P83" s="13" t="str">
        <f>IF(AND($E83&lt;&gt;"",$E83&lt;&gt;"A compléter"),
IF(COUNTIF(Listes!A$17:A$30,A83)=0,
VLOOKUP($A83&amp;"/"&amp;$B83,'Références GES'!$E$21:$M$183,2,FALSE),
VLOOKUP($A83&amp;"/"&amp;$D83,'Références GES'!$E$21:$M$183,2,FALSE)),
"")</f>
        <v/>
      </c>
      <c r="Q83" s="14"/>
      <c r="R83" s="14"/>
      <c r="S83" s="14"/>
      <c r="T83" s="14"/>
      <c r="U83" s="15" t="str">
        <f>IF('0. Installation'!$B$4&lt;DATE(2021,1,1),
"Pas de critère à respecter",
IF(E83&lt;&gt;"",
IF(AND('0. Installation'!$B$4&gt;=DATE(2021,1,1),'0. Installation'!$B$4&lt;DATE(2026,1,1)),IF(MAX(O83,IF(ISNA(S83)=FALSE,S83,0))&gt;=0.7,"Elec. : oui","Elec. : non"),
IF(MAX(O83,IF(ISNA(S83)=FALSE,S83,0))&gt;=0.8,"Elec. : oui","Elec. : non"))
&amp;" / "&amp;
IF(AND('0. Installation'!$B$4&gt;=DATE(2021,1,1),'0. Installation'!$B$4&lt;DATE(2026,1,1)),IF(MAX(P83,IF(ISNA(T83)=FALSE,T83,0))&gt;=0.7,"Chaleur : oui","Chaleur : non"),
IF(MAX(P83,IF(ISNA(T83)=FALSE,T83,0))&gt;=0.8,"Chaleur : oui","Chaleur : non")),
""))</f>
        <v>Pas de critère à respecter</v>
      </c>
      <c r="V83" s="9"/>
      <c r="W83" s="119">
        <f t="shared" si="0"/>
        <v>0</v>
      </c>
    </row>
    <row r="84" spans="1:23" ht="15" customHeight="1">
      <c r="A84" s="21"/>
      <c r="B84" s="21"/>
      <c r="C84" s="14"/>
      <c r="D84" s="21"/>
      <c r="E84" s="275" t="str">
        <f t="shared" si="1"/>
        <v/>
      </c>
      <c r="F84" s="257"/>
      <c r="G84" s="257"/>
      <c r="H84" s="257"/>
      <c r="I84" s="257"/>
      <c r="J84" s="257"/>
      <c r="K84" s="16"/>
      <c r="L84" s="16"/>
      <c r="M84" s="247"/>
      <c r="N84" s="16"/>
      <c r="O84" s="209" t="str">
        <f>IF(AND($E84&lt;&gt;"",$E84&lt;&gt;"A compléter"),
IF(COUNTIF(Listes!A$17:A$30,A84)=0,
VLOOKUP($A84&amp;"/"&amp;$B84,'Références GES'!$E$21:$M$183,3,FALSE),
VLOOKUP($A84&amp;"/"&amp;$D84,'Références GES'!$E$21:$M$183,3,FALSE)),
"")</f>
        <v/>
      </c>
      <c r="P84" s="13" t="str">
        <f>IF(AND($E84&lt;&gt;"",$E84&lt;&gt;"A compléter"),
IF(COUNTIF(Listes!A$17:A$30,A84)=0,
VLOOKUP($A84&amp;"/"&amp;$B84,'Références GES'!$E$21:$M$183,2,FALSE),
VLOOKUP($A84&amp;"/"&amp;$D84,'Références GES'!$E$21:$M$183,2,FALSE)),
"")</f>
        <v/>
      </c>
      <c r="Q84" s="14"/>
      <c r="R84" s="14"/>
      <c r="S84" s="14"/>
      <c r="T84" s="14"/>
      <c r="U84" s="15" t="str">
        <f>IF('0. Installation'!$B$4&lt;DATE(2021,1,1),
"Pas de critère à respecter",
IF(E84&lt;&gt;"",
IF(AND('0. Installation'!$B$4&gt;=DATE(2021,1,1),'0. Installation'!$B$4&lt;DATE(2026,1,1)),IF(MAX(O84,IF(ISNA(S84)=FALSE,S84,0))&gt;=0.7,"Elec. : oui","Elec. : non"),
IF(MAX(O84,IF(ISNA(S84)=FALSE,S84,0))&gt;=0.8,"Elec. : oui","Elec. : non"))
&amp;" / "&amp;
IF(AND('0. Installation'!$B$4&gt;=DATE(2021,1,1),'0. Installation'!$B$4&lt;DATE(2026,1,1)),IF(MAX(P84,IF(ISNA(T84)=FALSE,T84,0))&gt;=0.7,"Chaleur : oui","Chaleur : non"),
IF(MAX(P84,IF(ISNA(T84)=FALSE,T84,0))&gt;=0.8,"Chaleur : oui","Chaleur : non")),
""))</f>
        <v>Pas de critère à respecter</v>
      </c>
      <c r="V84" s="9"/>
      <c r="W84" s="119">
        <f t="shared" si="0"/>
        <v>0</v>
      </c>
    </row>
    <row r="85" spans="1:23" ht="15" customHeight="1">
      <c r="A85" s="21"/>
      <c r="B85" s="21"/>
      <c r="C85" s="14"/>
      <c r="D85" s="21"/>
      <c r="E85" s="275" t="str">
        <f t="shared" si="1"/>
        <v/>
      </c>
      <c r="F85" s="257"/>
      <c r="G85" s="257"/>
      <c r="H85" s="257"/>
      <c r="I85" s="257"/>
      <c r="J85" s="257"/>
      <c r="K85" s="16"/>
      <c r="L85" s="16"/>
      <c r="M85" s="247"/>
      <c r="N85" s="16"/>
      <c r="O85" s="209" t="str">
        <f>IF(AND($E85&lt;&gt;"",$E85&lt;&gt;"A compléter"),
IF(COUNTIF(Listes!A$17:A$30,A85)=0,
VLOOKUP($A85&amp;"/"&amp;$B85,'Références GES'!$E$21:$M$183,3,FALSE),
VLOOKUP($A85&amp;"/"&amp;$D85,'Références GES'!$E$21:$M$183,3,FALSE)),
"")</f>
        <v/>
      </c>
      <c r="P85" s="13" t="str">
        <f>IF(AND($E85&lt;&gt;"",$E85&lt;&gt;"A compléter"),
IF(COUNTIF(Listes!A$17:A$30,A85)=0,
VLOOKUP($A85&amp;"/"&amp;$B85,'Références GES'!$E$21:$M$183,2,FALSE),
VLOOKUP($A85&amp;"/"&amp;$D85,'Références GES'!$E$21:$M$183,2,FALSE)),
"")</f>
        <v/>
      </c>
      <c r="Q85" s="14"/>
      <c r="R85" s="14"/>
      <c r="S85" s="14"/>
      <c r="T85" s="14"/>
      <c r="U85" s="15" t="str">
        <f>IF('0. Installation'!$B$4&lt;DATE(2021,1,1),
"Pas de critère à respecter",
IF(E85&lt;&gt;"",
IF(AND('0. Installation'!$B$4&gt;=DATE(2021,1,1),'0. Installation'!$B$4&lt;DATE(2026,1,1)),IF(MAX(O85,IF(ISNA(S85)=FALSE,S85,0))&gt;=0.7,"Elec. : oui","Elec. : non"),
IF(MAX(O85,IF(ISNA(S85)=FALSE,S85,0))&gt;=0.8,"Elec. : oui","Elec. : non"))
&amp;" / "&amp;
IF(AND('0. Installation'!$B$4&gt;=DATE(2021,1,1),'0. Installation'!$B$4&lt;DATE(2026,1,1)),IF(MAX(P85,IF(ISNA(T85)=FALSE,T85,0))&gt;=0.7,"Chaleur : oui","Chaleur : non"),
IF(MAX(P85,IF(ISNA(T85)=FALSE,T85,0))&gt;=0.8,"Chaleur : oui","Chaleur : non")),
""))</f>
        <v>Pas de critère à respecter</v>
      </c>
      <c r="V85" s="9"/>
      <c r="W85" s="119">
        <f t="shared" si="0"/>
        <v>0</v>
      </c>
    </row>
    <row r="86" spans="1:23" ht="15" customHeight="1">
      <c r="A86" s="21"/>
      <c r="B86" s="21"/>
      <c r="C86" s="14"/>
      <c r="D86" s="21"/>
      <c r="E86" s="275" t="str">
        <f t="shared" si="1"/>
        <v/>
      </c>
      <c r="F86" s="257"/>
      <c r="G86" s="257"/>
      <c r="H86" s="257"/>
      <c r="I86" s="257"/>
      <c r="J86" s="257"/>
      <c r="K86" s="16"/>
      <c r="L86" s="16"/>
      <c r="M86" s="247"/>
      <c r="N86" s="16"/>
      <c r="O86" s="209" t="str">
        <f>IF(AND($E86&lt;&gt;"",$E86&lt;&gt;"A compléter"),
IF(COUNTIF(Listes!A$17:A$30,A86)=0,
VLOOKUP($A86&amp;"/"&amp;$B86,'Références GES'!$E$21:$M$183,3,FALSE),
VLOOKUP($A86&amp;"/"&amp;$D86,'Références GES'!$E$21:$M$183,3,FALSE)),
"")</f>
        <v/>
      </c>
      <c r="P86" s="13" t="str">
        <f>IF(AND($E86&lt;&gt;"",$E86&lt;&gt;"A compléter"),
IF(COUNTIF(Listes!A$17:A$30,A86)=0,
VLOOKUP($A86&amp;"/"&amp;$B86,'Références GES'!$E$21:$M$183,2,FALSE),
VLOOKUP($A86&amp;"/"&amp;$D86,'Références GES'!$E$21:$M$183,2,FALSE)),
"")</f>
        <v/>
      </c>
      <c r="Q86" s="14"/>
      <c r="R86" s="14"/>
      <c r="S86" s="14"/>
      <c r="T86" s="14"/>
      <c r="U86" s="15" t="str">
        <f>IF('0. Installation'!$B$4&lt;DATE(2021,1,1),
"Pas de critère à respecter",
IF(E86&lt;&gt;"",
IF(AND('0. Installation'!$B$4&gt;=DATE(2021,1,1),'0. Installation'!$B$4&lt;DATE(2026,1,1)),IF(MAX(O86,IF(ISNA(S86)=FALSE,S86,0))&gt;=0.7,"Elec. : oui","Elec. : non"),
IF(MAX(O86,IF(ISNA(S86)=FALSE,S86,0))&gt;=0.8,"Elec. : oui","Elec. : non"))
&amp;" / "&amp;
IF(AND('0. Installation'!$B$4&gt;=DATE(2021,1,1),'0. Installation'!$B$4&lt;DATE(2026,1,1)),IF(MAX(P86,IF(ISNA(T86)=FALSE,T86,0))&gt;=0.7,"Chaleur : oui","Chaleur : non"),
IF(MAX(P86,IF(ISNA(T86)=FALSE,T86,0))&gt;=0.8,"Chaleur : oui","Chaleur : non")),
""))</f>
        <v>Pas de critère à respecter</v>
      </c>
      <c r="V86" s="9"/>
      <c r="W86" s="119">
        <f t="shared" si="0"/>
        <v>0</v>
      </c>
    </row>
    <row r="87" spans="1:23" ht="15" customHeight="1">
      <c r="A87" s="21"/>
      <c r="B87" s="21"/>
      <c r="C87" s="14"/>
      <c r="D87" s="21"/>
      <c r="E87" s="275" t="str">
        <f t="shared" si="1"/>
        <v/>
      </c>
      <c r="F87" s="257"/>
      <c r="G87" s="257"/>
      <c r="H87" s="257"/>
      <c r="I87" s="257"/>
      <c r="J87" s="257"/>
      <c r="K87" s="16"/>
      <c r="L87" s="16"/>
      <c r="M87" s="247"/>
      <c r="N87" s="16"/>
      <c r="O87" s="209" t="str">
        <f>IF(AND($E87&lt;&gt;"",$E87&lt;&gt;"A compléter"),
IF(COUNTIF(Listes!A$17:A$30,A87)=0,
VLOOKUP($A87&amp;"/"&amp;$B87,'Références GES'!$E$21:$M$183,3,FALSE),
VLOOKUP($A87&amp;"/"&amp;$D87,'Références GES'!$E$21:$M$183,3,FALSE)),
"")</f>
        <v/>
      </c>
      <c r="P87" s="13" t="str">
        <f>IF(AND($E87&lt;&gt;"",$E87&lt;&gt;"A compléter"),
IF(COUNTIF(Listes!A$17:A$30,A87)=0,
VLOOKUP($A87&amp;"/"&amp;$B87,'Références GES'!$E$21:$M$183,2,FALSE),
VLOOKUP($A87&amp;"/"&amp;$D87,'Références GES'!$E$21:$M$183,2,FALSE)),
"")</f>
        <v/>
      </c>
      <c r="Q87" s="14"/>
      <c r="R87" s="14"/>
      <c r="S87" s="14"/>
      <c r="T87" s="14"/>
      <c r="U87" s="15" t="str">
        <f>IF('0. Installation'!$B$4&lt;DATE(2021,1,1),
"Pas de critère à respecter",
IF(E87&lt;&gt;"",
IF(AND('0. Installation'!$B$4&gt;=DATE(2021,1,1),'0. Installation'!$B$4&lt;DATE(2026,1,1)),IF(MAX(O87,IF(ISNA(S87)=FALSE,S87,0))&gt;=0.7,"Elec. : oui","Elec. : non"),
IF(MAX(O87,IF(ISNA(S87)=FALSE,S87,0))&gt;=0.8,"Elec. : oui","Elec. : non"))
&amp;" / "&amp;
IF(AND('0. Installation'!$B$4&gt;=DATE(2021,1,1),'0. Installation'!$B$4&lt;DATE(2026,1,1)),IF(MAX(P87,IF(ISNA(T87)=FALSE,T87,0))&gt;=0.7,"Chaleur : oui","Chaleur : non"),
IF(MAX(P87,IF(ISNA(T87)=FALSE,T87,0))&gt;=0.8,"Chaleur : oui","Chaleur : non")),
""))</f>
        <v>Pas de critère à respecter</v>
      </c>
      <c r="V87" s="9"/>
      <c r="W87" s="119">
        <f t="shared" si="0"/>
        <v>0</v>
      </c>
    </row>
    <row r="88" spans="1:23" ht="15" customHeight="1">
      <c r="A88" s="21"/>
      <c r="B88" s="21"/>
      <c r="C88" s="14"/>
      <c r="D88" s="21"/>
      <c r="E88" s="275" t="str">
        <f t="shared" si="1"/>
        <v/>
      </c>
      <c r="F88" s="257"/>
      <c r="G88" s="257"/>
      <c r="H88" s="257"/>
      <c r="I88" s="257"/>
      <c r="J88" s="257"/>
      <c r="K88" s="16"/>
      <c r="L88" s="16"/>
      <c r="M88" s="247"/>
      <c r="N88" s="16"/>
      <c r="O88" s="209" t="str">
        <f>IF(AND($E88&lt;&gt;"",$E88&lt;&gt;"A compléter"),
IF(COUNTIF(Listes!A$17:A$30,A88)=0,
VLOOKUP($A88&amp;"/"&amp;$B88,'Références GES'!$E$21:$M$183,3,FALSE),
VLOOKUP($A88&amp;"/"&amp;$D88,'Références GES'!$E$21:$M$183,3,FALSE)),
"")</f>
        <v/>
      </c>
      <c r="P88" s="13" t="str">
        <f>IF(AND($E88&lt;&gt;"",$E88&lt;&gt;"A compléter"),
IF(COUNTIF(Listes!A$17:A$30,A88)=0,
VLOOKUP($A88&amp;"/"&amp;$B88,'Références GES'!$E$21:$M$183,2,FALSE),
VLOOKUP($A88&amp;"/"&amp;$D88,'Références GES'!$E$21:$M$183,2,FALSE)),
"")</f>
        <v/>
      </c>
      <c r="Q88" s="14"/>
      <c r="R88" s="14"/>
      <c r="S88" s="14"/>
      <c r="T88" s="14"/>
      <c r="U88" s="15" t="str">
        <f>IF('0. Installation'!$B$4&lt;DATE(2021,1,1),
"Pas de critère à respecter",
IF(E88&lt;&gt;"",
IF(AND('0. Installation'!$B$4&gt;=DATE(2021,1,1),'0. Installation'!$B$4&lt;DATE(2026,1,1)),IF(MAX(O88,IF(ISNA(S88)=FALSE,S88,0))&gt;=0.7,"Elec. : oui","Elec. : non"),
IF(MAX(O88,IF(ISNA(S88)=FALSE,S88,0))&gt;=0.8,"Elec. : oui","Elec. : non"))
&amp;" / "&amp;
IF(AND('0. Installation'!$B$4&gt;=DATE(2021,1,1),'0. Installation'!$B$4&lt;DATE(2026,1,1)),IF(MAX(P88,IF(ISNA(T88)=FALSE,T88,0))&gt;=0.7,"Chaleur : oui","Chaleur : non"),
IF(MAX(P88,IF(ISNA(T88)=FALSE,T88,0))&gt;=0.8,"Chaleur : oui","Chaleur : non")),
""))</f>
        <v>Pas de critère à respecter</v>
      </c>
      <c r="V88" s="9"/>
      <c r="W88" s="119">
        <f t="shared" si="0"/>
        <v>0</v>
      </c>
    </row>
    <row r="89" spans="1:23" ht="15" customHeight="1">
      <c r="A89" s="21"/>
      <c r="B89" s="21"/>
      <c r="C89" s="14"/>
      <c r="D89" s="21"/>
      <c r="E89" s="275" t="str">
        <f t="shared" si="1"/>
        <v/>
      </c>
      <c r="F89" s="257"/>
      <c r="G89" s="257"/>
      <c r="H89" s="257"/>
      <c r="I89" s="257"/>
      <c r="J89" s="257"/>
      <c r="K89" s="16"/>
      <c r="L89" s="16"/>
      <c r="M89" s="247"/>
      <c r="N89" s="16"/>
      <c r="O89" s="209" t="str">
        <f>IF(AND($E89&lt;&gt;"",$E89&lt;&gt;"A compléter"),
IF(COUNTIF(Listes!A$17:A$30,A89)=0,
VLOOKUP($A89&amp;"/"&amp;$B89,'Références GES'!$E$21:$M$183,3,FALSE),
VLOOKUP($A89&amp;"/"&amp;$D89,'Références GES'!$E$21:$M$183,3,FALSE)),
"")</f>
        <v/>
      </c>
      <c r="P89" s="13" t="str">
        <f>IF(AND($E89&lt;&gt;"",$E89&lt;&gt;"A compléter"),
IF(COUNTIF(Listes!A$17:A$30,A89)=0,
VLOOKUP($A89&amp;"/"&amp;$B89,'Références GES'!$E$21:$M$183,2,FALSE),
VLOOKUP($A89&amp;"/"&amp;$D89,'Références GES'!$E$21:$M$183,2,FALSE)),
"")</f>
        <v/>
      </c>
      <c r="Q89" s="14"/>
      <c r="R89" s="14"/>
      <c r="S89" s="14"/>
      <c r="T89" s="14"/>
      <c r="U89" s="15" t="str">
        <f>IF('0. Installation'!$B$4&lt;DATE(2021,1,1),
"Pas de critère à respecter",
IF(E89&lt;&gt;"",
IF(AND('0. Installation'!$B$4&gt;=DATE(2021,1,1),'0. Installation'!$B$4&lt;DATE(2026,1,1)),IF(MAX(O89,IF(ISNA(S89)=FALSE,S89,0))&gt;=0.7,"Elec. : oui","Elec. : non"),
IF(MAX(O89,IF(ISNA(S89)=FALSE,S89,0))&gt;=0.8,"Elec. : oui","Elec. : non"))
&amp;" / "&amp;
IF(AND('0. Installation'!$B$4&gt;=DATE(2021,1,1),'0. Installation'!$B$4&lt;DATE(2026,1,1)),IF(MAX(P89,IF(ISNA(T89)=FALSE,T89,0))&gt;=0.7,"Chaleur : oui","Chaleur : non"),
IF(MAX(P89,IF(ISNA(T89)=FALSE,T89,0))&gt;=0.8,"Chaleur : oui","Chaleur : non")),
""))</f>
        <v>Pas de critère à respecter</v>
      </c>
      <c r="V89" s="9"/>
      <c r="W89" s="119">
        <f t="shared" si="0"/>
        <v>0</v>
      </c>
    </row>
    <row r="90" spans="1:23" ht="15.75" customHeight="1">
      <c r="A90" s="12"/>
      <c r="B90" s="21"/>
      <c r="C90" s="14"/>
      <c r="D90" s="12"/>
      <c r="E90" s="275" t="str">
        <f t="shared" si="1"/>
        <v/>
      </c>
      <c r="F90" s="257"/>
      <c r="G90" s="257"/>
      <c r="H90" s="257"/>
      <c r="I90" s="257"/>
      <c r="J90" s="257"/>
      <c r="K90" s="16"/>
      <c r="L90" s="16"/>
      <c r="M90" s="247"/>
      <c r="N90" s="16"/>
      <c r="O90" s="209" t="str">
        <f>IF(AND($E90&lt;&gt;"",$E90&lt;&gt;"A compléter"),
IF(COUNTIF(Listes!A$17:A$30,A90)=0,
VLOOKUP($A90&amp;"/"&amp;$B90,'Références GES'!$E$21:$M$183,3,FALSE),
VLOOKUP($A90&amp;"/"&amp;$D90,'Références GES'!$E$21:$M$183,3,FALSE)),
"")</f>
        <v/>
      </c>
      <c r="P90" s="13" t="str">
        <f>IF(AND($E90&lt;&gt;"",$E90&lt;&gt;"A compléter"),
IF(COUNTIF(Listes!A$17:A$30,A90)=0,
VLOOKUP($A90&amp;"/"&amp;$B90,'Références GES'!$E$21:$M$183,2,FALSE),
VLOOKUP($A90&amp;"/"&amp;$D90,'Références GES'!$E$21:$M$183,2,FALSE)),
"")</f>
        <v/>
      </c>
      <c r="Q90" s="14"/>
      <c r="R90" s="14"/>
      <c r="S90" s="14"/>
      <c r="T90" s="14"/>
      <c r="U90" s="15" t="str">
        <f>IF('0. Installation'!$B$4&lt;DATE(2021,1,1),
"Pas de critère à respecter",
IF(E90&lt;&gt;"",
IF(AND('0. Installation'!$B$4&gt;=DATE(2021,1,1),'0. Installation'!$B$4&lt;DATE(2026,1,1)),IF(MAX(O90,IF(ISNA(S90)=FALSE,S90,0))&gt;=0.7,"Elec. : oui","Elec. : non"),
IF(MAX(O90,IF(ISNA(S90)=FALSE,S90,0))&gt;=0.8,"Elec. : oui","Elec. : non"))
&amp;" / "&amp;
IF(AND('0. Installation'!$B$4&gt;=DATE(2021,1,1),'0. Installation'!$B$4&lt;DATE(2026,1,1)),IF(MAX(P90,IF(ISNA(T90)=FALSE,T90,0))&gt;=0.7,"Chaleur : oui","Chaleur : non"),
IF(MAX(P90,IF(ISNA(T90)=FALSE,T90,0))&gt;=0.8,"Chaleur : oui","Chaleur : non")),
""))</f>
        <v>Pas de critère à respecter</v>
      </c>
      <c r="V90" s="9"/>
      <c r="W90" s="119">
        <f t="shared" si="0"/>
        <v>0</v>
      </c>
    </row>
    <row r="91" spans="1:23" ht="15" customHeight="1">
      <c r="A91" s="12"/>
      <c r="B91" s="21"/>
      <c r="C91" s="14"/>
      <c r="D91" s="12"/>
      <c r="E91" s="275" t="str">
        <f t="shared" si="1"/>
        <v/>
      </c>
      <c r="F91" s="257"/>
      <c r="G91" s="257"/>
      <c r="H91" s="257"/>
      <c r="I91" s="257"/>
      <c r="J91" s="257"/>
      <c r="K91" s="16"/>
      <c r="L91" s="16"/>
      <c r="M91" s="247"/>
      <c r="N91" s="16"/>
      <c r="O91" s="209" t="str">
        <f>IF(AND($E91&lt;&gt;"",$E91&lt;&gt;"A compléter"),
IF(COUNTIF(Listes!A$17:A$30,A91)=0,
VLOOKUP($A91&amp;"/"&amp;$B91,'Références GES'!$E$21:$M$183,3,FALSE),
VLOOKUP($A91&amp;"/"&amp;$D91,'Références GES'!$E$21:$M$183,3,FALSE)),
"")</f>
        <v/>
      </c>
      <c r="P91" s="13" t="str">
        <f>IF(AND($E91&lt;&gt;"",$E91&lt;&gt;"A compléter"),
IF(COUNTIF(Listes!A$17:A$30,A91)=0,
VLOOKUP($A91&amp;"/"&amp;$B91,'Références GES'!$E$21:$M$183,2,FALSE),
VLOOKUP($A91&amp;"/"&amp;$D91,'Références GES'!$E$21:$M$183,2,FALSE)),
"")</f>
        <v/>
      </c>
      <c r="Q91" s="14"/>
      <c r="R91" s="14"/>
      <c r="S91" s="14"/>
      <c r="T91" s="14"/>
      <c r="U91" s="15" t="str">
        <f>IF('0. Installation'!$B$4&lt;DATE(2021,1,1),
"Pas de critère à respecter",
IF(E91&lt;&gt;"",
IF(AND('0. Installation'!$B$4&gt;=DATE(2021,1,1),'0. Installation'!$B$4&lt;DATE(2026,1,1)),IF(MAX(O91,IF(ISNA(S91)=FALSE,S91,0))&gt;=0.7,"Elec. : oui","Elec. : non"),
IF(MAX(O91,IF(ISNA(S91)=FALSE,S91,0))&gt;=0.8,"Elec. : oui","Elec. : non"))
&amp;" / "&amp;
IF(AND('0. Installation'!$B$4&gt;=DATE(2021,1,1),'0. Installation'!$B$4&lt;DATE(2026,1,1)),IF(MAX(P91,IF(ISNA(T91)=FALSE,T91,0))&gt;=0.7,"Chaleur : oui","Chaleur : non"),
IF(MAX(P91,IF(ISNA(T91)=FALSE,T91,0))&gt;=0.8,"Chaleur : oui","Chaleur : non")),
""))</f>
        <v>Pas de critère à respecter</v>
      </c>
      <c r="V91" s="9"/>
      <c r="W91" s="119">
        <f t="shared" si="0"/>
        <v>0</v>
      </c>
    </row>
    <row r="92" spans="1:23">
      <c r="A92" s="220" t="s">
        <v>333</v>
      </c>
      <c r="B92" s="220">
        <f>IF('0. Installation'!$B$2="Chaleur/froid seul(e)",
COUNTIFS($A72:$A91,"&lt;&gt;",U72:U91,"&lt;&gt;Pas de critère à respecter",P72:P91,0,T72:T91,0)+COUNTIFS($A72:$A91,"&lt;&gt;",U72:U91,"&lt;&gt;Pas de critère à respecter",P72:P91,NA(),T72:T91,NA())+COUNTIFS($A72:$A91,"&lt;&gt;",U72:U91,"&lt;&gt;Pas de critère à respecter",P72:P91,0,T72:T91,NA()),
IF('0. Installation'!$B$2="Electricité seule",
COUNTIFS($A72:$A91,"&lt;&gt;",U72:U91,"&lt;&gt;Pas de critère à respecter",O72:O91,0,S72:S91,0)+COUNTIFS($A72:$A91,"&lt;&gt;",U72:U91,"&lt;&gt;Pas de critère à respecter",O72:O91,NA(),S72:S91,NA()),
COUNTIFS($A72:$A91,"&lt;&gt;",U72:U91,"&lt;&gt;Pas de critère à respecter",O72:O91,0,P72:P91,0,S72:S91,0,T72:T91,0)+COUNTIFS($A72:$A91,"&lt;&gt;",U72:U91,"&lt;&gt;Pas de critère à respecter",O72:O91,NA(),S72:S91,NA(),P72:P91,NA(),T72:T91,NA())+COUNTIFS($A72:$A91,"&lt;&gt;",U72:U91,"&lt;&gt;Pas de critère à respecter",O72:O91,NA(),S72:S91,0,P72:P91,NA(),T72:T91,0)))</f>
        <v>0</v>
      </c>
      <c r="C92" s="221"/>
      <c r="W92" s="119"/>
    </row>
    <row r="93" spans="1:23" ht="15" thickBot="1">
      <c r="A93" s="102"/>
      <c r="B93" s="276"/>
      <c r="C93" s="221"/>
      <c r="W93" s="119"/>
    </row>
    <row r="94" spans="1:23" ht="45" customHeight="1" thickBot="1">
      <c r="A94" s="314" t="s">
        <v>342</v>
      </c>
      <c r="B94" s="303"/>
      <c r="C94" s="303"/>
      <c r="D94" s="303"/>
      <c r="E94" s="303"/>
      <c r="F94" s="303"/>
      <c r="G94" s="303"/>
      <c r="H94" s="303"/>
      <c r="I94" s="303"/>
      <c r="J94" s="303"/>
      <c r="K94" s="303"/>
      <c r="L94" s="303"/>
      <c r="M94" s="303"/>
      <c r="N94" s="303"/>
      <c r="O94" s="303"/>
      <c r="P94" s="303"/>
      <c r="Q94" s="303"/>
      <c r="R94" s="303"/>
      <c r="S94" s="303"/>
      <c r="T94" s="303"/>
      <c r="U94" s="304"/>
      <c r="W94" s="119"/>
    </row>
    <row r="95" spans="1:23" ht="45" customHeight="1">
      <c r="A95" s="204" t="s">
        <v>67</v>
      </c>
      <c r="B95" s="254"/>
      <c r="C95" s="248" t="s">
        <v>65</v>
      </c>
      <c r="D95" s="7"/>
      <c r="E95" s="252" t="s">
        <v>19</v>
      </c>
      <c r="F95" s="305" t="s">
        <v>328</v>
      </c>
      <c r="G95" s="306"/>
      <c r="H95" s="306"/>
      <c r="I95" s="306"/>
      <c r="J95" s="306"/>
      <c r="K95" s="306"/>
      <c r="L95" s="306"/>
      <c r="M95" s="253" t="s">
        <v>321</v>
      </c>
      <c r="N95" s="253" t="s">
        <v>22</v>
      </c>
      <c r="O95" s="309"/>
      <c r="P95" s="309"/>
      <c r="Q95" s="309"/>
      <c r="R95" s="309"/>
      <c r="S95" s="310" t="s">
        <v>66</v>
      </c>
      <c r="T95" s="311"/>
      <c r="U95" s="248" t="s">
        <v>21</v>
      </c>
      <c r="V95" s="6" t="s">
        <v>23</v>
      </c>
      <c r="W95" s="119"/>
    </row>
    <row r="96" spans="1:23" ht="53.4" customHeight="1">
      <c r="A96" s="203"/>
      <c r="B96" s="8"/>
      <c r="C96" s="8"/>
      <c r="D96" s="8"/>
      <c r="E96" s="8"/>
      <c r="F96" s="8" t="s">
        <v>26</v>
      </c>
      <c r="G96" s="8" t="s">
        <v>27</v>
      </c>
      <c r="H96" s="8" t="s">
        <v>28</v>
      </c>
      <c r="I96" s="8" t="s">
        <v>29</v>
      </c>
      <c r="J96" s="8" t="s">
        <v>30</v>
      </c>
      <c r="K96" s="8" t="s">
        <v>379</v>
      </c>
      <c r="L96" s="8" t="s">
        <v>380</v>
      </c>
      <c r="M96" s="9"/>
      <c r="N96" s="9"/>
      <c r="O96" s="8"/>
      <c r="P96" s="8"/>
      <c r="Q96" s="8"/>
      <c r="R96" s="8"/>
      <c r="S96" s="3" t="s">
        <v>24</v>
      </c>
      <c r="T96" s="3" t="s">
        <v>25</v>
      </c>
      <c r="U96" s="3"/>
      <c r="V96" s="8"/>
      <c r="W96" s="119"/>
    </row>
    <row r="97" spans="1:23" ht="15.6">
      <c r="A97" s="26"/>
      <c r="B97" s="14"/>
      <c r="C97" s="27" t="str">
        <f>IF(ISBLANK(A97)=FALSE,"Lot "&amp;(ROW()-ROW(C$97)+1),"")</f>
        <v/>
      </c>
      <c r="D97" s="14"/>
      <c r="E97" s="275"/>
      <c r="F97" s="257"/>
      <c r="G97" s="257"/>
      <c r="H97" s="257"/>
      <c r="I97" s="257"/>
      <c r="J97" s="257"/>
      <c r="K97" s="16"/>
      <c r="L97" s="16"/>
      <c r="M97" s="247"/>
      <c r="N97" s="16"/>
      <c r="O97" s="14"/>
      <c r="P97" s="14"/>
      <c r="Q97" s="14"/>
      <c r="R97" s="14"/>
      <c r="S97" s="13" t="str">
        <f>IF(A97&lt;&gt;"",
IF(OR($A97="Graisses de station d’épuration",$A97="Déchets IAA liquides (&lt;20% MS)",$A97="Déchets liquides industriels"),
VLOOKUP($C97,'2. Détail calcul GES'!$A$4:$AI$79,32,FALSE),
VLOOKUP($C97,'2. Détail calcul GES'!$A$4:$AI$79,27,FALSE)),
"")</f>
        <v/>
      </c>
      <c r="T97" s="13" t="str">
        <f>IF(A97&lt;&gt;"",
IF(OR($A97="Graisses de station d’épuration",$A97="Déchets IAA liquides (&lt;20% MS)",$A97="Déchets liquides industriels"),
VLOOKUP($C97,'2. Détail calcul GES'!$A$4:$AI$79,34,FALSE),
VLOOKUP($C97,'2. Détail calcul GES'!$A$4:$AI$79,29,FALSE)),
"")</f>
        <v/>
      </c>
      <c r="U97" s="15" t="str">
        <f>IF(OR('0. Installation'!$B$4&lt;DATE(2021,1,1),A97="Déchets ménager et assimilés"),
"Pas de critère à respecter",
IF(E97&lt;&gt;"",
IF(AND('0. Installation'!$B$4&gt;=DATE(2021,1,1),'0. Installation'!$B$4&lt;DATE(2026,1,1)),IF(S97&gt;=0.7,"Elec. : oui","Elec. : non"),
IF(S97&gt;=0.8,"Elec. : oui","Elec. : non"))
&amp;" / "&amp;
IF(AND('0. Installation'!$B$4&gt;=DATE(2021,1,1),'0. Installation'!$B$4&lt;DATE(2026,1,1)),IF(T97&gt;=0.7,"Chaleur : oui","Chaleur : non"),
IF(T97&gt;=0.8,"Chaleur. : oui","Chaleur : non")),
""))</f>
        <v>Pas de critère à respecter</v>
      </c>
      <c r="V97" s="9"/>
      <c r="W97" s="119">
        <f>A97</f>
        <v>0</v>
      </c>
    </row>
    <row r="98" spans="1:23" ht="15.6">
      <c r="A98" s="26"/>
      <c r="B98" s="14"/>
      <c r="C98" s="27" t="str">
        <f t="shared" ref="C98:C126" si="2">IF(ISBLANK(A98)=FALSE,"Lot "&amp;(ROW()-ROW(C$97)+1),"")</f>
        <v/>
      </c>
      <c r="D98" s="14"/>
      <c r="E98" s="275"/>
      <c r="F98" s="257"/>
      <c r="G98" s="257"/>
      <c r="H98" s="257"/>
      <c r="I98" s="257"/>
      <c r="J98" s="257"/>
      <c r="K98" s="16"/>
      <c r="L98" s="16"/>
      <c r="M98" s="247"/>
      <c r="N98" s="16"/>
      <c r="O98" s="14"/>
      <c r="P98" s="14"/>
      <c r="Q98" s="14"/>
      <c r="R98" s="14"/>
      <c r="S98" s="13" t="str">
        <f>IF(A98&lt;&gt;"",
IF(OR($A98="Graisses de station d’épuration",$A98="Déchets IAA liquides (&lt;20% MS)",$A98="Déchets liquides industriels"),
VLOOKUP($C98,'2. Détail calcul GES'!$A$4:$AI$79,32,FALSE),
VLOOKUP($C98,'2. Détail calcul GES'!$A$4:$AI$79,27,FALSE)),
"")</f>
        <v/>
      </c>
      <c r="T98" s="13" t="str">
        <f>IF(A98&lt;&gt;"",
IF(OR($A98="Graisses de station d’épuration",$A98="Déchets IAA liquides (&lt;20% MS)",$A98="Déchets liquides industriels"),
VLOOKUP($C98,'2. Détail calcul GES'!$A$4:$AI$79,34,FALSE),
VLOOKUP($C98,'2. Détail calcul GES'!$A$4:$AI$79,29,FALSE)),
"")</f>
        <v/>
      </c>
      <c r="U98" s="15" t="str">
        <f>IF(OR('0. Installation'!$B$4&lt;DATE(2021,1,1),A98="Déchets ménager et assimilés"),
"Pas de critère à respecter",
IF(E98&lt;&gt;"",
IF(AND('0. Installation'!$B$4&gt;=DATE(2021,1,1),'0. Installation'!$B$4&lt;DATE(2026,1,1)),IF(S98&gt;=0.7,"Elec. : oui","Elec. : non"),
IF(S98&gt;=0.8,"Elec. : oui","Elec. : non"))
&amp;" / "&amp;
IF(AND('0. Installation'!$B$4&gt;=DATE(2021,1,1),'0. Installation'!$B$4&lt;DATE(2026,1,1)),IF(T98&gt;=0.7,"Chaleur : oui","Chaleur : non"),
IF(T98&gt;=0.8,"Chaleur. : oui","Chaleur : non")),
""))</f>
        <v>Pas de critère à respecter</v>
      </c>
      <c r="V98" s="9"/>
      <c r="W98" s="119">
        <f t="shared" ref="W98:W161" si="3">A98</f>
        <v>0</v>
      </c>
    </row>
    <row r="99" spans="1:23" ht="15.6">
      <c r="A99" s="26"/>
      <c r="B99" s="14"/>
      <c r="C99" s="27" t="str">
        <f t="shared" si="2"/>
        <v/>
      </c>
      <c r="D99" s="14"/>
      <c r="E99" s="275"/>
      <c r="F99" s="257"/>
      <c r="G99" s="257"/>
      <c r="H99" s="257"/>
      <c r="I99" s="257"/>
      <c r="J99" s="257"/>
      <c r="K99" s="16"/>
      <c r="L99" s="16"/>
      <c r="M99" s="247"/>
      <c r="N99" s="16"/>
      <c r="O99" s="14"/>
      <c r="P99" s="14"/>
      <c r="Q99" s="14"/>
      <c r="R99" s="14"/>
      <c r="S99" s="13" t="str">
        <f>IF(A99&lt;&gt;"",
IF(OR($A99="Graisses de station d’épuration",$A99="Déchets IAA liquides (&lt;20% MS)",$A99="Déchets liquides industriels"),
VLOOKUP($C99,'2. Détail calcul GES'!$A$4:$AI$79,32,FALSE),
VLOOKUP($C99,'2. Détail calcul GES'!$A$4:$AI$79,27,FALSE)),
"")</f>
        <v/>
      </c>
      <c r="T99" s="13" t="str">
        <f>IF(A99&lt;&gt;"",
IF(OR($A99="Graisses de station d’épuration",$A99="Déchets IAA liquides (&lt;20% MS)",$A99="Déchets liquides industriels"),
VLOOKUP($C99,'2. Détail calcul GES'!$A$4:$AI$79,34,FALSE),
VLOOKUP($C99,'2. Détail calcul GES'!$A$4:$AI$79,29,FALSE)),
"")</f>
        <v/>
      </c>
      <c r="U99" s="15" t="str">
        <f>IF(OR('0. Installation'!$B$4&lt;DATE(2021,1,1),A99="Déchets ménager et assimilés"),
"Pas de critère à respecter",
IF(E99&lt;&gt;"",
IF(AND('0. Installation'!$B$4&gt;=DATE(2021,1,1),'0. Installation'!$B$4&lt;DATE(2026,1,1)),IF(S99&gt;=0.7,"Elec. : oui","Elec. : non"),
IF(S99&gt;=0.8,"Elec. : oui","Elec. : non"))
&amp;" / "&amp;
IF(AND('0. Installation'!$B$4&gt;=DATE(2021,1,1),'0. Installation'!$B$4&lt;DATE(2026,1,1)),IF(T99&gt;=0.7,"Chaleur : oui","Chaleur : non"),
IF(T99&gt;=0.8,"Chaleur. : oui","Chaleur : non")),
""))</f>
        <v>Pas de critère à respecter</v>
      </c>
      <c r="V99" s="9"/>
      <c r="W99" s="119">
        <f t="shared" si="3"/>
        <v>0</v>
      </c>
    </row>
    <row r="100" spans="1:23" ht="15.6">
      <c r="A100" s="26"/>
      <c r="B100" s="14"/>
      <c r="C100" s="27" t="str">
        <f t="shared" si="2"/>
        <v/>
      </c>
      <c r="D100" s="14"/>
      <c r="E100" s="275"/>
      <c r="F100" s="257"/>
      <c r="G100" s="257"/>
      <c r="H100" s="257"/>
      <c r="I100" s="257"/>
      <c r="J100" s="257"/>
      <c r="K100" s="16"/>
      <c r="L100" s="16"/>
      <c r="M100" s="247"/>
      <c r="N100" s="16"/>
      <c r="O100" s="14"/>
      <c r="P100" s="14"/>
      <c r="Q100" s="14"/>
      <c r="R100" s="14"/>
      <c r="S100" s="13" t="str">
        <f>IF(A100&lt;&gt;"",
IF(OR($A100="Graisses de station d’épuration",$A100="Déchets IAA liquides (&lt;20% MS)",$A100="Déchets liquides industriels"),
VLOOKUP($C100,'2. Détail calcul GES'!$A$4:$AI$79,32,FALSE),
VLOOKUP($C100,'2. Détail calcul GES'!$A$4:$AI$79,27,FALSE)),
"")</f>
        <v/>
      </c>
      <c r="T100" s="13" t="str">
        <f>IF(A100&lt;&gt;"",
IF(OR($A100="Graisses de station d’épuration",$A100="Déchets IAA liquides (&lt;20% MS)",$A100="Déchets liquides industriels"),
VLOOKUP($C100,'2. Détail calcul GES'!$A$4:$AI$79,34,FALSE),
VLOOKUP($C100,'2. Détail calcul GES'!$A$4:$AI$79,29,FALSE)),
"")</f>
        <v/>
      </c>
      <c r="U100" s="15" t="str">
        <f>IF(OR('0. Installation'!$B$4&lt;DATE(2021,1,1),A100="Déchets ménager et assimilés"),
"Pas de critère à respecter",
IF(E100&lt;&gt;"",
IF(AND('0. Installation'!$B$4&gt;=DATE(2021,1,1),'0. Installation'!$B$4&lt;DATE(2026,1,1)),IF(S100&gt;=0.7,"Elec. : oui","Elec. : non"),
IF(S100&gt;=0.8,"Elec. : oui","Elec. : non"))
&amp;" / "&amp;
IF(AND('0. Installation'!$B$4&gt;=DATE(2021,1,1),'0. Installation'!$B$4&lt;DATE(2026,1,1)),IF(T100&gt;=0.7,"Chaleur : oui","Chaleur : non"),
IF(T100&gt;=0.8,"Chaleur. : oui","Chaleur : non")),
""))</f>
        <v>Pas de critère à respecter</v>
      </c>
      <c r="V100" s="9"/>
      <c r="W100" s="119">
        <f t="shared" si="3"/>
        <v>0</v>
      </c>
    </row>
    <row r="101" spans="1:23" ht="15.6">
      <c r="A101" s="26"/>
      <c r="B101" s="14"/>
      <c r="C101" s="27" t="str">
        <f t="shared" si="2"/>
        <v/>
      </c>
      <c r="D101" s="14"/>
      <c r="E101" s="275" t="str">
        <f t="shared" ref="E101:E126" si="4">IF(A101&lt;&gt;"","A compléter","")</f>
        <v/>
      </c>
      <c r="F101" s="257"/>
      <c r="G101" s="257"/>
      <c r="H101" s="257"/>
      <c r="I101" s="257"/>
      <c r="J101" s="257"/>
      <c r="K101" s="16"/>
      <c r="L101" s="16"/>
      <c r="M101" s="247"/>
      <c r="N101" s="16"/>
      <c r="O101" s="14"/>
      <c r="P101" s="14"/>
      <c r="Q101" s="14"/>
      <c r="R101" s="14"/>
      <c r="S101" s="13" t="str">
        <f>IF(A101&lt;&gt;"",
IF(OR($A101="Graisses de station d’épuration",$A101="Déchets IAA liquides (&lt;20% MS)",$A101="Déchets liquides industriels"),
VLOOKUP($C101,'2. Détail calcul GES'!$A$4:$AI$79,32,FALSE),
VLOOKUP($C101,'2. Détail calcul GES'!$A$4:$AI$79,27,FALSE)),
"")</f>
        <v/>
      </c>
      <c r="T101" s="13" t="str">
        <f>IF(A101&lt;&gt;"",
IF(OR($A101="Graisses de station d’épuration",$A101="Déchets IAA liquides (&lt;20% MS)",$A101="Déchets liquides industriels"),
VLOOKUP($C101,'2. Détail calcul GES'!$A$4:$AI$79,34,FALSE),
VLOOKUP($C101,'2. Détail calcul GES'!$A$4:$AI$79,29,FALSE)),
"")</f>
        <v/>
      </c>
      <c r="U101" s="15" t="str">
        <f>IF(OR('0. Installation'!$B$4&lt;DATE(2021,1,1),A101="Déchets ménager et assimilés"),
"Pas de critère à respecter",
IF(E101&lt;&gt;"",
IF(AND('0. Installation'!$B$4&gt;=DATE(2021,1,1),'0. Installation'!$B$4&lt;DATE(2026,1,1)),IF(S101&gt;=0.7,"Elec. : oui","Elec. : non"),
IF(S101&gt;=0.8,"Elec. : oui","Elec. : non"))
&amp;" / "&amp;
IF(AND('0. Installation'!$B$4&gt;=DATE(2021,1,1),'0. Installation'!$B$4&lt;DATE(2026,1,1)),IF(T101&gt;=0.7,"Chaleur : oui","Chaleur : non"),
IF(T101&gt;=0.8,"Chaleur. : oui","Chaleur : non")),
""))</f>
        <v>Pas de critère à respecter</v>
      </c>
      <c r="V101" s="9"/>
      <c r="W101" s="119">
        <f t="shared" si="3"/>
        <v>0</v>
      </c>
    </row>
    <row r="102" spans="1:23" ht="15.6">
      <c r="A102" s="26"/>
      <c r="B102" s="14"/>
      <c r="C102" s="27" t="str">
        <f t="shared" si="2"/>
        <v/>
      </c>
      <c r="D102" s="14"/>
      <c r="E102" s="275" t="str">
        <f t="shared" si="4"/>
        <v/>
      </c>
      <c r="F102" s="257"/>
      <c r="G102" s="257"/>
      <c r="H102" s="257"/>
      <c r="I102" s="257"/>
      <c r="J102" s="257"/>
      <c r="K102" s="16"/>
      <c r="L102" s="16"/>
      <c r="M102" s="247"/>
      <c r="N102" s="16"/>
      <c r="O102" s="14"/>
      <c r="P102" s="14"/>
      <c r="Q102" s="14"/>
      <c r="R102" s="14"/>
      <c r="S102" s="13" t="str">
        <f>IF(A102&lt;&gt;"",
IF(OR($A102="Graisses de station d’épuration",$A102="Déchets IAA liquides (&lt;20% MS)",$A102="Déchets liquides industriels"),
VLOOKUP($C102,'2. Détail calcul GES'!$A$4:$AI$79,32,FALSE),
VLOOKUP($C102,'2. Détail calcul GES'!$A$4:$AI$79,27,FALSE)),
"")</f>
        <v/>
      </c>
      <c r="T102" s="13" t="str">
        <f>IF(A102&lt;&gt;"",
IF(OR($A102="Graisses de station d’épuration",$A102="Déchets IAA liquides (&lt;20% MS)",$A102="Déchets liquides industriels"),
VLOOKUP($C102,'2. Détail calcul GES'!$A$4:$AI$79,34,FALSE),
VLOOKUP($C102,'2. Détail calcul GES'!$A$4:$AI$79,29,FALSE)),
"")</f>
        <v/>
      </c>
      <c r="U102" s="15" t="str">
        <f>IF(OR('0. Installation'!$B$4&lt;DATE(2021,1,1),A102="Déchets ménager et assimilés"),
"Pas de critère à respecter",
IF(E102&lt;&gt;"",
IF(AND('0. Installation'!$B$4&gt;=DATE(2021,1,1),'0. Installation'!$B$4&lt;DATE(2026,1,1)),IF(S102&gt;=0.7,"Elec. : oui","Elec. : non"),
IF(S102&gt;=0.8,"Elec. : oui","Elec. : non"))
&amp;" / "&amp;
IF(AND('0. Installation'!$B$4&gt;=DATE(2021,1,1),'0. Installation'!$B$4&lt;DATE(2026,1,1)),IF(T102&gt;=0.7,"Chaleur : oui","Chaleur : non"),
IF(T102&gt;=0.8,"Chaleur. : oui","Chaleur : non")),
""))</f>
        <v>Pas de critère à respecter</v>
      </c>
      <c r="V102" s="9"/>
      <c r="W102" s="119">
        <f t="shared" si="3"/>
        <v>0</v>
      </c>
    </row>
    <row r="103" spans="1:23" ht="15.6">
      <c r="A103" s="26"/>
      <c r="B103" s="14"/>
      <c r="C103" s="27" t="str">
        <f t="shared" si="2"/>
        <v/>
      </c>
      <c r="D103" s="14"/>
      <c r="E103" s="275" t="str">
        <f t="shared" si="4"/>
        <v/>
      </c>
      <c r="F103" s="257"/>
      <c r="G103" s="257"/>
      <c r="H103" s="257"/>
      <c r="I103" s="257"/>
      <c r="J103" s="257"/>
      <c r="K103" s="16"/>
      <c r="L103" s="16"/>
      <c r="M103" s="247"/>
      <c r="N103" s="16"/>
      <c r="O103" s="14"/>
      <c r="P103" s="14"/>
      <c r="Q103" s="14"/>
      <c r="R103" s="14"/>
      <c r="S103" s="13" t="str">
        <f>IF(A103&lt;&gt;"",
IF(OR($A103="Graisses de station d’épuration",$A103="Déchets IAA liquides (&lt;20% MS)",$A103="Déchets liquides industriels"),
VLOOKUP($C103,'2. Détail calcul GES'!$A$4:$AI$79,32,FALSE),
VLOOKUP($C103,'2. Détail calcul GES'!$A$4:$AI$79,27,FALSE)),
"")</f>
        <v/>
      </c>
      <c r="T103" s="13" t="str">
        <f>IF(A103&lt;&gt;"",
IF(OR($A103="Graisses de station d’épuration",$A103="Déchets IAA liquides (&lt;20% MS)",$A103="Déchets liquides industriels"),
VLOOKUP($C103,'2. Détail calcul GES'!$A$4:$AI$79,34,FALSE),
VLOOKUP($C103,'2. Détail calcul GES'!$A$4:$AI$79,29,FALSE)),
"")</f>
        <v/>
      </c>
      <c r="U103" s="15" t="str">
        <f>IF(OR('0. Installation'!$B$4&lt;DATE(2021,1,1),A103="Déchets ménager et assimilés"),
"Pas de critère à respecter",
IF(E103&lt;&gt;"",
IF(AND('0. Installation'!$B$4&gt;=DATE(2021,1,1),'0. Installation'!$B$4&lt;DATE(2026,1,1)),IF(S103&gt;=0.7,"Elec. : oui","Elec. : non"),
IF(S103&gt;=0.8,"Elec. : oui","Elec. : non"))
&amp;" / "&amp;
IF(AND('0. Installation'!$B$4&gt;=DATE(2021,1,1),'0. Installation'!$B$4&lt;DATE(2026,1,1)),IF(T103&gt;=0.7,"Chaleur : oui","Chaleur : non"),
IF(T103&gt;=0.8,"Chaleur. : oui","Chaleur : non")),
""))</f>
        <v>Pas de critère à respecter</v>
      </c>
      <c r="V103" s="9"/>
      <c r="W103" s="119">
        <f>A103</f>
        <v>0</v>
      </c>
    </row>
    <row r="104" spans="1:23" ht="15.6">
      <c r="A104" s="26"/>
      <c r="B104" s="14"/>
      <c r="C104" s="27" t="str">
        <f t="shared" si="2"/>
        <v/>
      </c>
      <c r="D104" s="14"/>
      <c r="E104" s="275" t="str">
        <f t="shared" si="4"/>
        <v/>
      </c>
      <c r="F104" s="257"/>
      <c r="G104" s="257"/>
      <c r="H104" s="257"/>
      <c r="I104" s="257"/>
      <c r="J104" s="257"/>
      <c r="K104" s="16"/>
      <c r="L104" s="16"/>
      <c r="M104" s="247"/>
      <c r="N104" s="16"/>
      <c r="O104" s="14"/>
      <c r="P104" s="14"/>
      <c r="Q104" s="14"/>
      <c r="R104" s="14"/>
      <c r="S104" s="13" t="str">
        <f>IF(A104&lt;&gt;"",
IF(OR($A104="Graisses de station d’épuration",$A104="Déchets IAA liquides (&lt;20% MS)",$A104="Déchets liquides industriels"),
VLOOKUP($C104,'2. Détail calcul GES'!$A$4:$AI$79,32,FALSE),
VLOOKUP($C104,'2. Détail calcul GES'!$A$4:$AI$79,27,FALSE)),
"")</f>
        <v/>
      </c>
      <c r="T104" s="13" t="str">
        <f>IF(A104&lt;&gt;"",
IF(OR($A104="Graisses de station d’épuration",$A104="Déchets IAA liquides (&lt;20% MS)",$A104="Déchets liquides industriels"),
VLOOKUP($C104,'2. Détail calcul GES'!$A$4:$AI$79,34,FALSE),
VLOOKUP($C104,'2. Détail calcul GES'!$A$4:$AI$79,29,FALSE)),
"")</f>
        <v/>
      </c>
      <c r="U104" s="15" t="str">
        <f>IF(OR('0. Installation'!$B$4&lt;DATE(2021,1,1),A104="Déchets ménager et assimilés"),
"Pas de critère à respecter",
IF(E104&lt;&gt;"",
IF(AND('0. Installation'!$B$4&gt;=DATE(2021,1,1),'0. Installation'!$B$4&lt;DATE(2026,1,1)),IF(S104&gt;=0.7,"Elec. : oui","Elec. : non"),
IF(S104&gt;=0.8,"Elec. : oui","Elec. : non"))
&amp;" / "&amp;
IF(AND('0. Installation'!$B$4&gt;=DATE(2021,1,1),'0. Installation'!$B$4&lt;DATE(2026,1,1)),IF(T104&gt;=0.7,"Chaleur : oui","Chaleur : non"),
IF(T104&gt;=0.8,"Chaleur. : oui","Chaleur : non")),
""))</f>
        <v>Pas de critère à respecter</v>
      </c>
      <c r="V104" s="9"/>
      <c r="W104" s="119">
        <f t="shared" si="3"/>
        <v>0</v>
      </c>
    </row>
    <row r="105" spans="1:23" ht="15.6">
      <c r="A105" s="26"/>
      <c r="B105" s="14"/>
      <c r="C105" s="27" t="str">
        <f t="shared" si="2"/>
        <v/>
      </c>
      <c r="D105" s="14"/>
      <c r="E105" s="275" t="str">
        <f t="shared" si="4"/>
        <v/>
      </c>
      <c r="F105" s="257"/>
      <c r="G105" s="257"/>
      <c r="H105" s="257"/>
      <c r="I105" s="257"/>
      <c r="J105" s="257"/>
      <c r="K105" s="16"/>
      <c r="L105" s="16"/>
      <c r="M105" s="247"/>
      <c r="N105" s="16"/>
      <c r="O105" s="14"/>
      <c r="P105" s="14"/>
      <c r="Q105" s="14"/>
      <c r="R105" s="14"/>
      <c r="S105" s="13" t="str">
        <f>IF(A105&lt;&gt;"",
IF(OR($A105="Graisses de station d’épuration",$A105="Déchets IAA liquides (&lt;20% MS)",$A105="Déchets liquides industriels"),
VLOOKUP($C105,'2. Détail calcul GES'!$A$4:$AI$79,32,FALSE),
VLOOKUP($C105,'2. Détail calcul GES'!$A$4:$AI$79,27,FALSE)),
"")</f>
        <v/>
      </c>
      <c r="T105" s="13" t="str">
        <f>IF(A105&lt;&gt;"",
IF(OR($A105="Graisses de station d’épuration",$A105="Déchets IAA liquides (&lt;20% MS)",$A105="Déchets liquides industriels"),
VLOOKUP($C105,'2. Détail calcul GES'!$A$4:$AI$79,34,FALSE),
VLOOKUP($C105,'2. Détail calcul GES'!$A$4:$AI$79,29,FALSE)),
"")</f>
        <v/>
      </c>
      <c r="U105" s="15" t="str">
        <f>IF(OR('0. Installation'!$B$4&lt;DATE(2021,1,1),A105="Déchets ménager et assimilés"),
"Pas de critère à respecter",
IF(E105&lt;&gt;"",
IF(AND('0. Installation'!$B$4&gt;=DATE(2021,1,1),'0. Installation'!$B$4&lt;DATE(2026,1,1)),IF(S105&gt;=0.7,"Elec. : oui","Elec. : non"),
IF(S105&gt;=0.8,"Elec. : oui","Elec. : non"))
&amp;" / "&amp;
IF(AND('0. Installation'!$B$4&gt;=DATE(2021,1,1),'0. Installation'!$B$4&lt;DATE(2026,1,1)),IF(T105&gt;=0.7,"Chaleur : oui","Chaleur : non"),
IF(T105&gt;=0.8,"Chaleur. : oui","Chaleur : non")),
""))</f>
        <v>Pas de critère à respecter</v>
      </c>
      <c r="V105" s="9"/>
      <c r="W105" s="119">
        <f t="shared" si="3"/>
        <v>0</v>
      </c>
    </row>
    <row r="106" spans="1:23" ht="15.6">
      <c r="A106" s="26"/>
      <c r="B106" s="14"/>
      <c r="C106" s="27" t="str">
        <f t="shared" si="2"/>
        <v/>
      </c>
      <c r="D106" s="14"/>
      <c r="E106" s="275" t="str">
        <f t="shared" si="4"/>
        <v/>
      </c>
      <c r="F106" s="257"/>
      <c r="G106" s="257"/>
      <c r="H106" s="257"/>
      <c r="I106" s="257"/>
      <c r="J106" s="257"/>
      <c r="K106" s="16"/>
      <c r="L106" s="16"/>
      <c r="M106" s="247"/>
      <c r="N106" s="16"/>
      <c r="O106" s="14"/>
      <c r="P106" s="14"/>
      <c r="Q106" s="14"/>
      <c r="R106" s="14"/>
      <c r="S106" s="13" t="str">
        <f>IF(A106&lt;&gt;"",
IF(OR($A106="Graisses de station d’épuration",$A106="Déchets IAA liquides (&lt;20% MS)",$A106="Déchets liquides industriels"),
VLOOKUP($C106,'2. Détail calcul GES'!$A$4:$AI$79,32,FALSE),
VLOOKUP($C106,'2. Détail calcul GES'!$A$4:$AI$79,27,FALSE)),
"")</f>
        <v/>
      </c>
      <c r="T106" s="13" t="str">
        <f>IF(A106&lt;&gt;"",
IF(OR($A106="Graisses de station d’épuration",$A106="Déchets IAA liquides (&lt;20% MS)",$A106="Déchets liquides industriels"),
VLOOKUP($C106,'2. Détail calcul GES'!$A$4:$AI$79,34,FALSE),
VLOOKUP($C106,'2. Détail calcul GES'!$A$4:$AI$79,29,FALSE)),
"")</f>
        <v/>
      </c>
      <c r="U106" s="15" t="str">
        <f>IF(OR('0. Installation'!$B$4&lt;DATE(2021,1,1),A106="Déchets ménager et assimilés"),
"Pas de critère à respecter",
IF(E106&lt;&gt;"",
IF(AND('0. Installation'!$B$4&gt;=DATE(2021,1,1),'0. Installation'!$B$4&lt;DATE(2026,1,1)),IF(S106&gt;=0.7,"Elec. : oui","Elec. : non"),
IF(S106&gt;=0.8,"Elec. : oui","Elec. : non"))
&amp;" / "&amp;
IF(AND('0. Installation'!$B$4&gt;=DATE(2021,1,1),'0. Installation'!$B$4&lt;DATE(2026,1,1)),IF(T106&gt;=0.7,"Chaleur : oui","Chaleur : non"),
IF(T106&gt;=0.8,"Chaleur. : oui","Chaleur : non")),
""))</f>
        <v>Pas de critère à respecter</v>
      </c>
      <c r="V106" s="9"/>
      <c r="W106" s="119">
        <f t="shared" si="3"/>
        <v>0</v>
      </c>
    </row>
    <row r="107" spans="1:23" ht="15.6">
      <c r="A107" s="26"/>
      <c r="B107" s="14"/>
      <c r="C107" s="27" t="str">
        <f t="shared" si="2"/>
        <v/>
      </c>
      <c r="D107" s="14"/>
      <c r="E107" s="275" t="str">
        <f t="shared" si="4"/>
        <v/>
      </c>
      <c r="F107" s="257"/>
      <c r="G107" s="257"/>
      <c r="H107" s="257"/>
      <c r="I107" s="257"/>
      <c r="J107" s="257"/>
      <c r="K107" s="16"/>
      <c r="L107" s="16"/>
      <c r="M107" s="247"/>
      <c r="N107" s="16"/>
      <c r="O107" s="14"/>
      <c r="P107" s="14"/>
      <c r="Q107" s="14"/>
      <c r="R107" s="14"/>
      <c r="S107" s="13" t="str">
        <f>IF(A107&lt;&gt;"",
IF(OR($A107="Graisses de station d’épuration",$A107="Déchets IAA liquides (&lt;20% MS)",$A107="Déchets liquides industriels"),
VLOOKUP($C107,'2. Détail calcul GES'!$A$4:$AI$79,32,FALSE),
VLOOKUP($C107,'2. Détail calcul GES'!$A$4:$AI$79,27,FALSE)),
"")</f>
        <v/>
      </c>
      <c r="T107" s="13" t="str">
        <f>IF(A107&lt;&gt;"",
IF(OR($A107="Graisses de station d’épuration",$A107="Déchets IAA liquides (&lt;20% MS)",$A107="Déchets liquides industriels"),
VLOOKUP($C107,'2. Détail calcul GES'!$A$4:$AI$79,34,FALSE),
VLOOKUP($C107,'2. Détail calcul GES'!$A$4:$AI$79,29,FALSE)),
"")</f>
        <v/>
      </c>
      <c r="U107" s="15" t="str">
        <f>IF(OR('0. Installation'!$B$4&lt;DATE(2021,1,1),A107="Déchets ménager et assimilés"),
"Pas de critère à respecter",
IF(E107&lt;&gt;"",
IF(AND('0. Installation'!$B$4&gt;=DATE(2021,1,1),'0. Installation'!$B$4&lt;DATE(2026,1,1)),IF(S107&gt;=0.7,"Elec. : oui","Elec. : non"),
IF(S107&gt;=0.8,"Elec. : oui","Elec. : non"))
&amp;" / "&amp;
IF(AND('0. Installation'!$B$4&gt;=DATE(2021,1,1),'0. Installation'!$B$4&lt;DATE(2026,1,1)),IF(T107&gt;=0.7,"Chaleur : oui","Chaleur : non"),
IF(T107&gt;=0.8,"Chaleur. : oui","Chaleur : non")),
""))</f>
        <v>Pas de critère à respecter</v>
      </c>
      <c r="V107" s="9"/>
      <c r="W107" s="119">
        <f t="shared" si="3"/>
        <v>0</v>
      </c>
    </row>
    <row r="108" spans="1:23" ht="15.6">
      <c r="A108" s="26"/>
      <c r="B108" s="14"/>
      <c r="C108" s="27" t="str">
        <f t="shared" si="2"/>
        <v/>
      </c>
      <c r="D108" s="14"/>
      <c r="E108" s="275" t="str">
        <f t="shared" si="4"/>
        <v/>
      </c>
      <c r="F108" s="257"/>
      <c r="G108" s="257"/>
      <c r="H108" s="257"/>
      <c r="I108" s="257"/>
      <c r="J108" s="257"/>
      <c r="K108" s="16"/>
      <c r="L108" s="16"/>
      <c r="M108" s="247"/>
      <c r="N108" s="16"/>
      <c r="O108" s="14"/>
      <c r="P108" s="14"/>
      <c r="Q108" s="14"/>
      <c r="R108" s="14"/>
      <c r="S108" s="13" t="str">
        <f>IF(A108&lt;&gt;"",
IF(OR($A108="Graisses de station d’épuration",$A108="Déchets IAA liquides (&lt;20% MS)",$A108="Déchets liquides industriels"),
VLOOKUP($C108,'2. Détail calcul GES'!$A$4:$AI$79,32,FALSE),
VLOOKUP($C108,'2. Détail calcul GES'!$A$4:$AI$79,27,FALSE)),
"")</f>
        <v/>
      </c>
      <c r="T108" s="13" t="str">
        <f>IF(A108&lt;&gt;"",
IF(OR($A108="Graisses de station d’épuration",$A108="Déchets IAA liquides (&lt;20% MS)",$A108="Déchets liquides industriels"),
VLOOKUP($C108,'2. Détail calcul GES'!$A$4:$AI$79,34,FALSE),
VLOOKUP($C108,'2. Détail calcul GES'!$A$4:$AI$79,29,FALSE)),
"")</f>
        <v/>
      </c>
      <c r="U108" s="15" t="str">
        <f>IF(OR('0. Installation'!$B$4&lt;DATE(2021,1,1),A108="Déchets ménager et assimilés"),
"Pas de critère à respecter",
IF(E108&lt;&gt;"",
IF(AND('0. Installation'!$B$4&gt;=DATE(2021,1,1),'0. Installation'!$B$4&lt;DATE(2026,1,1)),IF(S108&gt;=0.7,"Elec. : oui","Elec. : non"),
IF(S108&gt;=0.8,"Elec. : oui","Elec. : non"))
&amp;" / "&amp;
IF(AND('0. Installation'!$B$4&gt;=DATE(2021,1,1),'0. Installation'!$B$4&lt;DATE(2026,1,1)),IF(T108&gt;=0.7,"Chaleur : oui","Chaleur : non"),
IF(T108&gt;=0.8,"Chaleur. : oui","Chaleur : non")),
""))</f>
        <v>Pas de critère à respecter</v>
      </c>
      <c r="V108" s="9"/>
      <c r="W108" s="119">
        <f t="shared" si="3"/>
        <v>0</v>
      </c>
    </row>
    <row r="109" spans="1:23" ht="15.6">
      <c r="A109" s="26"/>
      <c r="B109" s="14"/>
      <c r="C109" s="27" t="str">
        <f t="shared" si="2"/>
        <v/>
      </c>
      <c r="D109" s="14"/>
      <c r="E109" s="275" t="str">
        <f t="shared" si="4"/>
        <v/>
      </c>
      <c r="F109" s="257"/>
      <c r="G109" s="257"/>
      <c r="H109" s="257"/>
      <c r="I109" s="257"/>
      <c r="J109" s="257"/>
      <c r="K109" s="16"/>
      <c r="L109" s="16"/>
      <c r="M109" s="247"/>
      <c r="N109" s="16"/>
      <c r="O109" s="14"/>
      <c r="P109" s="14"/>
      <c r="Q109" s="14"/>
      <c r="R109" s="14"/>
      <c r="S109" s="13" t="str">
        <f>IF(A109&lt;&gt;"",
IF(OR($A109="Graisses de station d’épuration",$A109="Déchets IAA liquides (&lt;20% MS)",$A109="Déchets liquides industriels"),
VLOOKUP($C109,'2. Détail calcul GES'!$A$4:$AI$79,32,FALSE),
VLOOKUP($C109,'2. Détail calcul GES'!$A$4:$AI$79,27,FALSE)),
"")</f>
        <v/>
      </c>
      <c r="T109" s="13" t="str">
        <f>IF(A109&lt;&gt;"",
IF(OR($A109="Graisses de station d’épuration",$A109="Déchets IAA liquides (&lt;20% MS)",$A109="Déchets liquides industriels"),
VLOOKUP($C109,'2. Détail calcul GES'!$A$4:$AI$79,34,FALSE),
VLOOKUP($C109,'2. Détail calcul GES'!$A$4:$AI$79,29,FALSE)),
"")</f>
        <v/>
      </c>
      <c r="U109" s="15" t="str">
        <f>IF(OR('0. Installation'!$B$4&lt;DATE(2021,1,1),A109="Déchets ménager et assimilés"),
"Pas de critère à respecter",
IF(E109&lt;&gt;"",
IF(AND('0. Installation'!$B$4&gt;=DATE(2021,1,1),'0. Installation'!$B$4&lt;DATE(2026,1,1)),IF(S109&gt;=0.7,"Elec. : oui","Elec. : non"),
IF(S109&gt;=0.8,"Elec. : oui","Elec. : non"))
&amp;" / "&amp;
IF(AND('0. Installation'!$B$4&gt;=DATE(2021,1,1),'0. Installation'!$B$4&lt;DATE(2026,1,1)),IF(T109&gt;=0.7,"Chaleur : oui","Chaleur : non"),
IF(T109&gt;=0.8,"Chaleur. : oui","Chaleur : non")),
""))</f>
        <v>Pas de critère à respecter</v>
      </c>
      <c r="V109" s="9"/>
      <c r="W109" s="119">
        <f t="shared" si="3"/>
        <v>0</v>
      </c>
    </row>
    <row r="110" spans="1:23" ht="15.6">
      <c r="A110" s="26"/>
      <c r="B110" s="14"/>
      <c r="C110" s="27" t="str">
        <f t="shared" si="2"/>
        <v/>
      </c>
      <c r="D110" s="14"/>
      <c r="E110" s="275" t="str">
        <f t="shared" si="4"/>
        <v/>
      </c>
      <c r="F110" s="257"/>
      <c r="G110" s="257"/>
      <c r="H110" s="257"/>
      <c r="I110" s="257"/>
      <c r="J110" s="257"/>
      <c r="K110" s="16"/>
      <c r="L110" s="16"/>
      <c r="M110" s="247"/>
      <c r="N110" s="16"/>
      <c r="O110" s="14"/>
      <c r="P110" s="14"/>
      <c r="Q110" s="14"/>
      <c r="R110" s="14"/>
      <c r="S110" s="13" t="str">
        <f>IF(A110&lt;&gt;"",
IF(OR($A110="Graisses de station d’épuration",$A110="Déchets IAA liquides (&lt;20% MS)",$A110="Déchets liquides industriels"),
VLOOKUP($C110,'2. Détail calcul GES'!$A$4:$AI$79,32,FALSE),
VLOOKUP($C110,'2. Détail calcul GES'!$A$4:$AI$79,27,FALSE)),
"")</f>
        <v/>
      </c>
      <c r="T110" s="13" t="str">
        <f>IF(A110&lt;&gt;"",
IF(OR($A110="Graisses de station d’épuration",$A110="Déchets IAA liquides (&lt;20% MS)",$A110="Déchets liquides industriels"),
VLOOKUP($C110,'2. Détail calcul GES'!$A$4:$AI$79,34,FALSE),
VLOOKUP($C110,'2. Détail calcul GES'!$A$4:$AI$79,29,FALSE)),
"")</f>
        <v/>
      </c>
      <c r="U110" s="15" t="str">
        <f>IF(OR('0. Installation'!$B$4&lt;DATE(2021,1,1),A110="Déchets ménager et assimilés"),
"Pas de critère à respecter",
IF(E110&lt;&gt;"",
IF(AND('0. Installation'!$B$4&gt;=DATE(2021,1,1),'0. Installation'!$B$4&lt;DATE(2026,1,1)),IF(S110&gt;=0.7,"Elec. : oui","Elec. : non"),
IF(S110&gt;=0.8,"Elec. : oui","Elec. : non"))
&amp;" / "&amp;
IF(AND('0. Installation'!$B$4&gt;=DATE(2021,1,1),'0. Installation'!$B$4&lt;DATE(2026,1,1)),IF(T110&gt;=0.7,"Chaleur : oui","Chaleur : non"),
IF(T110&gt;=0.8,"Chaleur. : oui","Chaleur : non")),
""))</f>
        <v>Pas de critère à respecter</v>
      </c>
      <c r="V110" s="9"/>
      <c r="W110" s="119">
        <f t="shared" si="3"/>
        <v>0</v>
      </c>
    </row>
    <row r="111" spans="1:23" ht="15.6">
      <c r="A111" s="26"/>
      <c r="B111" s="14"/>
      <c r="C111" s="27" t="str">
        <f t="shared" si="2"/>
        <v/>
      </c>
      <c r="D111" s="14"/>
      <c r="E111" s="275" t="str">
        <f t="shared" si="4"/>
        <v/>
      </c>
      <c r="F111" s="257"/>
      <c r="G111" s="257"/>
      <c r="H111" s="257"/>
      <c r="I111" s="257"/>
      <c r="J111" s="257"/>
      <c r="K111" s="16"/>
      <c r="L111" s="16"/>
      <c r="M111" s="247"/>
      <c r="N111" s="16"/>
      <c r="O111" s="14"/>
      <c r="P111" s="14"/>
      <c r="Q111" s="14"/>
      <c r="R111" s="14"/>
      <c r="S111" s="13" t="str">
        <f>IF(A111&lt;&gt;"",
IF(OR($A111="Graisses de station d’épuration",$A111="Déchets IAA liquides (&lt;20% MS)",$A111="Déchets liquides industriels"),
VLOOKUP($C111,'2. Détail calcul GES'!$A$4:$AI$79,32,FALSE),
VLOOKUP($C111,'2. Détail calcul GES'!$A$4:$AI$79,27,FALSE)),
"")</f>
        <v/>
      </c>
      <c r="T111" s="13" t="str">
        <f>IF(A111&lt;&gt;"",
IF(OR($A111="Graisses de station d’épuration",$A111="Déchets IAA liquides (&lt;20% MS)",$A111="Déchets liquides industriels"),
VLOOKUP($C111,'2. Détail calcul GES'!$A$4:$AI$79,34,FALSE),
VLOOKUP($C111,'2. Détail calcul GES'!$A$4:$AI$79,29,FALSE)),
"")</f>
        <v/>
      </c>
      <c r="U111" s="15" t="str">
        <f>IF(OR('0. Installation'!$B$4&lt;DATE(2021,1,1),A111="Déchets ménager et assimilés"),
"Pas de critère à respecter",
IF(E111&lt;&gt;"",
IF(AND('0. Installation'!$B$4&gt;=DATE(2021,1,1),'0. Installation'!$B$4&lt;DATE(2026,1,1)),IF(S111&gt;=0.7,"Elec. : oui","Elec. : non"),
IF(S111&gt;=0.8,"Elec. : oui","Elec. : non"))
&amp;" / "&amp;
IF(AND('0. Installation'!$B$4&gt;=DATE(2021,1,1),'0. Installation'!$B$4&lt;DATE(2026,1,1)),IF(T111&gt;=0.7,"Chaleur : oui","Chaleur : non"),
IF(T111&gt;=0.8,"Chaleur. : oui","Chaleur : non")),
""))</f>
        <v>Pas de critère à respecter</v>
      </c>
      <c r="V111" s="9"/>
      <c r="W111" s="119">
        <f t="shared" si="3"/>
        <v>0</v>
      </c>
    </row>
    <row r="112" spans="1:23" ht="15.6">
      <c r="A112" s="26"/>
      <c r="B112" s="14"/>
      <c r="C112" s="27" t="str">
        <f t="shared" si="2"/>
        <v/>
      </c>
      <c r="D112" s="14"/>
      <c r="E112" s="275" t="str">
        <f t="shared" si="4"/>
        <v/>
      </c>
      <c r="F112" s="257"/>
      <c r="G112" s="257"/>
      <c r="H112" s="257"/>
      <c r="I112" s="257"/>
      <c r="J112" s="257"/>
      <c r="K112" s="16"/>
      <c r="L112" s="16"/>
      <c r="M112" s="247"/>
      <c r="N112" s="16"/>
      <c r="O112" s="14"/>
      <c r="P112" s="14"/>
      <c r="Q112" s="14"/>
      <c r="R112" s="14"/>
      <c r="S112" s="13" t="str">
        <f>IF(A112&lt;&gt;"",
IF(OR($A112="Graisses de station d’épuration",$A112="Déchets IAA liquides (&lt;20% MS)",$A112="Déchets liquides industriels"),
VLOOKUP($C112,'2. Détail calcul GES'!$A$4:$AI$79,32,FALSE),
VLOOKUP($C112,'2. Détail calcul GES'!$A$4:$AI$79,27,FALSE)),
"")</f>
        <v/>
      </c>
      <c r="T112" s="13" t="str">
        <f>IF(A112&lt;&gt;"",
IF(OR($A112="Graisses de station d’épuration",$A112="Déchets IAA liquides (&lt;20% MS)",$A112="Déchets liquides industriels"),
VLOOKUP($C112,'2. Détail calcul GES'!$A$4:$AI$79,34,FALSE),
VLOOKUP($C112,'2. Détail calcul GES'!$A$4:$AI$79,29,FALSE)),
"")</f>
        <v/>
      </c>
      <c r="U112" s="15" t="str">
        <f>IF(OR('0. Installation'!$B$4&lt;DATE(2021,1,1),A112="Déchets ménager et assimilés"),
"Pas de critère à respecter",
IF(E112&lt;&gt;"",
IF(AND('0. Installation'!$B$4&gt;=DATE(2021,1,1),'0. Installation'!$B$4&lt;DATE(2026,1,1)),IF(S112&gt;=0.7,"Elec. : oui","Elec. : non"),
IF(S112&gt;=0.8,"Elec. : oui","Elec. : non"))
&amp;" / "&amp;
IF(AND('0. Installation'!$B$4&gt;=DATE(2021,1,1),'0. Installation'!$B$4&lt;DATE(2026,1,1)),IF(T112&gt;=0.7,"Chaleur : oui","Chaleur : non"),
IF(T112&gt;=0.8,"Chaleur. : oui","Chaleur : non")),
""))</f>
        <v>Pas de critère à respecter</v>
      </c>
      <c r="V112" s="9"/>
      <c r="W112" s="119">
        <f t="shared" si="3"/>
        <v>0</v>
      </c>
    </row>
    <row r="113" spans="1:23" ht="15.6">
      <c r="A113" s="26"/>
      <c r="B113" s="14"/>
      <c r="C113" s="27" t="str">
        <f t="shared" si="2"/>
        <v/>
      </c>
      <c r="D113" s="14"/>
      <c r="E113" s="275" t="str">
        <f t="shared" si="4"/>
        <v/>
      </c>
      <c r="F113" s="257"/>
      <c r="G113" s="257"/>
      <c r="H113" s="257"/>
      <c r="I113" s="257"/>
      <c r="J113" s="257"/>
      <c r="K113" s="16"/>
      <c r="L113" s="16"/>
      <c r="M113" s="247"/>
      <c r="N113" s="16"/>
      <c r="O113" s="14"/>
      <c r="P113" s="14"/>
      <c r="Q113" s="14"/>
      <c r="R113" s="14"/>
      <c r="S113" s="13" t="str">
        <f>IF(A113&lt;&gt;"",
IF(OR($A113="Graisses de station d’épuration",$A113="Déchets IAA liquides (&lt;20% MS)",$A113="Déchets liquides industriels"),
VLOOKUP($C113,'2. Détail calcul GES'!$A$4:$AI$79,32,FALSE),
VLOOKUP($C113,'2. Détail calcul GES'!$A$4:$AI$79,27,FALSE)),
"")</f>
        <v/>
      </c>
      <c r="T113" s="13" t="str">
        <f>IF(A113&lt;&gt;"",
IF(OR($A113="Graisses de station d’épuration",$A113="Déchets IAA liquides (&lt;20% MS)",$A113="Déchets liquides industriels"),
VLOOKUP($C113,'2. Détail calcul GES'!$A$4:$AI$79,34,FALSE),
VLOOKUP($C113,'2. Détail calcul GES'!$A$4:$AI$79,29,FALSE)),
"")</f>
        <v/>
      </c>
      <c r="U113" s="15" t="str">
        <f>IF(OR('0. Installation'!$B$4&lt;DATE(2021,1,1),A113="Déchets ménager et assimilés"),
"Pas de critère à respecter",
IF(E113&lt;&gt;"",
IF(AND('0. Installation'!$B$4&gt;=DATE(2021,1,1),'0. Installation'!$B$4&lt;DATE(2026,1,1)),IF(S113&gt;=0.7,"Elec. : oui","Elec. : non"),
IF(S113&gt;=0.8,"Elec. : oui","Elec. : non"))
&amp;" / "&amp;
IF(AND('0. Installation'!$B$4&gt;=DATE(2021,1,1),'0. Installation'!$B$4&lt;DATE(2026,1,1)),IF(T113&gt;=0.7,"Chaleur : oui","Chaleur : non"),
IF(T113&gt;=0.8,"Chaleur. : oui","Chaleur : non")),
""))</f>
        <v>Pas de critère à respecter</v>
      </c>
      <c r="V113" s="9"/>
      <c r="W113" s="119">
        <f t="shared" si="3"/>
        <v>0</v>
      </c>
    </row>
    <row r="114" spans="1:23" ht="15.6">
      <c r="A114" s="26"/>
      <c r="B114" s="14"/>
      <c r="C114" s="27" t="str">
        <f t="shared" si="2"/>
        <v/>
      </c>
      <c r="D114" s="14"/>
      <c r="E114" s="275" t="str">
        <f t="shared" si="4"/>
        <v/>
      </c>
      <c r="F114" s="257"/>
      <c r="G114" s="257"/>
      <c r="H114" s="257"/>
      <c r="I114" s="257"/>
      <c r="J114" s="257"/>
      <c r="K114" s="16"/>
      <c r="L114" s="16"/>
      <c r="M114" s="247"/>
      <c r="N114" s="16"/>
      <c r="O114" s="14"/>
      <c r="P114" s="14"/>
      <c r="Q114" s="14"/>
      <c r="R114" s="14"/>
      <c r="S114" s="13" t="str">
        <f>IF(A114&lt;&gt;"",
IF(OR($A114="Graisses de station d’épuration",$A114="Déchets IAA liquides (&lt;20% MS)",$A114="Déchets liquides industriels"),
VLOOKUP($C114,'2. Détail calcul GES'!$A$4:$AI$79,32,FALSE),
VLOOKUP($C114,'2. Détail calcul GES'!$A$4:$AI$79,27,FALSE)),
"")</f>
        <v/>
      </c>
      <c r="T114" s="13" t="str">
        <f>IF(A114&lt;&gt;"",
IF(OR($A114="Graisses de station d’épuration",$A114="Déchets IAA liquides (&lt;20% MS)",$A114="Déchets liquides industriels"),
VLOOKUP($C114,'2. Détail calcul GES'!$A$4:$AI$79,34,FALSE),
VLOOKUP($C114,'2. Détail calcul GES'!$A$4:$AI$79,29,FALSE)),
"")</f>
        <v/>
      </c>
      <c r="U114" s="15" t="str">
        <f>IF(OR('0. Installation'!$B$4&lt;DATE(2021,1,1),A114="Déchets ménager et assimilés"),
"Pas de critère à respecter",
IF(E114&lt;&gt;"",
IF(AND('0. Installation'!$B$4&gt;=DATE(2021,1,1),'0. Installation'!$B$4&lt;DATE(2026,1,1)),IF(S114&gt;=0.7,"Elec. : oui","Elec. : non"),
IF(S114&gt;=0.8,"Elec. : oui","Elec. : non"))
&amp;" / "&amp;
IF(AND('0. Installation'!$B$4&gt;=DATE(2021,1,1),'0. Installation'!$B$4&lt;DATE(2026,1,1)),IF(T114&gt;=0.7,"Chaleur : oui","Chaleur : non"),
IF(T114&gt;=0.8,"Chaleur. : oui","Chaleur : non")),
""))</f>
        <v>Pas de critère à respecter</v>
      </c>
      <c r="V114" s="9"/>
      <c r="W114" s="119">
        <f t="shared" si="3"/>
        <v>0</v>
      </c>
    </row>
    <row r="115" spans="1:23" ht="15.6">
      <c r="A115" s="26"/>
      <c r="B115" s="14"/>
      <c r="C115" s="27" t="str">
        <f t="shared" si="2"/>
        <v/>
      </c>
      <c r="D115" s="14"/>
      <c r="E115" s="275" t="str">
        <f t="shared" si="4"/>
        <v/>
      </c>
      <c r="F115" s="257"/>
      <c r="G115" s="257"/>
      <c r="H115" s="257"/>
      <c r="I115" s="257"/>
      <c r="J115" s="257"/>
      <c r="K115" s="16"/>
      <c r="L115" s="16"/>
      <c r="M115" s="247"/>
      <c r="N115" s="16"/>
      <c r="O115" s="14"/>
      <c r="P115" s="14"/>
      <c r="Q115" s="14"/>
      <c r="R115" s="14"/>
      <c r="S115" s="13" t="str">
        <f>IF(A115&lt;&gt;"",
IF(OR($A115="Graisses de station d’épuration",$A115="Déchets IAA liquides (&lt;20% MS)",$A115="Déchets liquides industriels"),
VLOOKUP($C115,'2. Détail calcul GES'!$A$4:$AI$79,32,FALSE),
VLOOKUP($C115,'2. Détail calcul GES'!$A$4:$AI$79,27,FALSE)),
"")</f>
        <v/>
      </c>
      <c r="T115" s="13" t="str">
        <f>IF(A115&lt;&gt;"",
IF(OR($A115="Graisses de station d’épuration",$A115="Déchets IAA liquides (&lt;20% MS)",$A115="Déchets liquides industriels"),
VLOOKUP($C115,'2. Détail calcul GES'!$A$4:$AI$79,34,FALSE),
VLOOKUP($C115,'2. Détail calcul GES'!$A$4:$AI$79,29,FALSE)),
"")</f>
        <v/>
      </c>
      <c r="U115" s="15" t="str">
        <f>IF(OR('0. Installation'!$B$4&lt;DATE(2021,1,1),A115="Déchets ménager et assimilés"),
"Pas de critère à respecter",
IF(E115&lt;&gt;"",
IF(AND('0. Installation'!$B$4&gt;=DATE(2021,1,1),'0. Installation'!$B$4&lt;DATE(2026,1,1)),IF(S115&gt;=0.7,"Elec. : oui","Elec. : non"),
IF(S115&gt;=0.8,"Elec. : oui","Elec. : non"))
&amp;" / "&amp;
IF(AND('0. Installation'!$B$4&gt;=DATE(2021,1,1),'0. Installation'!$B$4&lt;DATE(2026,1,1)),IF(T115&gt;=0.7,"Chaleur : oui","Chaleur : non"),
IF(T115&gt;=0.8,"Chaleur. : oui","Chaleur : non")),
""))</f>
        <v>Pas de critère à respecter</v>
      </c>
      <c r="V115" s="9"/>
      <c r="W115" s="119">
        <f t="shared" si="3"/>
        <v>0</v>
      </c>
    </row>
    <row r="116" spans="1:23" ht="15.6">
      <c r="A116" s="26"/>
      <c r="B116" s="14"/>
      <c r="C116" s="27" t="str">
        <f t="shared" si="2"/>
        <v/>
      </c>
      <c r="D116" s="14"/>
      <c r="E116" s="275" t="str">
        <f t="shared" si="4"/>
        <v/>
      </c>
      <c r="F116" s="257"/>
      <c r="G116" s="257"/>
      <c r="H116" s="257"/>
      <c r="I116" s="257"/>
      <c r="J116" s="257"/>
      <c r="K116" s="16"/>
      <c r="L116" s="16"/>
      <c r="M116" s="247"/>
      <c r="N116" s="16"/>
      <c r="O116" s="14"/>
      <c r="P116" s="14"/>
      <c r="Q116" s="14"/>
      <c r="R116" s="14"/>
      <c r="S116" s="13" t="str">
        <f>IF(A116&lt;&gt;"",
IF(OR($A116="Graisses de station d’épuration",$A116="Déchets IAA liquides (&lt;20% MS)",$A116="Déchets liquides industriels"),
VLOOKUP($C116,'2. Détail calcul GES'!$A$4:$AI$79,32,FALSE),
VLOOKUP($C116,'2. Détail calcul GES'!$A$4:$AI$79,27,FALSE)),
"")</f>
        <v/>
      </c>
      <c r="T116" s="13" t="str">
        <f>IF(A116&lt;&gt;"",
IF(OR($A116="Graisses de station d’épuration",$A116="Déchets IAA liquides (&lt;20% MS)",$A116="Déchets liquides industriels"),
VLOOKUP($C116,'2. Détail calcul GES'!$A$4:$AI$79,34,FALSE),
VLOOKUP($C116,'2. Détail calcul GES'!$A$4:$AI$79,29,FALSE)),
"")</f>
        <v/>
      </c>
      <c r="U116" s="15" t="str">
        <f>IF(OR('0. Installation'!$B$4&lt;DATE(2021,1,1),A116="Déchets ménager et assimilés"),
"Pas de critère à respecter",
IF(E116&lt;&gt;"",
IF(AND('0. Installation'!$B$4&gt;=DATE(2021,1,1),'0. Installation'!$B$4&lt;DATE(2026,1,1)),IF(S116&gt;=0.7,"Elec. : oui","Elec. : non"),
IF(S116&gt;=0.8,"Elec. : oui","Elec. : non"))
&amp;" / "&amp;
IF(AND('0. Installation'!$B$4&gt;=DATE(2021,1,1),'0. Installation'!$B$4&lt;DATE(2026,1,1)),IF(T116&gt;=0.7,"Chaleur : oui","Chaleur : non"),
IF(T116&gt;=0.8,"Chaleur. : oui","Chaleur : non")),
""))</f>
        <v>Pas de critère à respecter</v>
      </c>
      <c r="V116" s="9"/>
      <c r="W116" s="119">
        <f t="shared" si="3"/>
        <v>0</v>
      </c>
    </row>
    <row r="117" spans="1:23" ht="15.6">
      <c r="A117" s="26"/>
      <c r="B117" s="14"/>
      <c r="C117" s="27" t="str">
        <f t="shared" si="2"/>
        <v/>
      </c>
      <c r="D117" s="14"/>
      <c r="E117" s="275" t="str">
        <f t="shared" si="4"/>
        <v/>
      </c>
      <c r="F117" s="257"/>
      <c r="G117" s="257"/>
      <c r="H117" s="257"/>
      <c r="I117" s="257"/>
      <c r="J117" s="257"/>
      <c r="K117" s="16"/>
      <c r="L117" s="16"/>
      <c r="M117" s="247"/>
      <c r="N117" s="16"/>
      <c r="O117" s="14"/>
      <c r="P117" s="14"/>
      <c r="Q117" s="14"/>
      <c r="R117" s="14"/>
      <c r="S117" s="13" t="str">
        <f>IF(A117&lt;&gt;"",
IF(OR($A117="Graisses de station d’épuration",$A117="Déchets IAA liquides (&lt;20% MS)",$A117="Déchets liquides industriels"),
VLOOKUP($C117,'2. Détail calcul GES'!$A$4:$AI$79,32,FALSE),
VLOOKUP($C117,'2. Détail calcul GES'!$A$4:$AI$79,27,FALSE)),
"")</f>
        <v/>
      </c>
      <c r="T117" s="13" t="str">
        <f>IF(A117&lt;&gt;"",
IF(OR($A117="Graisses de station d’épuration",$A117="Déchets IAA liquides (&lt;20% MS)",$A117="Déchets liquides industriels"),
VLOOKUP($C117,'2. Détail calcul GES'!$A$4:$AI$79,34,FALSE),
VLOOKUP($C117,'2. Détail calcul GES'!$A$4:$AI$79,29,FALSE)),
"")</f>
        <v/>
      </c>
      <c r="U117" s="15" t="str">
        <f>IF(OR('0. Installation'!$B$4&lt;DATE(2021,1,1),A117="Déchets ménager et assimilés"),
"Pas de critère à respecter",
IF(E117&lt;&gt;"",
IF(AND('0. Installation'!$B$4&gt;=DATE(2021,1,1),'0. Installation'!$B$4&lt;DATE(2026,1,1)),IF(S117&gt;=0.7,"Elec. : oui","Elec. : non"),
IF(S117&gt;=0.8,"Elec. : oui","Elec. : non"))
&amp;" / "&amp;
IF(AND('0. Installation'!$B$4&gt;=DATE(2021,1,1),'0. Installation'!$B$4&lt;DATE(2026,1,1)),IF(T117&gt;=0.7,"Chaleur : oui","Chaleur : non"),
IF(T117&gt;=0.8,"Chaleur. : oui","Chaleur : non")),
""))</f>
        <v>Pas de critère à respecter</v>
      </c>
      <c r="V117" s="9"/>
      <c r="W117" s="119">
        <f t="shared" si="3"/>
        <v>0</v>
      </c>
    </row>
    <row r="118" spans="1:23" ht="15.6">
      <c r="A118" s="26"/>
      <c r="B118" s="14"/>
      <c r="C118" s="27" t="str">
        <f t="shared" si="2"/>
        <v/>
      </c>
      <c r="D118" s="14"/>
      <c r="E118" s="275" t="str">
        <f t="shared" si="4"/>
        <v/>
      </c>
      <c r="F118" s="257"/>
      <c r="G118" s="257"/>
      <c r="H118" s="257"/>
      <c r="I118" s="257"/>
      <c r="J118" s="257"/>
      <c r="K118" s="16"/>
      <c r="L118" s="16"/>
      <c r="M118" s="247"/>
      <c r="N118" s="16"/>
      <c r="O118" s="14"/>
      <c r="P118" s="14"/>
      <c r="Q118" s="14"/>
      <c r="R118" s="14"/>
      <c r="S118" s="13" t="str">
        <f>IF(A118&lt;&gt;"",
IF(OR($A118="Graisses de station d’épuration",$A118="Déchets IAA liquides (&lt;20% MS)",$A118="Déchets liquides industriels"),
VLOOKUP($C118,'2. Détail calcul GES'!$A$4:$AI$79,32,FALSE),
VLOOKUP($C118,'2. Détail calcul GES'!$A$4:$AI$79,27,FALSE)),
"")</f>
        <v/>
      </c>
      <c r="T118" s="13" t="str">
        <f>IF(A118&lt;&gt;"",
IF(OR($A118="Graisses de station d’épuration",$A118="Déchets IAA liquides (&lt;20% MS)",$A118="Déchets liquides industriels"),
VLOOKUP($C118,'2. Détail calcul GES'!$A$4:$AI$79,34,FALSE),
VLOOKUP($C118,'2. Détail calcul GES'!$A$4:$AI$79,29,FALSE)),
"")</f>
        <v/>
      </c>
      <c r="U118" s="15" t="str">
        <f>IF(OR('0. Installation'!$B$4&lt;DATE(2021,1,1),A118="Déchets ménager et assimilés"),
"Pas de critère à respecter",
IF(E118&lt;&gt;"",
IF(AND('0. Installation'!$B$4&gt;=DATE(2021,1,1),'0. Installation'!$B$4&lt;DATE(2026,1,1)),IF(S118&gt;=0.7,"Elec. : oui","Elec. : non"),
IF(S118&gt;=0.8,"Elec. : oui","Elec. : non"))
&amp;" / "&amp;
IF(AND('0. Installation'!$B$4&gt;=DATE(2021,1,1),'0. Installation'!$B$4&lt;DATE(2026,1,1)),IF(T118&gt;=0.7,"Chaleur : oui","Chaleur : non"),
IF(T118&gt;=0.8,"Chaleur. : oui","Chaleur : non")),
""))</f>
        <v>Pas de critère à respecter</v>
      </c>
      <c r="V118" s="9"/>
      <c r="W118" s="119">
        <f t="shared" si="3"/>
        <v>0</v>
      </c>
    </row>
    <row r="119" spans="1:23" ht="15.6">
      <c r="A119" s="26"/>
      <c r="B119" s="14"/>
      <c r="C119" s="27" t="str">
        <f t="shared" si="2"/>
        <v/>
      </c>
      <c r="D119" s="14"/>
      <c r="E119" s="275" t="str">
        <f t="shared" si="4"/>
        <v/>
      </c>
      <c r="F119" s="257"/>
      <c r="G119" s="257"/>
      <c r="H119" s="257"/>
      <c r="I119" s="257"/>
      <c r="J119" s="257"/>
      <c r="K119" s="16"/>
      <c r="L119" s="16"/>
      <c r="M119" s="247"/>
      <c r="N119" s="16"/>
      <c r="O119" s="14"/>
      <c r="P119" s="14"/>
      <c r="Q119" s="14"/>
      <c r="R119" s="14"/>
      <c r="S119" s="13" t="str">
        <f>IF(A119&lt;&gt;"",
IF(OR($A119="Graisses de station d’épuration",$A119="Déchets IAA liquides (&lt;20% MS)",$A119="Déchets liquides industriels"),
VLOOKUP($C119,'2. Détail calcul GES'!$A$4:$AI$79,32,FALSE),
VLOOKUP($C119,'2. Détail calcul GES'!$A$4:$AI$79,27,FALSE)),
"")</f>
        <v/>
      </c>
      <c r="T119" s="13" t="str">
        <f>IF(A119&lt;&gt;"",
IF(OR($A119="Graisses de station d’épuration",$A119="Déchets IAA liquides (&lt;20% MS)",$A119="Déchets liquides industriels"),
VLOOKUP($C119,'2. Détail calcul GES'!$A$4:$AI$79,34,FALSE),
VLOOKUP($C119,'2. Détail calcul GES'!$A$4:$AI$79,29,FALSE)),
"")</f>
        <v/>
      </c>
      <c r="U119" s="15" t="str">
        <f>IF(OR('0. Installation'!$B$4&lt;DATE(2021,1,1),A119="Déchets ménager et assimilés"),
"Pas de critère à respecter",
IF(E119&lt;&gt;"",
IF(AND('0. Installation'!$B$4&gt;=DATE(2021,1,1),'0. Installation'!$B$4&lt;DATE(2026,1,1)),IF(S119&gt;=0.7,"Elec. : oui","Elec. : non"),
IF(S119&gt;=0.8,"Elec. : oui","Elec. : non"))
&amp;" / "&amp;
IF(AND('0. Installation'!$B$4&gt;=DATE(2021,1,1),'0. Installation'!$B$4&lt;DATE(2026,1,1)),IF(T119&gt;=0.7,"Chaleur : oui","Chaleur : non"),
IF(T119&gt;=0.8,"Chaleur. : oui","Chaleur : non")),
""))</f>
        <v>Pas de critère à respecter</v>
      </c>
      <c r="V119" s="9"/>
      <c r="W119" s="119">
        <f t="shared" si="3"/>
        <v>0</v>
      </c>
    </row>
    <row r="120" spans="1:23" ht="15.6">
      <c r="A120" s="26"/>
      <c r="B120" s="14"/>
      <c r="C120" s="27" t="str">
        <f t="shared" si="2"/>
        <v/>
      </c>
      <c r="D120" s="14"/>
      <c r="E120" s="275" t="str">
        <f t="shared" si="4"/>
        <v/>
      </c>
      <c r="F120" s="257"/>
      <c r="G120" s="257"/>
      <c r="H120" s="257"/>
      <c r="I120" s="257"/>
      <c r="J120" s="257"/>
      <c r="K120" s="16"/>
      <c r="L120" s="16"/>
      <c r="M120" s="247"/>
      <c r="N120" s="16"/>
      <c r="O120" s="14"/>
      <c r="P120" s="14"/>
      <c r="Q120" s="14"/>
      <c r="R120" s="14"/>
      <c r="S120" s="13" t="str">
        <f>IF(A120&lt;&gt;"",
IF(OR($A120="Graisses de station d’épuration",$A120="Déchets IAA liquides (&lt;20% MS)",$A120="Déchets liquides industriels"),
VLOOKUP($C120,'2. Détail calcul GES'!$A$4:$AI$79,32,FALSE),
VLOOKUP($C120,'2. Détail calcul GES'!$A$4:$AI$79,27,FALSE)),
"")</f>
        <v/>
      </c>
      <c r="T120" s="13" t="str">
        <f>IF(A120&lt;&gt;"",
IF(OR($A120="Graisses de station d’épuration",$A120="Déchets IAA liquides (&lt;20% MS)",$A120="Déchets liquides industriels"),
VLOOKUP($C120,'2. Détail calcul GES'!$A$4:$AI$79,34,FALSE),
VLOOKUP($C120,'2. Détail calcul GES'!$A$4:$AI$79,29,FALSE)),
"")</f>
        <v/>
      </c>
      <c r="U120" s="15" t="str">
        <f>IF(OR('0. Installation'!$B$4&lt;DATE(2021,1,1),A120="Déchets ménager et assimilés"),
"Pas de critère à respecter",
IF(E120&lt;&gt;"",
IF(AND('0. Installation'!$B$4&gt;=DATE(2021,1,1),'0. Installation'!$B$4&lt;DATE(2026,1,1)),IF(S120&gt;=0.7,"Elec. : oui","Elec. : non"),
IF(S120&gt;=0.8,"Elec. : oui","Elec. : non"))
&amp;" / "&amp;
IF(AND('0. Installation'!$B$4&gt;=DATE(2021,1,1),'0. Installation'!$B$4&lt;DATE(2026,1,1)),IF(T120&gt;=0.7,"Chaleur : oui","Chaleur : non"),
IF(T120&gt;=0.8,"Chaleur. : oui","Chaleur : non")),
""))</f>
        <v>Pas de critère à respecter</v>
      </c>
      <c r="V120" s="9"/>
      <c r="W120" s="119">
        <f t="shared" si="3"/>
        <v>0</v>
      </c>
    </row>
    <row r="121" spans="1:23" ht="15.6">
      <c r="A121" s="26"/>
      <c r="B121" s="14"/>
      <c r="C121" s="27" t="str">
        <f t="shared" si="2"/>
        <v/>
      </c>
      <c r="D121" s="14"/>
      <c r="E121" s="275" t="str">
        <f t="shared" si="4"/>
        <v/>
      </c>
      <c r="F121" s="257"/>
      <c r="G121" s="257"/>
      <c r="H121" s="257"/>
      <c r="I121" s="257"/>
      <c r="J121" s="257"/>
      <c r="K121" s="16"/>
      <c r="L121" s="16"/>
      <c r="M121" s="247"/>
      <c r="N121" s="16"/>
      <c r="O121" s="14"/>
      <c r="P121" s="14"/>
      <c r="Q121" s="14"/>
      <c r="R121" s="14"/>
      <c r="S121" s="13" t="str">
        <f>IF(A121&lt;&gt;"",
IF(OR($A121="Graisses de station d’épuration",$A121="Déchets IAA liquides (&lt;20% MS)",$A121="Déchets liquides industriels"),
VLOOKUP($C121,'2. Détail calcul GES'!$A$4:$AI$79,32,FALSE),
VLOOKUP($C121,'2. Détail calcul GES'!$A$4:$AI$79,27,FALSE)),
"")</f>
        <v/>
      </c>
      <c r="T121" s="13" t="str">
        <f>IF(A121&lt;&gt;"",
IF(OR($A121="Graisses de station d’épuration",$A121="Déchets IAA liquides (&lt;20% MS)",$A121="Déchets liquides industriels"),
VLOOKUP($C121,'2. Détail calcul GES'!$A$4:$AI$79,34,FALSE),
VLOOKUP($C121,'2. Détail calcul GES'!$A$4:$AI$79,29,FALSE)),
"")</f>
        <v/>
      </c>
      <c r="U121" s="15" t="str">
        <f>IF(OR('0. Installation'!$B$4&lt;DATE(2021,1,1),A121="Déchets ménager et assimilés"),
"Pas de critère à respecter",
IF(E121&lt;&gt;"",
IF(AND('0. Installation'!$B$4&gt;=DATE(2021,1,1),'0. Installation'!$B$4&lt;DATE(2026,1,1)),IF(S121&gt;=0.7,"Elec. : oui","Elec. : non"),
IF(S121&gt;=0.8,"Elec. : oui","Elec. : non"))
&amp;" / "&amp;
IF(AND('0. Installation'!$B$4&gt;=DATE(2021,1,1),'0. Installation'!$B$4&lt;DATE(2026,1,1)),IF(T121&gt;=0.7,"Chaleur : oui","Chaleur : non"),
IF(T121&gt;=0.8,"Chaleur. : oui","Chaleur : non")),
""))</f>
        <v>Pas de critère à respecter</v>
      </c>
      <c r="V121" s="9"/>
      <c r="W121" s="119">
        <f t="shared" si="3"/>
        <v>0</v>
      </c>
    </row>
    <row r="122" spans="1:23" ht="15.6">
      <c r="A122" s="26"/>
      <c r="B122" s="14"/>
      <c r="C122" s="27" t="str">
        <f t="shared" si="2"/>
        <v/>
      </c>
      <c r="D122" s="14"/>
      <c r="E122" s="275" t="str">
        <f t="shared" si="4"/>
        <v/>
      </c>
      <c r="F122" s="257"/>
      <c r="G122" s="257"/>
      <c r="H122" s="257"/>
      <c r="I122" s="257"/>
      <c r="J122" s="257"/>
      <c r="K122" s="16"/>
      <c r="L122" s="16"/>
      <c r="M122" s="247"/>
      <c r="N122" s="16"/>
      <c r="O122" s="14"/>
      <c r="P122" s="14"/>
      <c r="Q122" s="14"/>
      <c r="R122" s="14"/>
      <c r="S122" s="13" t="str">
        <f>IF(A122&lt;&gt;"",
IF(OR($A122="Graisses de station d’épuration",$A122="Déchets IAA liquides (&lt;20% MS)",$A122="Déchets liquides industriels"),
VLOOKUP($C122,'2. Détail calcul GES'!$A$4:$AI$79,32,FALSE),
VLOOKUP($C122,'2. Détail calcul GES'!$A$4:$AI$79,27,FALSE)),
"")</f>
        <v/>
      </c>
      <c r="T122" s="13" t="str">
        <f>IF(A122&lt;&gt;"",
IF(OR($A122="Graisses de station d’épuration",$A122="Déchets IAA liquides (&lt;20% MS)",$A122="Déchets liquides industriels"),
VLOOKUP($C122,'2. Détail calcul GES'!$A$4:$AI$79,34,FALSE),
VLOOKUP($C122,'2. Détail calcul GES'!$A$4:$AI$79,29,FALSE)),
"")</f>
        <v/>
      </c>
      <c r="U122" s="15" t="str">
        <f>IF(OR('0. Installation'!$B$4&lt;DATE(2021,1,1),A122="Déchets ménager et assimilés"),
"Pas de critère à respecter",
IF(E122&lt;&gt;"",
IF(AND('0. Installation'!$B$4&gt;=DATE(2021,1,1),'0. Installation'!$B$4&lt;DATE(2026,1,1)),IF(S122&gt;=0.7,"Elec. : oui","Elec. : non"),
IF(S122&gt;=0.8,"Elec. : oui","Elec. : non"))
&amp;" / "&amp;
IF(AND('0. Installation'!$B$4&gt;=DATE(2021,1,1),'0. Installation'!$B$4&lt;DATE(2026,1,1)),IF(T122&gt;=0.7,"Chaleur : oui","Chaleur : non"),
IF(T122&gt;=0.8,"Chaleur. : oui","Chaleur : non")),
""))</f>
        <v>Pas de critère à respecter</v>
      </c>
      <c r="V122" s="9"/>
      <c r="W122" s="119">
        <f t="shared" si="3"/>
        <v>0</v>
      </c>
    </row>
    <row r="123" spans="1:23" ht="15.6">
      <c r="A123" s="26"/>
      <c r="B123" s="14"/>
      <c r="C123" s="27" t="str">
        <f t="shared" si="2"/>
        <v/>
      </c>
      <c r="D123" s="14"/>
      <c r="E123" s="275" t="str">
        <f t="shared" si="4"/>
        <v/>
      </c>
      <c r="F123" s="257"/>
      <c r="G123" s="257"/>
      <c r="H123" s="257"/>
      <c r="I123" s="257"/>
      <c r="J123" s="257"/>
      <c r="K123" s="16"/>
      <c r="L123" s="16"/>
      <c r="M123" s="247"/>
      <c r="N123" s="16"/>
      <c r="O123" s="14"/>
      <c r="P123" s="14"/>
      <c r="Q123" s="14"/>
      <c r="R123" s="14"/>
      <c r="S123" s="13" t="str">
        <f>IF(A123&lt;&gt;"",
IF(OR($A123="Graisses de station d’épuration",$A123="Déchets IAA liquides (&lt;20% MS)",$A123="Déchets liquides industriels"),
VLOOKUP($C123,'2. Détail calcul GES'!$A$4:$AI$79,32,FALSE),
VLOOKUP($C123,'2. Détail calcul GES'!$A$4:$AI$79,27,FALSE)),
"")</f>
        <v/>
      </c>
      <c r="T123" s="13" t="str">
        <f>IF(A123&lt;&gt;"",
IF(OR($A123="Graisses de station d’épuration",$A123="Déchets IAA liquides (&lt;20% MS)",$A123="Déchets liquides industriels"),
VLOOKUP($C123,'2. Détail calcul GES'!$A$4:$AI$79,34,FALSE),
VLOOKUP($C123,'2. Détail calcul GES'!$A$4:$AI$79,29,FALSE)),
"")</f>
        <v/>
      </c>
      <c r="U123" s="15" t="str">
        <f>IF(OR('0. Installation'!$B$4&lt;DATE(2021,1,1),A123="Déchets ménager et assimilés"),
"Pas de critère à respecter",
IF(E123&lt;&gt;"",
IF(AND('0. Installation'!$B$4&gt;=DATE(2021,1,1),'0. Installation'!$B$4&lt;DATE(2026,1,1)),IF(S123&gt;=0.7,"Elec. : oui","Elec. : non"),
IF(S123&gt;=0.8,"Elec. : oui","Elec. : non"))
&amp;" / "&amp;
IF(AND('0. Installation'!$B$4&gt;=DATE(2021,1,1),'0. Installation'!$B$4&lt;DATE(2026,1,1)),IF(T123&gt;=0.7,"Chaleur : oui","Chaleur : non"),
IF(T123&gt;=0.8,"Chaleur. : oui","Chaleur : non")),
""))</f>
        <v>Pas de critère à respecter</v>
      </c>
      <c r="V123" s="9"/>
      <c r="W123" s="119">
        <f t="shared" si="3"/>
        <v>0</v>
      </c>
    </row>
    <row r="124" spans="1:23" ht="15.6">
      <c r="A124" s="26"/>
      <c r="B124" s="14"/>
      <c r="C124" s="27" t="str">
        <f t="shared" si="2"/>
        <v/>
      </c>
      <c r="D124" s="14"/>
      <c r="E124" s="275" t="str">
        <f t="shared" si="4"/>
        <v/>
      </c>
      <c r="F124" s="257"/>
      <c r="G124" s="257"/>
      <c r="H124" s="257"/>
      <c r="I124" s="257"/>
      <c r="J124" s="257"/>
      <c r="K124" s="16"/>
      <c r="L124" s="16"/>
      <c r="M124" s="247"/>
      <c r="N124" s="16"/>
      <c r="O124" s="14"/>
      <c r="P124" s="14"/>
      <c r="Q124" s="14"/>
      <c r="R124" s="14"/>
      <c r="S124" s="13" t="str">
        <f>IF(A124&lt;&gt;"",
IF(OR($A124="Graisses de station d’épuration",$A124="Déchets IAA liquides (&lt;20% MS)",$A124="Déchets liquides industriels"),
VLOOKUP($C124,'2. Détail calcul GES'!$A$4:$AI$79,32,FALSE),
VLOOKUP($C124,'2. Détail calcul GES'!$A$4:$AI$79,27,FALSE)),
"")</f>
        <v/>
      </c>
      <c r="T124" s="13" t="str">
        <f>IF(A124&lt;&gt;"",
IF(OR($A124="Graisses de station d’épuration",$A124="Déchets IAA liquides (&lt;20% MS)",$A124="Déchets liquides industriels"),
VLOOKUP($C124,'2. Détail calcul GES'!$A$4:$AI$79,34,FALSE),
VLOOKUP($C124,'2. Détail calcul GES'!$A$4:$AI$79,29,FALSE)),
"")</f>
        <v/>
      </c>
      <c r="U124" s="15" t="str">
        <f>IF(OR('0. Installation'!$B$4&lt;DATE(2021,1,1),A124="Déchets ménager et assimilés"),
"Pas de critère à respecter",
IF(E124&lt;&gt;"",
IF(AND('0. Installation'!$B$4&gt;=DATE(2021,1,1),'0. Installation'!$B$4&lt;DATE(2026,1,1)),IF(S124&gt;=0.7,"Elec. : oui","Elec. : non"),
IF(S124&gt;=0.8,"Elec. : oui","Elec. : non"))
&amp;" / "&amp;
IF(AND('0. Installation'!$B$4&gt;=DATE(2021,1,1),'0. Installation'!$B$4&lt;DATE(2026,1,1)),IF(T124&gt;=0.7,"Chaleur : oui","Chaleur : non"),
IF(T124&gt;=0.8,"Chaleur. : oui","Chaleur : non")),
""))</f>
        <v>Pas de critère à respecter</v>
      </c>
      <c r="V124" s="9"/>
      <c r="W124" s="119">
        <f t="shared" si="3"/>
        <v>0</v>
      </c>
    </row>
    <row r="125" spans="1:23" ht="15.6">
      <c r="A125" s="26"/>
      <c r="B125" s="14"/>
      <c r="C125" s="27" t="str">
        <f t="shared" si="2"/>
        <v/>
      </c>
      <c r="D125" s="14"/>
      <c r="E125" s="275" t="str">
        <f t="shared" si="4"/>
        <v/>
      </c>
      <c r="F125" s="257"/>
      <c r="G125" s="257"/>
      <c r="H125" s="257"/>
      <c r="I125" s="257"/>
      <c r="J125" s="257"/>
      <c r="K125" s="16"/>
      <c r="L125" s="16"/>
      <c r="M125" s="247"/>
      <c r="N125" s="16"/>
      <c r="O125" s="14"/>
      <c r="P125" s="14"/>
      <c r="Q125" s="14"/>
      <c r="R125" s="14"/>
      <c r="S125" s="13" t="str">
        <f>IF(A125&lt;&gt;"",
IF(OR($A125="Graisses de station d’épuration",$A125="Déchets IAA liquides (&lt;20% MS)",$A125="Déchets liquides industriels"),
VLOOKUP($C125,'2. Détail calcul GES'!$A$4:$AI$79,32,FALSE),
VLOOKUP($C125,'2. Détail calcul GES'!$A$4:$AI$79,27,FALSE)),
"")</f>
        <v/>
      </c>
      <c r="T125" s="13" t="str">
        <f>IF(A125&lt;&gt;"",
IF(OR($A125="Graisses de station d’épuration",$A125="Déchets IAA liquides (&lt;20% MS)",$A125="Déchets liquides industriels"),
VLOOKUP($C125,'2. Détail calcul GES'!$A$4:$AI$79,34,FALSE),
VLOOKUP($C125,'2. Détail calcul GES'!$A$4:$AI$79,29,FALSE)),
"")</f>
        <v/>
      </c>
      <c r="U125" s="15" t="str">
        <f>IF(OR('0. Installation'!$B$4&lt;DATE(2021,1,1),A125="Déchets ménager et assimilés"),
"Pas de critère à respecter",
IF(E125&lt;&gt;"",
IF(AND('0. Installation'!$B$4&gt;=DATE(2021,1,1),'0. Installation'!$B$4&lt;DATE(2026,1,1)),IF(S125&gt;=0.7,"Elec. : oui","Elec. : non"),
IF(S125&gt;=0.8,"Elec. : oui","Elec. : non"))
&amp;" / "&amp;
IF(AND('0. Installation'!$B$4&gt;=DATE(2021,1,1),'0. Installation'!$B$4&lt;DATE(2026,1,1)),IF(T125&gt;=0.7,"Chaleur : oui","Chaleur : non"),
IF(T125&gt;=0.8,"Chaleur. : oui","Chaleur : non")),
""))</f>
        <v>Pas de critère à respecter</v>
      </c>
      <c r="V125" s="9"/>
      <c r="W125" s="119">
        <f t="shared" si="3"/>
        <v>0</v>
      </c>
    </row>
    <row r="126" spans="1:23" ht="15.6">
      <c r="A126" s="26"/>
      <c r="B126" s="14"/>
      <c r="C126" s="27" t="str">
        <f t="shared" si="2"/>
        <v/>
      </c>
      <c r="D126" s="14"/>
      <c r="E126" s="275" t="str">
        <f t="shared" si="4"/>
        <v/>
      </c>
      <c r="F126" s="257"/>
      <c r="G126" s="257"/>
      <c r="H126" s="257"/>
      <c r="I126" s="257"/>
      <c r="J126" s="257"/>
      <c r="K126" s="16"/>
      <c r="L126" s="16"/>
      <c r="M126" s="247"/>
      <c r="N126" s="16"/>
      <c r="O126" s="14"/>
      <c r="P126" s="14"/>
      <c r="Q126" s="14"/>
      <c r="R126" s="14"/>
      <c r="S126" s="13" t="str">
        <f>IF(A126&lt;&gt;"",
IF(OR($A126="Graisses de station d’épuration",$A126="Déchets IAA liquides (&lt;20% MS)",$A126="Déchets liquides industriels"),
VLOOKUP($C126,'2. Détail calcul GES'!$A$4:$AI$79,32,FALSE),
VLOOKUP($C126,'2. Détail calcul GES'!$A$4:$AI$79,27,FALSE)),
"")</f>
        <v/>
      </c>
      <c r="T126" s="13" t="str">
        <f>IF(A126&lt;&gt;"",
IF(OR($A126="Graisses de station d’épuration",$A126="Déchets IAA liquides (&lt;20% MS)",$A126="Déchets liquides industriels"),
VLOOKUP($C126,'2. Détail calcul GES'!$A$4:$AI$79,34,FALSE),
VLOOKUP($C126,'2. Détail calcul GES'!$A$4:$AI$79,29,FALSE)),
"")</f>
        <v/>
      </c>
      <c r="U126" s="15" t="str">
        <f>IF(OR('0. Installation'!$B$4&lt;DATE(2021,1,1),A126="Déchets ménager et assimilés"),
"Pas de critère à respecter",
IF(E126&lt;&gt;"",
IF(AND('0. Installation'!$B$4&gt;=DATE(2021,1,1),'0. Installation'!$B$4&lt;DATE(2026,1,1)),IF(S126&gt;=0.7,"Elec. : oui","Elec. : non"),
IF(S126&gt;=0.8,"Elec. : oui","Elec. : non"))
&amp;" / "&amp;
IF(AND('0. Installation'!$B$4&gt;=DATE(2021,1,1),'0. Installation'!$B$4&lt;DATE(2026,1,1)),IF(T126&gt;=0.7,"Chaleur : oui","Chaleur : non"),
IF(T126&gt;=0.8,"Chaleur. : oui","Chaleur : non")),
""))</f>
        <v>Pas de critère à respecter</v>
      </c>
      <c r="V126" s="9"/>
      <c r="W126" s="119">
        <f t="shared" si="3"/>
        <v>0</v>
      </c>
    </row>
    <row r="127" spans="1:23" ht="15.75" customHeight="1">
      <c r="A127" s="220" t="s">
        <v>333</v>
      </c>
      <c r="B127" s="220">
        <f>COUNTIFS($A97:$A126,"&lt;&gt;",U97:U126,"&lt;&gt;Pas de critère à respecter",S97:S126,0,T97:T126,0)+COUNTIFS($A97:$A126,"&lt;&gt;",U97:U126,"&lt;&gt;Pas de critère à respecter",S97:S126,NA(),T97:T126,NA())</f>
        <v>0</v>
      </c>
      <c r="E127" s="220">
        <f>IF(SUM(E97:E126)&gt;0,1,0)</f>
        <v>0</v>
      </c>
      <c r="W127" s="119" t="str">
        <f t="shared" si="3"/>
        <v>Lacune détectée sur calcul GES</v>
      </c>
    </row>
    <row r="128" spans="1:23" ht="15" thickBot="1">
      <c r="A128" s="102"/>
      <c r="W128" s="119"/>
    </row>
    <row r="129" spans="1:23" ht="45.75" customHeight="1" thickBot="1">
      <c r="A129" s="314" t="s">
        <v>270</v>
      </c>
      <c r="B129" s="303"/>
      <c r="C129" s="303"/>
      <c r="D129" s="303"/>
      <c r="E129" s="303"/>
      <c r="F129" s="303"/>
      <c r="G129" s="303"/>
      <c r="H129" s="303"/>
      <c r="I129" s="303"/>
      <c r="J129" s="303"/>
      <c r="K129" s="303"/>
      <c r="L129" s="303"/>
      <c r="M129" s="303"/>
      <c r="N129" s="303"/>
      <c r="O129" s="303"/>
      <c r="P129" s="303"/>
      <c r="Q129" s="303"/>
      <c r="R129" s="303"/>
      <c r="S129" s="303"/>
      <c r="T129" s="303"/>
      <c r="U129" s="304"/>
      <c r="W129" s="119"/>
    </row>
    <row r="130" spans="1:23" ht="75" customHeight="1">
      <c r="A130" s="204" t="s">
        <v>67</v>
      </c>
      <c r="B130" s="250" t="s">
        <v>72</v>
      </c>
      <c r="C130" s="248" t="s">
        <v>65</v>
      </c>
      <c r="D130" s="250" t="s">
        <v>68</v>
      </c>
      <c r="E130" s="250" t="s">
        <v>19</v>
      </c>
      <c r="F130" s="305" t="s">
        <v>328</v>
      </c>
      <c r="G130" s="306"/>
      <c r="H130" s="306"/>
      <c r="I130" s="306"/>
      <c r="J130" s="306"/>
      <c r="K130" s="306"/>
      <c r="L130" s="306"/>
      <c r="M130" s="253" t="s">
        <v>321</v>
      </c>
      <c r="N130" s="253" t="s">
        <v>22</v>
      </c>
      <c r="O130" s="250" t="s">
        <v>69</v>
      </c>
      <c r="P130" s="250" t="s">
        <v>70</v>
      </c>
      <c r="Q130" s="250" t="s">
        <v>71</v>
      </c>
      <c r="R130" s="255"/>
      <c r="S130" s="305" t="s">
        <v>66</v>
      </c>
      <c r="T130" s="305"/>
      <c r="U130" s="248" t="s">
        <v>21</v>
      </c>
      <c r="V130" s="120" t="s">
        <v>23</v>
      </c>
      <c r="W130" s="119" t="str">
        <f t="shared" si="3"/>
        <v>Type de combustible</v>
      </c>
    </row>
    <row r="131" spans="1:23" ht="57" customHeight="1">
      <c r="A131" s="104"/>
      <c r="B131" s="3"/>
      <c r="C131" s="5"/>
      <c r="D131" s="5"/>
      <c r="E131" s="6"/>
      <c r="F131" s="8" t="s">
        <v>26</v>
      </c>
      <c r="G131" s="8" t="s">
        <v>27</v>
      </c>
      <c r="H131" s="8" t="s">
        <v>28</v>
      </c>
      <c r="I131" s="8" t="s">
        <v>29</v>
      </c>
      <c r="J131" s="8" t="s">
        <v>30</v>
      </c>
      <c r="K131" s="8" t="s">
        <v>379</v>
      </c>
      <c r="L131" s="8" t="s">
        <v>380</v>
      </c>
      <c r="M131" s="8"/>
      <c r="N131" s="8"/>
      <c r="O131" s="6"/>
      <c r="P131" s="6"/>
      <c r="Q131" s="6"/>
      <c r="R131" s="6"/>
      <c r="S131" s="3" t="s">
        <v>24</v>
      </c>
      <c r="T131" s="3" t="s">
        <v>25</v>
      </c>
      <c r="U131" s="3"/>
      <c r="V131" s="8"/>
      <c r="W131" s="119">
        <f t="shared" si="3"/>
        <v>0</v>
      </c>
    </row>
    <row r="132" spans="1:23" ht="15.6">
      <c r="A132" s="26"/>
      <c r="B132" s="16"/>
      <c r="C132" s="27" t="str">
        <f>IF(ISBLANK(A132)=FALSE,"Lot "&amp;(ROW(C$126)-ROW(C$97)+1-COUNTBLANK(C$97:C$126)+ROW()-ROW(C$132)+1),"")</f>
        <v/>
      </c>
      <c r="D132" s="12"/>
      <c r="E132" s="275"/>
      <c r="F132" s="257"/>
      <c r="G132" s="257"/>
      <c r="H132" s="257"/>
      <c r="I132" s="257"/>
      <c r="J132" s="257"/>
      <c r="K132" s="16"/>
      <c r="L132" s="16"/>
      <c r="M132" s="247"/>
      <c r="N132" s="16"/>
      <c r="O132" s="12"/>
      <c r="P132" s="12"/>
      <c r="Q132" s="12"/>
      <c r="R132" s="14"/>
      <c r="S132" s="13" t="str">
        <f>IF(A132&lt;&gt;"",
IF(OR($A132="Graisses de station d’épuration",$A132="Déchets IAA liquides (&lt;20% MS)",$A132="Déchets liquides industriels",A132= "Autre type de bioliquide (préciser)"),
VLOOKUP($C132,'2. Détail calcul GES'!$A$4:$AI$79,32,FALSE),
VLOOKUP($C132,'2. Détail calcul GES'!$A$4:$AI$79,27,FALSE)),
"")</f>
        <v/>
      </c>
      <c r="T132" s="13" t="str">
        <f>IF(A132&lt;&gt;"",
IF(OR($A132="Graisses de station d’épuration",$A132="Déchets IAA liquides (&lt;20% MS)",$A132="Déchets liquides industriels",$A132="Autre type de bioliquide (préciser)"),
VLOOKUP($C132,'2. Détail calcul GES'!$A$4:$AI$79,34,FALSE),
VLOOKUP($C132,'2. Détail calcul GES'!$A$4:$AI$79,29,FALSE)),
"")</f>
        <v/>
      </c>
      <c r="U132" s="15" t="str">
        <f>IF(OR(A132="Graisses de station d’épuration",A132="Déchets IAA liquides (&lt;20% MS)",A132="Déchets liquides industriels",$A132="Autre type de bioliquide (préciser)"),
VLOOKUP(C132,'2. Détail calcul GES'!$A$4:$AI$79,35,FALSE),
IF(OR('0. Installation'!$B$4&lt;DATE(2021,1,1),A132="Déchets ménagers et assimilés"),
"Pas de critère à respecter",
IF(E132&lt;&gt;"",
IF(AND('0. Installation'!$B$4&gt;=DATE(2021,1,1),'0. Installation'!$B$4&lt;DATE(2026,1,1)),IF(S132&gt;=0.7,"Elec. : oui","Elec. : non"),
IF(S132&gt;=0.8,"Elec. : oui","Elec. : non"))
&amp;" / "&amp;
IF(AND('0. Installation'!$B$4&gt;=DATE(2021,1,1),'0. Installation'!$B$4&lt;DATE(2026,1,1)),IF(T132&gt;=0.7,"Chaleur : oui","Chaleur : non"),
IF(T132&gt;=0.8,"Chaleur : oui","Chaleur : non")),
"")))</f>
        <v>Pas de critère à respecter</v>
      </c>
      <c r="V132" s="9"/>
      <c r="W132" s="119">
        <f t="shared" si="3"/>
        <v>0</v>
      </c>
    </row>
    <row r="133" spans="1:23" ht="15.6">
      <c r="A133" s="26"/>
      <c r="B133" s="16"/>
      <c r="C133" s="27" t="str">
        <f t="shared" ref="C133:C161" si="5">IF(ISBLANK(A133)=FALSE,"Lot "&amp;(ROW(C$126)-ROW(C$97)+1-COUNTBLANK(C$97:C$126)+ROW()-ROW(C$132)+1),"")</f>
        <v/>
      </c>
      <c r="D133" s="12"/>
      <c r="E133" s="275"/>
      <c r="F133" s="257"/>
      <c r="G133" s="257"/>
      <c r="H133" s="257"/>
      <c r="I133" s="257"/>
      <c r="J133" s="257"/>
      <c r="K133" s="16"/>
      <c r="L133" s="16"/>
      <c r="M133" s="247"/>
      <c r="N133" s="16"/>
      <c r="O133" s="12"/>
      <c r="P133" s="12"/>
      <c r="Q133" s="12"/>
      <c r="R133" s="14"/>
      <c r="S133" s="13" t="str">
        <f>IF(A133&lt;&gt;"",
IF(OR($A133="Graisses de station d’épuration",$A133="Déchets IAA liquides (&lt;20% MS)",$A133="Déchets liquides industriels",A133= "Autre type de bioliquide (préciser)"),
VLOOKUP($C133,'2. Détail calcul GES'!$A$4:$AI$79,32,FALSE),
VLOOKUP($C133,'2. Détail calcul GES'!$A$4:$AI$79,27,FALSE)),
"")</f>
        <v/>
      </c>
      <c r="T133" s="13" t="str">
        <f>IF(A133&lt;&gt;"",
IF(OR($A133="Graisses de station d’épuration",$A133="Déchets IAA liquides (&lt;20% MS)",$A133="Déchets liquides industriels",$A133="Autre type de bioliquide (préciser)"),
VLOOKUP($C133,'2. Détail calcul GES'!$A$4:$AI$79,34,FALSE),
VLOOKUP($C133,'2. Détail calcul GES'!$A$4:$AI$79,29,FALSE)),
"")</f>
        <v/>
      </c>
      <c r="U133" s="15" t="str">
        <f>IF(OR(A133="Graisses de station d’épuration",A133="Déchets IAA liquides (&lt;20% MS)",A133="Déchets liquides industriels",$A133="Autre type de bioliquide (préciser)"),
VLOOKUP(C133,'2. Détail calcul GES'!$A$4:$AI$79,35,FALSE),
IF(OR('0. Installation'!$B$4&lt;DATE(2021,1,1),A133="Déchets ménagers et assimilés"),
"Pas de critère à respecter",
IF(E133&lt;&gt;"",
IF(AND('0. Installation'!$B$4&gt;=DATE(2021,1,1),'0. Installation'!$B$4&lt;DATE(2026,1,1)),IF(S133&gt;=0.7,"Elec. : oui","Elec. : non"),
IF(S133&gt;=0.8,"Elec. : oui","Elec. : non"))
&amp;" / "&amp;
IF(AND('0. Installation'!$B$4&gt;=DATE(2021,1,1),'0. Installation'!$B$4&lt;DATE(2026,1,1)),IF(T133&gt;=0.7,"Chaleur : oui","Chaleur : non"),
IF(T133&gt;=0.8,"Chaleur : oui","Chaleur : non")),
"")))</f>
        <v>Pas de critère à respecter</v>
      </c>
      <c r="V133" s="9"/>
      <c r="W133" s="119">
        <f t="shared" si="3"/>
        <v>0</v>
      </c>
    </row>
    <row r="134" spans="1:23" ht="15.6">
      <c r="A134" s="26"/>
      <c r="B134" s="16"/>
      <c r="C134" s="27" t="str">
        <f t="shared" si="5"/>
        <v/>
      </c>
      <c r="D134" s="12"/>
      <c r="E134" s="275" t="str">
        <f>IF(A134&lt;&gt;"","A compléter","")</f>
        <v/>
      </c>
      <c r="F134" s="257"/>
      <c r="G134" s="257"/>
      <c r="H134" s="257"/>
      <c r="I134" s="257"/>
      <c r="J134" s="257"/>
      <c r="K134" s="16"/>
      <c r="L134" s="16"/>
      <c r="M134" s="247"/>
      <c r="N134" s="16"/>
      <c r="O134" s="12"/>
      <c r="P134" s="12"/>
      <c r="Q134" s="12"/>
      <c r="R134" s="14"/>
      <c r="S134" s="13" t="str">
        <f>IF(A134&lt;&gt;"",
IF(OR($A134="Graisses de station d’épuration",$A134="Déchets IAA liquides (&lt;20% MS)",$A134="Déchets liquides industriels",A134= "Autre type de bioliquide (préciser)"),
VLOOKUP($C134,'2. Détail calcul GES'!$A$4:$AI$79,32,FALSE),
VLOOKUP($C134,'2. Détail calcul GES'!$A$4:$AI$79,27,FALSE)),
"")</f>
        <v/>
      </c>
      <c r="T134" s="13" t="str">
        <f>IF(A134&lt;&gt;"",
IF(OR($A134="Graisses de station d’épuration",$A134="Déchets IAA liquides (&lt;20% MS)",$A134="Déchets liquides industriels",$A134="Autre type de bioliquide (préciser)"),
VLOOKUP($C134,'2. Détail calcul GES'!$A$4:$AI$79,34,FALSE),
VLOOKUP($C134,'2. Détail calcul GES'!$A$4:$AI$79,29,FALSE)),
"")</f>
        <v/>
      </c>
      <c r="U134" s="15" t="str">
        <f>IF(OR(A134="Graisses de station d’épuration",A134="Déchets IAA liquides (&lt;20% MS)",A134="Déchets liquides industriels",$A134="Autre type de bioliquide (préciser)"),
VLOOKUP(C134,'2. Détail calcul GES'!$A$4:$AI$79,35,FALSE),
IF(OR('0. Installation'!$B$4&lt;DATE(2021,1,1),A134="Déchets ménagers et assimilés"),
"Pas de critère à respecter",
IF(E134&lt;&gt;"",
IF(AND('0. Installation'!$B$4&gt;=DATE(2021,1,1),'0. Installation'!$B$4&lt;DATE(2026,1,1)),IF(S134&gt;=0.7,"Elec. : oui","Elec. : non"),
IF(S134&gt;=0.8,"Elec. : oui","Elec. : non"))
&amp;" / "&amp;
IF(AND('0. Installation'!$B$4&gt;=DATE(2021,1,1),'0. Installation'!$B$4&lt;DATE(2026,1,1)),IF(T134&gt;=0.7,"Chaleur : oui","Chaleur : non"),
IF(T134&gt;=0.8,"Chaleur : oui","Chaleur : non")),
"")))</f>
        <v>Pas de critère à respecter</v>
      </c>
      <c r="V134" s="9"/>
      <c r="W134" s="119">
        <f t="shared" si="3"/>
        <v>0</v>
      </c>
    </row>
    <row r="135" spans="1:23" ht="15.6">
      <c r="A135" s="26"/>
      <c r="B135" s="16"/>
      <c r="C135" s="27" t="str">
        <f t="shared" si="5"/>
        <v/>
      </c>
      <c r="D135" s="12"/>
      <c r="E135" s="275" t="str">
        <f t="shared" ref="E135:E161" si="6">IF(A135&lt;&gt;"","A compléter","")</f>
        <v/>
      </c>
      <c r="F135" s="257"/>
      <c r="G135" s="257"/>
      <c r="H135" s="257"/>
      <c r="I135" s="257"/>
      <c r="J135" s="257"/>
      <c r="K135" s="16"/>
      <c r="L135" s="16"/>
      <c r="M135" s="247"/>
      <c r="N135" s="16"/>
      <c r="O135" s="12"/>
      <c r="P135" s="12"/>
      <c r="Q135" s="12"/>
      <c r="R135" s="14"/>
      <c r="S135" s="13" t="str">
        <f>IF(A135&lt;&gt;"",
IF(OR($A135="Graisses de station d’épuration",$A135="Déchets IAA liquides (&lt;20% MS)",$A135="Déchets liquides industriels",A135= "Autre type de bioliquide (préciser)"),
VLOOKUP($C135,'2. Détail calcul GES'!$A$4:$AI$79,32,FALSE),
VLOOKUP($C135,'2. Détail calcul GES'!$A$4:$AI$79,27,FALSE)),
"")</f>
        <v/>
      </c>
      <c r="T135" s="13" t="str">
        <f>IF(A135&lt;&gt;"",
IF(OR($A135="Graisses de station d’épuration",$A135="Déchets IAA liquides (&lt;20% MS)",$A135="Déchets liquides industriels",$A135="Autre type de bioliquide (préciser)"),
VLOOKUP($C135,'2. Détail calcul GES'!$A$4:$AI$79,34,FALSE),
VLOOKUP($C135,'2. Détail calcul GES'!$A$4:$AI$79,29,FALSE)),
"")</f>
        <v/>
      </c>
      <c r="U135" s="15" t="str">
        <f>IF(OR(A135="Graisses de station d’épuration",A135="Déchets IAA liquides (&lt;20% MS)",A135="Déchets liquides industriels",$A135="Autre type de bioliquide (préciser)"),
VLOOKUP(C135,'2. Détail calcul GES'!$A$4:$AI$79,35,FALSE),
IF(OR('0. Installation'!$B$4&lt;DATE(2021,1,1),A135="Déchets ménagers et assimilés"),
"Pas de critère à respecter",
IF(E135&lt;&gt;"",
IF(AND('0. Installation'!$B$4&gt;=DATE(2021,1,1),'0. Installation'!$B$4&lt;DATE(2026,1,1)),IF(S135&gt;=0.7,"Elec. : oui","Elec. : non"),
IF(S135&gt;=0.8,"Elec. : oui","Elec. : non"))
&amp;" / "&amp;
IF(AND('0. Installation'!$B$4&gt;=DATE(2021,1,1),'0. Installation'!$B$4&lt;DATE(2026,1,1)),IF(T135&gt;=0.7,"Chaleur : oui","Chaleur : non"),
IF(T135&gt;=0.8,"Chaleur : oui","Chaleur : non")),
"")))</f>
        <v>Pas de critère à respecter</v>
      </c>
      <c r="V135" s="9"/>
      <c r="W135" s="119">
        <f t="shared" si="3"/>
        <v>0</v>
      </c>
    </row>
    <row r="136" spans="1:23" ht="15.6">
      <c r="A136" s="26"/>
      <c r="B136" s="16"/>
      <c r="C136" s="27" t="str">
        <f t="shared" si="5"/>
        <v/>
      </c>
      <c r="D136" s="12"/>
      <c r="E136" s="275" t="str">
        <f t="shared" si="6"/>
        <v/>
      </c>
      <c r="F136" s="257"/>
      <c r="G136" s="257"/>
      <c r="H136" s="257"/>
      <c r="I136" s="257"/>
      <c r="J136" s="257"/>
      <c r="K136" s="16"/>
      <c r="L136" s="16"/>
      <c r="M136" s="247"/>
      <c r="N136" s="16"/>
      <c r="O136" s="12"/>
      <c r="P136" s="12"/>
      <c r="Q136" s="12"/>
      <c r="R136" s="14"/>
      <c r="S136" s="13" t="str">
        <f>IF(A136&lt;&gt;"",
IF(OR($A136="Graisses de station d’épuration",$A136="Déchets IAA liquides (&lt;20% MS)",$A136="Déchets liquides industriels",A136= "Autre type de bioliquide (préciser)"),
VLOOKUP($C136,'2. Détail calcul GES'!$A$4:$AI$79,32,FALSE),
VLOOKUP($C136,'2. Détail calcul GES'!$A$4:$AI$79,27,FALSE)),
"")</f>
        <v/>
      </c>
      <c r="T136" s="13" t="str">
        <f>IF(A136&lt;&gt;"",
IF(OR($A136="Graisses de station d’épuration",$A136="Déchets IAA liquides (&lt;20% MS)",$A136="Déchets liquides industriels",$A136="Autre type de bioliquide (préciser)"),
VLOOKUP($C136,'2. Détail calcul GES'!$A$4:$AI$79,34,FALSE),
VLOOKUP($C136,'2. Détail calcul GES'!$A$4:$AI$79,29,FALSE)),
"")</f>
        <v/>
      </c>
      <c r="U136" s="15" t="str">
        <f>IF(OR(A136="Graisses de station d’épuration",A136="Déchets IAA liquides (&lt;20% MS)",A136="Déchets liquides industriels",$A136="Autre type de bioliquide (préciser)"),
VLOOKUP(C136,'2. Détail calcul GES'!$A$4:$AI$79,35,FALSE),
IF(OR('0. Installation'!$B$4&lt;DATE(2021,1,1),A136="Déchets ménagers et assimilés"),
"Pas de critère à respecter",
IF(E136&lt;&gt;"",
IF(AND('0. Installation'!$B$4&gt;=DATE(2021,1,1),'0. Installation'!$B$4&lt;DATE(2026,1,1)),IF(S136&gt;=0.7,"Elec. : oui","Elec. : non"),
IF(S136&gt;=0.8,"Elec. : oui","Elec. : non"))
&amp;" / "&amp;
IF(AND('0. Installation'!$B$4&gt;=DATE(2021,1,1),'0. Installation'!$B$4&lt;DATE(2026,1,1)),IF(T136&gt;=0.7,"Chaleur : oui","Chaleur : non"),
IF(T136&gt;=0.8,"Chaleur : oui","Chaleur : non")),
"")))</f>
        <v>Pas de critère à respecter</v>
      </c>
      <c r="V136" s="9"/>
      <c r="W136" s="119">
        <f t="shared" si="3"/>
        <v>0</v>
      </c>
    </row>
    <row r="137" spans="1:23" ht="15.6">
      <c r="A137" s="26"/>
      <c r="B137" s="16"/>
      <c r="C137" s="27" t="str">
        <f t="shared" si="5"/>
        <v/>
      </c>
      <c r="D137" s="12"/>
      <c r="E137" s="275" t="str">
        <f t="shared" si="6"/>
        <v/>
      </c>
      <c r="F137" s="257"/>
      <c r="G137" s="257"/>
      <c r="H137" s="257"/>
      <c r="I137" s="257"/>
      <c r="J137" s="257"/>
      <c r="K137" s="16"/>
      <c r="L137" s="16"/>
      <c r="M137" s="247"/>
      <c r="N137" s="16"/>
      <c r="O137" s="12"/>
      <c r="P137" s="12"/>
      <c r="Q137" s="12"/>
      <c r="R137" s="14"/>
      <c r="S137" s="13" t="str">
        <f>IF(A137&lt;&gt;"",
IF(OR($A137="Graisses de station d’épuration",$A137="Déchets IAA liquides (&lt;20% MS)",$A137="Déchets liquides industriels",A137= "Autre type de bioliquide (préciser)"),
VLOOKUP($C137,'2. Détail calcul GES'!$A$4:$AI$79,32,FALSE),
VLOOKUP($C137,'2. Détail calcul GES'!$A$4:$AI$79,27,FALSE)),
"")</f>
        <v/>
      </c>
      <c r="T137" s="13" t="str">
        <f>IF(A137&lt;&gt;"",
IF(OR($A137="Graisses de station d’épuration",$A137="Déchets IAA liquides (&lt;20% MS)",$A137="Déchets liquides industriels",$A137="Autre type de bioliquide (préciser)"),
VLOOKUP($C137,'2. Détail calcul GES'!$A$4:$AI$79,34,FALSE),
VLOOKUP($C137,'2. Détail calcul GES'!$A$4:$AI$79,29,FALSE)),
"")</f>
        <v/>
      </c>
      <c r="U137" s="15" t="str">
        <f>IF(OR(A137="Graisses de station d’épuration",A137="Déchets IAA liquides (&lt;20% MS)",A137="Déchets liquides industriels",$A137="Autre type de bioliquide (préciser)"),
VLOOKUP(C137,'2. Détail calcul GES'!$A$4:$AI$79,35,FALSE),
IF(OR('0. Installation'!$B$4&lt;DATE(2021,1,1),A137="Déchets ménagers et assimilés"),
"Pas de critère à respecter",
IF(E137&lt;&gt;"",
IF(AND('0. Installation'!$B$4&gt;=DATE(2021,1,1),'0. Installation'!$B$4&lt;DATE(2026,1,1)),IF(S137&gt;=0.7,"Elec. : oui","Elec. : non"),
IF(S137&gt;=0.8,"Elec. : oui","Elec. : non"))
&amp;" / "&amp;
IF(AND('0. Installation'!$B$4&gt;=DATE(2021,1,1),'0. Installation'!$B$4&lt;DATE(2026,1,1)),IF(T137&gt;=0.7,"Chaleur : oui","Chaleur : non"),
IF(T137&gt;=0.8,"Chaleur : oui","Chaleur : non")),
"")))</f>
        <v>Pas de critère à respecter</v>
      </c>
      <c r="V137" s="9"/>
      <c r="W137" s="119">
        <f t="shared" si="3"/>
        <v>0</v>
      </c>
    </row>
    <row r="138" spans="1:23" ht="15.6">
      <c r="A138" s="26"/>
      <c r="B138" s="16"/>
      <c r="C138" s="27" t="str">
        <f t="shared" si="5"/>
        <v/>
      </c>
      <c r="D138" s="12"/>
      <c r="E138" s="275" t="str">
        <f t="shared" si="6"/>
        <v/>
      </c>
      <c r="F138" s="257"/>
      <c r="G138" s="257"/>
      <c r="H138" s="257"/>
      <c r="I138" s="257"/>
      <c r="J138" s="257"/>
      <c r="K138" s="16"/>
      <c r="L138" s="16"/>
      <c r="M138" s="247"/>
      <c r="N138" s="16"/>
      <c r="O138" s="12"/>
      <c r="P138" s="12"/>
      <c r="Q138" s="12"/>
      <c r="R138" s="14"/>
      <c r="S138" s="13" t="str">
        <f>IF(A138&lt;&gt;"",
IF(OR($A138="Graisses de station d’épuration",$A138="Déchets IAA liquides (&lt;20% MS)",$A138="Déchets liquides industriels",A138= "Autre type de bioliquide (préciser)"),
VLOOKUP($C138,'2. Détail calcul GES'!$A$4:$AI$79,32,FALSE),
VLOOKUP($C138,'2. Détail calcul GES'!$A$4:$AI$79,27,FALSE)),
"")</f>
        <v/>
      </c>
      <c r="T138" s="13" t="str">
        <f>IF(A138&lt;&gt;"",
IF(OR($A138="Graisses de station d’épuration",$A138="Déchets IAA liquides (&lt;20% MS)",$A138="Déchets liquides industriels",$A138="Autre type de bioliquide (préciser)"),
VLOOKUP($C138,'2. Détail calcul GES'!$A$4:$AI$79,34,FALSE),
VLOOKUP($C138,'2. Détail calcul GES'!$A$4:$AI$79,29,FALSE)),
"")</f>
        <v/>
      </c>
      <c r="U138" s="15" t="str">
        <f>IF(OR(A138="Graisses de station d’épuration",A138="Déchets IAA liquides (&lt;20% MS)",A138="Déchets liquides industriels",$A138="Autre type de bioliquide (préciser)"),
VLOOKUP(C138,'2. Détail calcul GES'!$A$4:$AI$79,35,FALSE),
IF(OR('0. Installation'!$B$4&lt;DATE(2021,1,1),A138="Déchets ménagers et assimilés"),
"Pas de critère à respecter",
IF(E138&lt;&gt;"",
IF(AND('0. Installation'!$B$4&gt;=DATE(2021,1,1),'0. Installation'!$B$4&lt;DATE(2026,1,1)),IF(S138&gt;=0.7,"Elec. : oui","Elec. : non"),
IF(S138&gt;=0.8,"Elec. : oui","Elec. : non"))
&amp;" / "&amp;
IF(AND('0. Installation'!$B$4&gt;=DATE(2021,1,1),'0. Installation'!$B$4&lt;DATE(2026,1,1)),IF(T138&gt;=0.7,"Chaleur : oui","Chaleur : non"),
IF(T138&gt;=0.8,"Chaleur : oui","Chaleur : non")),
"")))</f>
        <v>Pas de critère à respecter</v>
      </c>
      <c r="V138" s="9"/>
      <c r="W138" s="119">
        <f t="shared" si="3"/>
        <v>0</v>
      </c>
    </row>
    <row r="139" spans="1:23" ht="15.6">
      <c r="A139" s="26"/>
      <c r="B139" s="16"/>
      <c r="C139" s="27" t="str">
        <f t="shared" si="5"/>
        <v/>
      </c>
      <c r="D139" s="12"/>
      <c r="E139" s="275" t="str">
        <f t="shared" si="6"/>
        <v/>
      </c>
      <c r="F139" s="257"/>
      <c r="G139" s="257"/>
      <c r="H139" s="257"/>
      <c r="I139" s="257"/>
      <c r="J139" s="257"/>
      <c r="K139" s="16"/>
      <c r="L139" s="16"/>
      <c r="M139" s="247"/>
      <c r="N139" s="16"/>
      <c r="O139" s="12"/>
      <c r="P139" s="12"/>
      <c r="Q139" s="12"/>
      <c r="R139" s="14"/>
      <c r="S139" s="13" t="str">
        <f>IF(A139&lt;&gt;"",
IF(OR($A139="Graisses de station d’épuration",$A139="Déchets IAA liquides (&lt;20% MS)",$A139="Déchets liquides industriels",A139= "Autre type de bioliquide (préciser)"),
VLOOKUP($C139,'2. Détail calcul GES'!$A$4:$AI$79,32,FALSE),
VLOOKUP($C139,'2. Détail calcul GES'!$A$4:$AI$79,27,FALSE)),
"")</f>
        <v/>
      </c>
      <c r="T139" s="13" t="str">
        <f>IF(A139&lt;&gt;"",
IF(OR($A139="Graisses de station d’épuration",$A139="Déchets IAA liquides (&lt;20% MS)",$A139="Déchets liquides industriels",$A139="Autre type de bioliquide (préciser)"),
VLOOKUP($C139,'2. Détail calcul GES'!$A$4:$AI$79,34,FALSE),
VLOOKUP($C139,'2. Détail calcul GES'!$A$4:$AI$79,29,FALSE)),
"")</f>
        <v/>
      </c>
      <c r="U139" s="15" t="str">
        <f>IF(OR(A139="Graisses de station d’épuration",A139="Déchets IAA liquides (&lt;20% MS)",A139="Déchets liquides industriels",$A139="Autre type de bioliquide (préciser)"),
VLOOKUP(C139,'2. Détail calcul GES'!$A$4:$AI$79,35,FALSE),
IF(OR('0. Installation'!$B$4&lt;DATE(2021,1,1),A139="Déchets ménagers et assimilés"),
"Pas de critère à respecter",
IF(E139&lt;&gt;"",
IF(AND('0. Installation'!$B$4&gt;=DATE(2021,1,1),'0. Installation'!$B$4&lt;DATE(2026,1,1)),IF(S139&gt;=0.7,"Elec. : oui","Elec. : non"),
IF(S139&gt;=0.8,"Elec. : oui","Elec. : non"))
&amp;" / "&amp;
IF(AND('0. Installation'!$B$4&gt;=DATE(2021,1,1),'0. Installation'!$B$4&lt;DATE(2026,1,1)),IF(T139&gt;=0.7,"Chaleur : oui","Chaleur : non"),
IF(T139&gt;=0.8,"Chaleur : oui","Chaleur : non")),
"")))</f>
        <v>Pas de critère à respecter</v>
      </c>
      <c r="V139" s="9"/>
      <c r="W139" s="119">
        <f t="shared" si="3"/>
        <v>0</v>
      </c>
    </row>
    <row r="140" spans="1:23" ht="15.6">
      <c r="A140" s="26"/>
      <c r="B140" s="16"/>
      <c r="C140" s="27" t="str">
        <f t="shared" si="5"/>
        <v/>
      </c>
      <c r="D140" s="12"/>
      <c r="E140" s="275" t="str">
        <f t="shared" si="6"/>
        <v/>
      </c>
      <c r="F140" s="257"/>
      <c r="G140" s="257"/>
      <c r="H140" s="257"/>
      <c r="I140" s="257"/>
      <c r="J140" s="257"/>
      <c r="K140" s="16"/>
      <c r="L140" s="16"/>
      <c r="M140" s="247"/>
      <c r="N140" s="16"/>
      <c r="O140" s="12"/>
      <c r="P140" s="12"/>
      <c r="Q140" s="12"/>
      <c r="R140" s="14"/>
      <c r="S140" s="13" t="str">
        <f>IF(A140&lt;&gt;"",
IF(OR($A140="Graisses de station d’épuration",$A140="Déchets IAA liquides (&lt;20% MS)",$A140="Déchets liquides industriels",A140= "Autre type de bioliquide (préciser)"),
VLOOKUP($C140,'2. Détail calcul GES'!$A$4:$AI$79,32,FALSE),
VLOOKUP($C140,'2. Détail calcul GES'!$A$4:$AI$79,27,FALSE)),
"")</f>
        <v/>
      </c>
      <c r="T140" s="13" t="str">
        <f>IF(A140&lt;&gt;"",
IF(OR($A140="Graisses de station d’épuration",$A140="Déchets IAA liquides (&lt;20% MS)",$A140="Déchets liquides industriels",$A140="Autre type de bioliquide (préciser)"),
VLOOKUP($C140,'2. Détail calcul GES'!$A$4:$AI$79,34,FALSE),
VLOOKUP($C140,'2. Détail calcul GES'!$A$4:$AI$79,29,FALSE)),
"")</f>
        <v/>
      </c>
      <c r="U140" s="15" t="str">
        <f>IF(OR(A140="Graisses de station d’épuration",A140="Déchets IAA liquides (&lt;20% MS)",A140="Déchets liquides industriels",$A140="Autre type de bioliquide (préciser)"),
VLOOKUP(C140,'2. Détail calcul GES'!$A$4:$AI$79,35,FALSE),
IF(OR('0. Installation'!$B$4&lt;DATE(2021,1,1),A140="Déchets ménagers et assimilés"),
"Pas de critère à respecter",
IF(E140&lt;&gt;"",
IF(AND('0. Installation'!$B$4&gt;=DATE(2021,1,1),'0. Installation'!$B$4&lt;DATE(2026,1,1)),IF(S140&gt;=0.7,"Elec. : oui","Elec. : non"),
IF(S140&gt;=0.8,"Elec. : oui","Elec. : non"))
&amp;" / "&amp;
IF(AND('0. Installation'!$B$4&gt;=DATE(2021,1,1),'0. Installation'!$B$4&lt;DATE(2026,1,1)),IF(T140&gt;=0.7,"Chaleur : oui","Chaleur : non"),
IF(T140&gt;=0.8,"Chaleur : oui","Chaleur : non")),
"")))</f>
        <v>Pas de critère à respecter</v>
      </c>
      <c r="V140" s="9"/>
      <c r="W140" s="119">
        <f t="shared" si="3"/>
        <v>0</v>
      </c>
    </row>
    <row r="141" spans="1:23" ht="15.6">
      <c r="A141" s="26"/>
      <c r="B141" s="16"/>
      <c r="C141" s="27" t="str">
        <f t="shared" si="5"/>
        <v/>
      </c>
      <c r="D141" s="12"/>
      <c r="E141" s="275" t="str">
        <f t="shared" si="6"/>
        <v/>
      </c>
      <c r="F141" s="257"/>
      <c r="G141" s="257"/>
      <c r="H141" s="257"/>
      <c r="I141" s="257"/>
      <c r="J141" s="257"/>
      <c r="K141" s="16"/>
      <c r="L141" s="16"/>
      <c r="M141" s="247"/>
      <c r="N141" s="16"/>
      <c r="O141" s="12"/>
      <c r="P141" s="12"/>
      <c r="Q141" s="12"/>
      <c r="R141" s="14"/>
      <c r="S141" s="13" t="str">
        <f>IF(A141&lt;&gt;"",
IF(OR($A141="Graisses de station d’épuration",$A141="Déchets IAA liquides (&lt;20% MS)",$A141="Déchets liquides industriels",A141= "Autre type de bioliquide (préciser)"),
VLOOKUP($C141,'2. Détail calcul GES'!$A$4:$AI$79,32,FALSE),
VLOOKUP($C141,'2. Détail calcul GES'!$A$4:$AI$79,27,FALSE)),
"")</f>
        <v/>
      </c>
      <c r="T141" s="13" t="str">
        <f>IF(A141&lt;&gt;"",
IF(OR($A141="Graisses de station d’épuration",$A141="Déchets IAA liquides (&lt;20% MS)",$A141="Déchets liquides industriels",$A141="Autre type de bioliquide (préciser)"),
VLOOKUP($C141,'2. Détail calcul GES'!$A$4:$AI$79,34,FALSE),
VLOOKUP($C141,'2. Détail calcul GES'!$A$4:$AI$79,29,FALSE)),
"")</f>
        <v/>
      </c>
      <c r="U141" s="15" t="str">
        <f>IF(OR(A141="Graisses de station d’épuration",A141="Déchets IAA liquides (&lt;20% MS)",A141="Déchets liquides industriels",$A141="Autre type de bioliquide (préciser)"),
VLOOKUP(C141,'2. Détail calcul GES'!$A$4:$AI$79,35,FALSE),
IF(OR('0. Installation'!$B$4&lt;DATE(2021,1,1),A141="Déchets ménagers et assimilés"),
"Pas de critère à respecter",
IF(E141&lt;&gt;"",
IF(AND('0. Installation'!$B$4&gt;=DATE(2021,1,1),'0. Installation'!$B$4&lt;DATE(2026,1,1)),IF(S141&gt;=0.7,"Elec. : oui","Elec. : non"),
IF(S141&gt;=0.8,"Elec. : oui","Elec. : non"))
&amp;" / "&amp;
IF(AND('0. Installation'!$B$4&gt;=DATE(2021,1,1),'0. Installation'!$B$4&lt;DATE(2026,1,1)),IF(T141&gt;=0.7,"Chaleur : oui","Chaleur : non"),
IF(T141&gt;=0.8,"Chaleur : oui","Chaleur : non")),
"")))</f>
        <v>Pas de critère à respecter</v>
      </c>
      <c r="V141" s="9"/>
      <c r="W141" s="119">
        <f t="shared" si="3"/>
        <v>0</v>
      </c>
    </row>
    <row r="142" spans="1:23" ht="15.6">
      <c r="A142" s="26"/>
      <c r="B142" s="16"/>
      <c r="C142" s="27" t="str">
        <f t="shared" si="5"/>
        <v/>
      </c>
      <c r="D142" s="12"/>
      <c r="E142" s="275" t="str">
        <f t="shared" si="6"/>
        <v/>
      </c>
      <c r="F142" s="257"/>
      <c r="G142" s="257"/>
      <c r="H142" s="257"/>
      <c r="I142" s="257"/>
      <c r="J142" s="257"/>
      <c r="K142" s="16"/>
      <c r="L142" s="16"/>
      <c r="M142" s="247"/>
      <c r="N142" s="16"/>
      <c r="O142" s="12"/>
      <c r="P142" s="12"/>
      <c r="Q142" s="12"/>
      <c r="R142" s="14"/>
      <c r="S142" s="13" t="str">
        <f>IF(A142&lt;&gt;"",
IF(OR($A142="Graisses de station d’épuration",$A142="Déchets IAA liquides (&lt;20% MS)",$A142="Déchets liquides industriels",A142= "Autre type de bioliquide (préciser)"),
VLOOKUP($C142,'2. Détail calcul GES'!$A$4:$AI$79,32,FALSE),
VLOOKUP($C142,'2. Détail calcul GES'!$A$4:$AI$79,27,FALSE)),
"")</f>
        <v/>
      </c>
      <c r="T142" s="13" t="str">
        <f>IF(A142&lt;&gt;"",
IF(OR($A142="Graisses de station d’épuration",$A142="Déchets IAA liquides (&lt;20% MS)",$A142="Déchets liquides industriels",$A142="Autre type de bioliquide (préciser)"),
VLOOKUP($C142,'2. Détail calcul GES'!$A$4:$AI$79,34,FALSE),
VLOOKUP($C142,'2. Détail calcul GES'!$A$4:$AI$79,29,FALSE)),
"")</f>
        <v/>
      </c>
      <c r="U142" s="15" t="str">
        <f>IF(OR(A142="Graisses de station d’épuration",A142="Déchets IAA liquides (&lt;20% MS)",A142="Déchets liquides industriels",$A142="Autre type de bioliquide (préciser)"),
VLOOKUP(C142,'2. Détail calcul GES'!$A$4:$AI$79,35,FALSE),
IF(OR('0. Installation'!$B$4&lt;DATE(2021,1,1),A142="Déchets ménagers et assimilés"),
"Pas de critère à respecter",
IF(E142&lt;&gt;"",
IF(AND('0. Installation'!$B$4&gt;=DATE(2021,1,1),'0. Installation'!$B$4&lt;DATE(2026,1,1)),IF(S142&gt;=0.7,"Elec. : oui","Elec. : non"),
IF(S142&gt;=0.8,"Elec. : oui","Elec. : non"))
&amp;" / "&amp;
IF(AND('0. Installation'!$B$4&gt;=DATE(2021,1,1),'0. Installation'!$B$4&lt;DATE(2026,1,1)),IF(T142&gt;=0.7,"Chaleur : oui","Chaleur : non"),
IF(T142&gt;=0.8,"Chaleur : oui","Chaleur : non")),
"")))</f>
        <v>Pas de critère à respecter</v>
      </c>
      <c r="V142" s="9"/>
      <c r="W142" s="119">
        <f t="shared" si="3"/>
        <v>0</v>
      </c>
    </row>
    <row r="143" spans="1:23" ht="15.6">
      <c r="A143" s="26"/>
      <c r="B143" s="16"/>
      <c r="C143" s="27" t="str">
        <f t="shared" si="5"/>
        <v/>
      </c>
      <c r="D143" s="12"/>
      <c r="E143" s="275" t="str">
        <f t="shared" si="6"/>
        <v/>
      </c>
      <c r="F143" s="257"/>
      <c r="G143" s="257"/>
      <c r="H143" s="257"/>
      <c r="I143" s="257"/>
      <c r="J143" s="257"/>
      <c r="K143" s="16"/>
      <c r="L143" s="16"/>
      <c r="M143" s="247"/>
      <c r="N143" s="16"/>
      <c r="O143" s="12"/>
      <c r="P143" s="12"/>
      <c r="Q143" s="12"/>
      <c r="R143" s="14"/>
      <c r="S143" s="13" t="str">
        <f>IF(A143&lt;&gt;"",
IF(OR($A143="Graisses de station d’épuration",$A143="Déchets IAA liquides (&lt;20% MS)",$A143="Déchets liquides industriels",A143= "Autre type de bioliquide (préciser)"),
VLOOKUP($C143,'2. Détail calcul GES'!$A$4:$AI$79,32,FALSE),
VLOOKUP($C143,'2. Détail calcul GES'!$A$4:$AI$79,27,FALSE)),
"")</f>
        <v/>
      </c>
      <c r="T143" s="13" t="str">
        <f>IF(A143&lt;&gt;"",
IF(OR($A143="Graisses de station d’épuration",$A143="Déchets IAA liquides (&lt;20% MS)",$A143="Déchets liquides industriels",$A143="Autre type de bioliquide (préciser)"),
VLOOKUP($C143,'2. Détail calcul GES'!$A$4:$AI$79,34,FALSE),
VLOOKUP($C143,'2. Détail calcul GES'!$A$4:$AI$79,29,FALSE)),
"")</f>
        <v/>
      </c>
      <c r="U143" s="15" t="str">
        <f>IF(OR(A143="Graisses de station d’épuration",A143="Déchets IAA liquides (&lt;20% MS)",A143="Déchets liquides industriels",$A143="Autre type de bioliquide (préciser)"),
VLOOKUP(C143,'2. Détail calcul GES'!$A$4:$AI$79,35,FALSE),
IF(OR('0. Installation'!$B$4&lt;DATE(2021,1,1),A143="Déchets ménagers et assimilés"),
"Pas de critère à respecter",
IF(E143&lt;&gt;"",
IF(AND('0. Installation'!$B$4&gt;=DATE(2021,1,1),'0. Installation'!$B$4&lt;DATE(2026,1,1)),IF(S143&gt;=0.7,"Elec. : oui","Elec. : non"),
IF(S143&gt;=0.8,"Elec. : oui","Elec. : non"))
&amp;" / "&amp;
IF(AND('0. Installation'!$B$4&gt;=DATE(2021,1,1),'0. Installation'!$B$4&lt;DATE(2026,1,1)),IF(T143&gt;=0.7,"Chaleur : oui","Chaleur : non"),
IF(T143&gt;=0.8,"Chaleur : oui","Chaleur : non")),
"")))</f>
        <v>Pas de critère à respecter</v>
      </c>
      <c r="V143" s="9"/>
      <c r="W143" s="119">
        <f t="shared" si="3"/>
        <v>0</v>
      </c>
    </row>
    <row r="144" spans="1:23" ht="15.6">
      <c r="A144" s="26"/>
      <c r="B144" s="16"/>
      <c r="C144" s="27" t="str">
        <f t="shared" si="5"/>
        <v/>
      </c>
      <c r="D144" s="12"/>
      <c r="E144" s="275" t="str">
        <f t="shared" si="6"/>
        <v/>
      </c>
      <c r="F144" s="257"/>
      <c r="G144" s="257"/>
      <c r="H144" s="257"/>
      <c r="I144" s="257"/>
      <c r="J144" s="257"/>
      <c r="K144" s="16"/>
      <c r="L144" s="16"/>
      <c r="M144" s="247"/>
      <c r="N144" s="16"/>
      <c r="O144" s="12"/>
      <c r="P144" s="12"/>
      <c r="Q144" s="12"/>
      <c r="R144" s="14"/>
      <c r="S144" s="13" t="str">
        <f>IF(A144&lt;&gt;"",
IF(OR($A144="Graisses de station d’épuration",$A144="Déchets IAA liquides (&lt;20% MS)",$A144="Déchets liquides industriels",A144= "Autre type de bioliquide (préciser)"),
VLOOKUP($C144,'2. Détail calcul GES'!$A$4:$AI$79,32,FALSE),
VLOOKUP($C144,'2. Détail calcul GES'!$A$4:$AI$79,27,FALSE)),
"")</f>
        <v/>
      </c>
      <c r="T144" s="13" t="str">
        <f>IF(A144&lt;&gt;"",
IF(OR($A144="Graisses de station d’épuration",$A144="Déchets IAA liquides (&lt;20% MS)",$A144="Déchets liquides industriels",$A144="Autre type de bioliquide (préciser)"),
VLOOKUP($C144,'2. Détail calcul GES'!$A$4:$AI$79,34,FALSE),
VLOOKUP($C144,'2. Détail calcul GES'!$A$4:$AI$79,29,FALSE)),
"")</f>
        <v/>
      </c>
      <c r="U144" s="15" t="str">
        <f>IF(OR(A144="Graisses de station d’épuration",A144="Déchets IAA liquides (&lt;20% MS)",A144="Déchets liquides industriels",$A144="Autre type de bioliquide (préciser)"),
VLOOKUP(C144,'2. Détail calcul GES'!$A$4:$AI$79,35,FALSE),
IF(OR('0. Installation'!$B$4&lt;DATE(2021,1,1),A144="Déchets ménagers et assimilés"),
"Pas de critère à respecter",
IF(E144&lt;&gt;"",
IF(AND('0. Installation'!$B$4&gt;=DATE(2021,1,1),'0. Installation'!$B$4&lt;DATE(2026,1,1)),IF(S144&gt;=0.7,"Elec. : oui","Elec. : non"),
IF(S144&gt;=0.8,"Elec. : oui","Elec. : non"))
&amp;" / "&amp;
IF(AND('0. Installation'!$B$4&gt;=DATE(2021,1,1),'0. Installation'!$B$4&lt;DATE(2026,1,1)),IF(T144&gt;=0.7,"Chaleur : oui","Chaleur : non"),
IF(T144&gt;=0.8,"Chaleur : oui","Chaleur : non")),
"")))</f>
        <v>Pas de critère à respecter</v>
      </c>
      <c r="V144" s="9"/>
      <c r="W144" s="119">
        <f t="shared" si="3"/>
        <v>0</v>
      </c>
    </row>
    <row r="145" spans="1:23" ht="15.6">
      <c r="A145" s="26"/>
      <c r="B145" s="16"/>
      <c r="C145" s="27" t="str">
        <f t="shared" si="5"/>
        <v/>
      </c>
      <c r="D145" s="12"/>
      <c r="E145" s="275" t="str">
        <f t="shared" si="6"/>
        <v/>
      </c>
      <c r="F145" s="257"/>
      <c r="G145" s="257"/>
      <c r="H145" s="257"/>
      <c r="I145" s="257"/>
      <c r="J145" s="257"/>
      <c r="K145" s="16"/>
      <c r="L145" s="16"/>
      <c r="M145" s="247"/>
      <c r="N145" s="16"/>
      <c r="O145" s="12"/>
      <c r="P145" s="12"/>
      <c r="Q145" s="12"/>
      <c r="R145" s="14"/>
      <c r="S145" s="13" t="str">
        <f>IF(A145&lt;&gt;"",
IF(OR($A145="Graisses de station d’épuration",$A145="Déchets IAA liquides (&lt;20% MS)",$A145="Déchets liquides industriels",A145= "Autre type de bioliquide (préciser)"),
VLOOKUP($C145,'2. Détail calcul GES'!$A$4:$AI$79,32,FALSE),
VLOOKUP($C145,'2. Détail calcul GES'!$A$4:$AI$79,27,FALSE)),
"")</f>
        <v/>
      </c>
      <c r="T145" s="13" t="str">
        <f>IF(A145&lt;&gt;"",
IF(OR($A145="Graisses de station d’épuration",$A145="Déchets IAA liquides (&lt;20% MS)",$A145="Déchets liquides industriels",$A145="Autre type de bioliquide (préciser)"),
VLOOKUP($C145,'2. Détail calcul GES'!$A$4:$AI$79,34,FALSE),
VLOOKUP($C145,'2. Détail calcul GES'!$A$4:$AI$79,29,FALSE)),
"")</f>
        <v/>
      </c>
      <c r="U145" s="15" t="str">
        <f>IF(OR(A145="Graisses de station d’épuration",A145="Déchets IAA liquides (&lt;20% MS)",A145="Déchets liquides industriels",$A145="Autre type de bioliquide (préciser)"),
VLOOKUP(C145,'2. Détail calcul GES'!$A$4:$AI$79,35,FALSE),
IF(OR('0. Installation'!$B$4&lt;DATE(2021,1,1),A145="Déchets ménagers et assimilés"),
"Pas de critère à respecter",
IF(E145&lt;&gt;"",
IF(AND('0. Installation'!$B$4&gt;=DATE(2021,1,1),'0. Installation'!$B$4&lt;DATE(2026,1,1)),IF(S145&gt;=0.7,"Elec. : oui","Elec. : non"),
IF(S145&gt;=0.8,"Elec. : oui","Elec. : non"))
&amp;" / "&amp;
IF(AND('0. Installation'!$B$4&gt;=DATE(2021,1,1),'0. Installation'!$B$4&lt;DATE(2026,1,1)),IF(T145&gt;=0.7,"Chaleur : oui","Chaleur : non"),
IF(T145&gt;=0.8,"Chaleur : oui","Chaleur : non")),
"")))</f>
        <v>Pas de critère à respecter</v>
      </c>
      <c r="V145" s="9"/>
      <c r="W145" s="119">
        <f t="shared" si="3"/>
        <v>0</v>
      </c>
    </row>
    <row r="146" spans="1:23" ht="15.6">
      <c r="A146" s="26"/>
      <c r="B146" s="16"/>
      <c r="C146" s="27" t="str">
        <f t="shared" si="5"/>
        <v/>
      </c>
      <c r="D146" s="12"/>
      <c r="E146" s="275" t="str">
        <f t="shared" si="6"/>
        <v/>
      </c>
      <c r="F146" s="257"/>
      <c r="G146" s="257"/>
      <c r="H146" s="257"/>
      <c r="I146" s="257"/>
      <c r="J146" s="257"/>
      <c r="K146" s="16"/>
      <c r="L146" s="16"/>
      <c r="M146" s="247"/>
      <c r="N146" s="16"/>
      <c r="O146" s="12"/>
      <c r="P146" s="12"/>
      <c r="Q146" s="12"/>
      <c r="R146" s="14"/>
      <c r="S146" s="13" t="str">
        <f>IF(A146&lt;&gt;"",
IF(OR($A146="Graisses de station d’épuration",$A146="Déchets IAA liquides (&lt;20% MS)",$A146="Déchets liquides industriels",A146= "Autre type de bioliquide (préciser)"),
VLOOKUP($C146,'2. Détail calcul GES'!$A$4:$AI$79,32,FALSE),
VLOOKUP($C146,'2. Détail calcul GES'!$A$4:$AI$79,27,FALSE)),
"")</f>
        <v/>
      </c>
      <c r="T146" s="13" t="str">
        <f>IF(A146&lt;&gt;"",
IF(OR($A146="Graisses de station d’épuration",$A146="Déchets IAA liquides (&lt;20% MS)",$A146="Déchets liquides industriels",$A146="Autre type de bioliquide (préciser)"),
VLOOKUP($C146,'2. Détail calcul GES'!$A$4:$AI$79,34,FALSE),
VLOOKUP($C146,'2. Détail calcul GES'!$A$4:$AI$79,29,FALSE)),
"")</f>
        <v/>
      </c>
      <c r="U146" s="15" t="str">
        <f>IF(OR(A146="Graisses de station d’épuration",A146="Déchets IAA liquides (&lt;20% MS)",A146="Déchets liquides industriels",$A146="Autre type de bioliquide (préciser)"),
VLOOKUP(C146,'2. Détail calcul GES'!$A$4:$AI$79,35,FALSE),
IF(OR('0. Installation'!$B$4&lt;DATE(2021,1,1),A146="Déchets ménagers et assimilés"),
"Pas de critère à respecter",
IF(E146&lt;&gt;"",
IF(AND('0. Installation'!$B$4&gt;=DATE(2021,1,1),'0. Installation'!$B$4&lt;DATE(2026,1,1)),IF(S146&gt;=0.7,"Elec. : oui","Elec. : non"),
IF(S146&gt;=0.8,"Elec. : oui","Elec. : non"))
&amp;" / "&amp;
IF(AND('0. Installation'!$B$4&gt;=DATE(2021,1,1),'0. Installation'!$B$4&lt;DATE(2026,1,1)),IF(T146&gt;=0.7,"Chaleur : oui","Chaleur : non"),
IF(T146&gt;=0.8,"Chaleur : oui","Chaleur : non")),
"")))</f>
        <v>Pas de critère à respecter</v>
      </c>
      <c r="V146" s="9"/>
      <c r="W146" s="119">
        <f t="shared" si="3"/>
        <v>0</v>
      </c>
    </row>
    <row r="147" spans="1:23" ht="15.6">
      <c r="A147" s="26"/>
      <c r="B147" s="16"/>
      <c r="C147" s="27" t="str">
        <f t="shared" si="5"/>
        <v/>
      </c>
      <c r="D147" s="12"/>
      <c r="E147" s="275" t="str">
        <f t="shared" si="6"/>
        <v/>
      </c>
      <c r="F147" s="257"/>
      <c r="G147" s="257"/>
      <c r="H147" s="257"/>
      <c r="I147" s="257"/>
      <c r="J147" s="257"/>
      <c r="K147" s="16"/>
      <c r="L147" s="16"/>
      <c r="M147" s="247"/>
      <c r="N147" s="16"/>
      <c r="O147" s="12"/>
      <c r="P147" s="12"/>
      <c r="Q147" s="12"/>
      <c r="R147" s="14"/>
      <c r="S147" s="13" t="str">
        <f>IF(A147&lt;&gt;"",
IF(OR($A147="Graisses de station d’épuration",$A147="Déchets IAA liquides (&lt;20% MS)",$A147="Déchets liquides industriels",A147= "Autre type de bioliquide (préciser)"),
VLOOKUP($C147,'2. Détail calcul GES'!$A$4:$AI$79,32,FALSE),
VLOOKUP($C147,'2. Détail calcul GES'!$A$4:$AI$79,27,FALSE)),
"")</f>
        <v/>
      </c>
      <c r="T147" s="13" t="str">
        <f>IF(A147&lt;&gt;"",
IF(OR($A147="Graisses de station d’épuration",$A147="Déchets IAA liquides (&lt;20% MS)",$A147="Déchets liquides industriels",$A147="Autre type de bioliquide (préciser)"),
VLOOKUP($C147,'2. Détail calcul GES'!$A$4:$AI$79,34,FALSE),
VLOOKUP($C147,'2. Détail calcul GES'!$A$4:$AI$79,29,FALSE)),
"")</f>
        <v/>
      </c>
      <c r="U147" s="15" t="str">
        <f>IF(OR(A147="Graisses de station d’épuration",A147="Déchets IAA liquides (&lt;20% MS)",A147="Déchets liquides industriels",$A147="Autre type de bioliquide (préciser)"),
VLOOKUP(C147,'2. Détail calcul GES'!$A$4:$AI$79,35,FALSE),
IF(OR('0. Installation'!$B$4&lt;DATE(2021,1,1),A147="Déchets ménagers et assimilés"),
"Pas de critère à respecter",
IF(E147&lt;&gt;"",
IF(AND('0. Installation'!$B$4&gt;=DATE(2021,1,1),'0. Installation'!$B$4&lt;DATE(2026,1,1)),IF(S147&gt;=0.7,"Elec. : oui","Elec. : non"),
IF(S147&gt;=0.8,"Elec. : oui","Elec. : non"))
&amp;" / "&amp;
IF(AND('0. Installation'!$B$4&gt;=DATE(2021,1,1),'0. Installation'!$B$4&lt;DATE(2026,1,1)),IF(T147&gt;=0.7,"Chaleur : oui","Chaleur : non"),
IF(T147&gt;=0.8,"Chaleur : oui","Chaleur : non")),
"")))</f>
        <v>Pas de critère à respecter</v>
      </c>
      <c r="V147" s="9"/>
      <c r="W147" s="119">
        <f t="shared" si="3"/>
        <v>0</v>
      </c>
    </row>
    <row r="148" spans="1:23" ht="15.6">
      <c r="A148" s="26"/>
      <c r="B148" s="16"/>
      <c r="C148" s="27" t="str">
        <f t="shared" si="5"/>
        <v/>
      </c>
      <c r="D148" s="12"/>
      <c r="E148" s="275" t="str">
        <f t="shared" si="6"/>
        <v/>
      </c>
      <c r="F148" s="257"/>
      <c r="G148" s="257"/>
      <c r="H148" s="257"/>
      <c r="I148" s="257"/>
      <c r="J148" s="257"/>
      <c r="K148" s="16"/>
      <c r="L148" s="16"/>
      <c r="M148" s="247"/>
      <c r="N148" s="16"/>
      <c r="O148" s="12"/>
      <c r="P148" s="12"/>
      <c r="Q148" s="12"/>
      <c r="R148" s="14"/>
      <c r="S148" s="13" t="str">
        <f>IF(A148&lt;&gt;"",
IF(OR($A148="Graisses de station d’épuration",$A148="Déchets IAA liquides (&lt;20% MS)",$A148="Déchets liquides industriels",A148= "Autre type de bioliquide (préciser)"),
VLOOKUP($C148,'2. Détail calcul GES'!$A$4:$AI$79,32,FALSE),
VLOOKUP($C148,'2. Détail calcul GES'!$A$4:$AI$79,27,FALSE)),
"")</f>
        <v/>
      </c>
      <c r="T148" s="13" t="str">
        <f>IF(A148&lt;&gt;"",
IF(OR($A148="Graisses de station d’épuration",$A148="Déchets IAA liquides (&lt;20% MS)",$A148="Déchets liquides industriels",$A148="Autre type de bioliquide (préciser)"),
VLOOKUP($C148,'2. Détail calcul GES'!$A$4:$AI$79,34,FALSE),
VLOOKUP($C148,'2. Détail calcul GES'!$A$4:$AI$79,29,FALSE)),
"")</f>
        <v/>
      </c>
      <c r="U148" s="15" t="str">
        <f>IF(OR(A148="Graisses de station d’épuration",A148="Déchets IAA liquides (&lt;20% MS)",A148="Déchets liquides industriels",$A148="Autre type de bioliquide (préciser)"),
VLOOKUP(C148,'2. Détail calcul GES'!$A$4:$AI$79,35,FALSE),
IF(OR('0. Installation'!$B$4&lt;DATE(2021,1,1),A148="Déchets ménagers et assimilés"),
"Pas de critère à respecter",
IF(E148&lt;&gt;"",
IF(AND('0. Installation'!$B$4&gt;=DATE(2021,1,1),'0. Installation'!$B$4&lt;DATE(2026,1,1)),IF(S148&gt;=0.7,"Elec. : oui","Elec. : non"),
IF(S148&gt;=0.8,"Elec. : oui","Elec. : non"))
&amp;" / "&amp;
IF(AND('0. Installation'!$B$4&gt;=DATE(2021,1,1),'0. Installation'!$B$4&lt;DATE(2026,1,1)),IF(T148&gt;=0.7,"Chaleur : oui","Chaleur : non"),
IF(T148&gt;=0.8,"Chaleur : oui","Chaleur : non")),
"")))</f>
        <v>Pas de critère à respecter</v>
      </c>
      <c r="V148" s="9"/>
      <c r="W148" s="119">
        <f t="shared" si="3"/>
        <v>0</v>
      </c>
    </row>
    <row r="149" spans="1:23" ht="15.6">
      <c r="A149" s="26"/>
      <c r="B149" s="16"/>
      <c r="C149" s="27" t="str">
        <f t="shared" si="5"/>
        <v/>
      </c>
      <c r="D149" s="12"/>
      <c r="E149" s="275" t="str">
        <f t="shared" si="6"/>
        <v/>
      </c>
      <c r="F149" s="257"/>
      <c r="G149" s="257"/>
      <c r="H149" s="257"/>
      <c r="I149" s="257"/>
      <c r="J149" s="257"/>
      <c r="K149" s="16"/>
      <c r="L149" s="16"/>
      <c r="M149" s="247"/>
      <c r="N149" s="16"/>
      <c r="O149" s="12"/>
      <c r="P149" s="12"/>
      <c r="Q149" s="12"/>
      <c r="R149" s="14"/>
      <c r="S149" s="13" t="str">
        <f>IF(A149&lt;&gt;"",
IF(OR($A149="Graisses de station d’épuration",$A149="Déchets IAA liquides (&lt;20% MS)",$A149="Déchets liquides industriels",A149= "Autre type de bioliquide (préciser)"),
VLOOKUP($C149,'2. Détail calcul GES'!$A$4:$AI$79,32,FALSE),
VLOOKUP($C149,'2. Détail calcul GES'!$A$4:$AI$79,27,FALSE)),
"")</f>
        <v/>
      </c>
      <c r="T149" s="13" t="str">
        <f>IF(A149&lt;&gt;"",
IF(OR($A149="Graisses de station d’épuration",$A149="Déchets IAA liquides (&lt;20% MS)",$A149="Déchets liquides industriels",$A149="Autre type de bioliquide (préciser)"),
VLOOKUP($C149,'2. Détail calcul GES'!$A$4:$AI$79,34,FALSE),
VLOOKUP($C149,'2. Détail calcul GES'!$A$4:$AI$79,29,FALSE)),
"")</f>
        <v/>
      </c>
      <c r="U149" s="15" t="str">
        <f>IF(OR(A149="Graisses de station d’épuration",A149="Déchets IAA liquides (&lt;20% MS)",A149="Déchets liquides industriels",$A149="Autre type de bioliquide (préciser)"),
VLOOKUP(C149,'2. Détail calcul GES'!$A$4:$AI$79,35,FALSE),
IF(OR('0. Installation'!$B$4&lt;DATE(2021,1,1),A149="Déchets ménagers et assimilés"),
"Pas de critère à respecter",
IF(E149&lt;&gt;"",
IF(AND('0. Installation'!$B$4&gt;=DATE(2021,1,1),'0. Installation'!$B$4&lt;DATE(2026,1,1)),IF(S149&gt;=0.7,"Elec. : oui","Elec. : non"),
IF(S149&gt;=0.8,"Elec. : oui","Elec. : non"))
&amp;" / "&amp;
IF(AND('0. Installation'!$B$4&gt;=DATE(2021,1,1),'0. Installation'!$B$4&lt;DATE(2026,1,1)),IF(T149&gt;=0.7,"Chaleur : oui","Chaleur : non"),
IF(T149&gt;=0.8,"Chaleur : oui","Chaleur : non")),
"")))</f>
        <v>Pas de critère à respecter</v>
      </c>
      <c r="V149" s="9"/>
      <c r="W149" s="119">
        <f t="shared" si="3"/>
        <v>0</v>
      </c>
    </row>
    <row r="150" spans="1:23" ht="15.6">
      <c r="A150" s="26"/>
      <c r="B150" s="16"/>
      <c r="C150" s="27" t="str">
        <f t="shared" si="5"/>
        <v/>
      </c>
      <c r="D150" s="12"/>
      <c r="E150" s="275" t="str">
        <f t="shared" si="6"/>
        <v/>
      </c>
      <c r="F150" s="257"/>
      <c r="G150" s="257"/>
      <c r="H150" s="257"/>
      <c r="I150" s="257"/>
      <c r="J150" s="257"/>
      <c r="K150" s="16"/>
      <c r="L150" s="16"/>
      <c r="M150" s="247"/>
      <c r="N150" s="16"/>
      <c r="O150" s="12"/>
      <c r="P150" s="12"/>
      <c r="Q150" s="12"/>
      <c r="R150" s="14"/>
      <c r="S150" s="13" t="str">
        <f>IF(A150&lt;&gt;"",
IF(OR($A150="Graisses de station d’épuration",$A150="Déchets IAA liquides (&lt;20% MS)",$A150="Déchets liquides industriels",A150= "Autre type de bioliquide (préciser)"),
VLOOKUP($C150,'2. Détail calcul GES'!$A$4:$AI$79,32,FALSE),
VLOOKUP($C150,'2. Détail calcul GES'!$A$4:$AI$79,27,FALSE)),
"")</f>
        <v/>
      </c>
      <c r="T150" s="13" t="str">
        <f>IF(A150&lt;&gt;"",
IF(OR($A150="Graisses de station d’épuration",$A150="Déchets IAA liquides (&lt;20% MS)",$A150="Déchets liquides industriels",$A150="Autre type de bioliquide (préciser)"),
VLOOKUP($C150,'2. Détail calcul GES'!$A$4:$AI$79,34,FALSE),
VLOOKUP($C150,'2. Détail calcul GES'!$A$4:$AI$79,29,FALSE)),
"")</f>
        <v/>
      </c>
      <c r="U150" s="15" t="str">
        <f>IF(OR(A150="Graisses de station d’épuration",A150="Déchets IAA liquides (&lt;20% MS)",A150="Déchets liquides industriels",$A150="Autre type de bioliquide (préciser)"),
VLOOKUP(C150,'2. Détail calcul GES'!$A$4:$AI$79,35,FALSE),
IF(OR('0. Installation'!$B$4&lt;DATE(2021,1,1),A150="Déchets ménagers et assimilés"),
"Pas de critère à respecter",
IF(E150&lt;&gt;"",
IF(AND('0. Installation'!$B$4&gt;=DATE(2021,1,1),'0. Installation'!$B$4&lt;DATE(2026,1,1)),IF(S150&gt;=0.7,"Elec. : oui","Elec. : non"),
IF(S150&gt;=0.8,"Elec. : oui","Elec. : non"))
&amp;" / "&amp;
IF(AND('0. Installation'!$B$4&gt;=DATE(2021,1,1),'0. Installation'!$B$4&lt;DATE(2026,1,1)),IF(T150&gt;=0.7,"Chaleur : oui","Chaleur : non"),
IF(T150&gt;=0.8,"Chaleur : oui","Chaleur : non")),
"")))</f>
        <v>Pas de critère à respecter</v>
      </c>
      <c r="V150" s="9"/>
      <c r="W150" s="119">
        <f t="shared" si="3"/>
        <v>0</v>
      </c>
    </row>
    <row r="151" spans="1:23" ht="15.6">
      <c r="A151" s="26"/>
      <c r="B151" s="16"/>
      <c r="C151" s="27" t="str">
        <f t="shared" si="5"/>
        <v/>
      </c>
      <c r="D151" s="12"/>
      <c r="E151" s="275" t="str">
        <f t="shared" si="6"/>
        <v/>
      </c>
      <c r="F151" s="257"/>
      <c r="G151" s="257"/>
      <c r="H151" s="257"/>
      <c r="I151" s="257"/>
      <c r="J151" s="257"/>
      <c r="K151" s="16"/>
      <c r="L151" s="16"/>
      <c r="M151" s="247"/>
      <c r="N151" s="16"/>
      <c r="O151" s="12"/>
      <c r="P151" s="12"/>
      <c r="Q151" s="12"/>
      <c r="R151" s="14"/>
      <c r="S151" s="13" t="str">
        <f>IF(A151&lt;&gt;"",
IF(OR($A151="Graisses de station d’épuration",$A151="Déchets IAA liquides (&lt;20% MS)",$A151="Déchets liquides industriels",A151= "Autre type de bioliquide (préciser)"),
VLOOKUP($C151,'2. Détail calcul GES'!$A$4:$AI$79,32,FALSE),
VLOOKUP($C151,'2. Détail calcul GES'!$A$4:$AI$79,27,FALSE)),
"")</f>
        <v/>
      </c>
      <c r="T151" s="13" t="str">
        <f>IF(A151&lt;&gt;"",
IF(OR($A151="Graisses de station d’épuration",$A151="Déchets IAA liquides (&lt;20% MS)",$A151="Déchets liquides industriels",$A151="Autre type de bioliquide (préciser)"),
VLOOKUP($C151,'2. Détail calcul GES'!$A$4:$AI$79,34,FALSE),
VLOOKUP($C151,'2. Détail calcul GES'!$A$4:$AI$79,29,FALSE)),
"")</f>
        <v/>
      </c>
      <c r="U151" s="15" t="str">
        <f>IF(OR(A151="Graisses de station d’épuration",A151="Déchets IAA liquides (&lt;20% MS)",A151="Déchets liquides industriels",$A151="Autre type de bioliquide (préciser)"),
VLOOKUP(C151,'2. Détail calcul GES'!$A$4:$AI$79,35,FALSE),
IF(OR('0. Installation'!$B$4&lt;DATE(2021,1,1),A151="Déchets ménagers et assimilés"),
"Pas de critère à respecter",
IF(E151&lt;&gt;"",
IF(AND('0. Installation'!$B$4&gt;=DATE(2021,1,1),'0. Installation'!$B$4&lt;DATE(2026,1,1)),IF(S151&gt;=0.7,"Elec. : oui","Elec. : non"),
IF(S151&gt;=0.8,"Elec. : oui","Elec. : non"))
&amp;" / "&amp;
IF(AND('0. Installation'!$B$4&gt;=DATE(2021,1,1),'0. Installation'!$B$4&lt;DATE(2026,1,1)),IF(T151&gt;=0.7,"Chaleur : oui","Chaleur : non"),
IF(T151&gt;=0.8,"Chaleur : oui","Chaleur : non")),
"")))</f>
        <v>Pas de critère à respecter</v>
      </c>
      <c r="V151" s="9"/>
      <c r="W151" s="119">
        <f t="shared" si="3"/>
        <v>0</v>
      </c>
    </row>
    <row r="152" spans="1:23" ht="15.6">
      <c r="A152" s="26"/>
      <c r="B152" s="16"/>
      <c r="C152" s="27" t="str">
        <f t="shared" si="5"/>
        <v/>
      </c>
      <c r="D152" s="12"/>
      <c r="E152" s="275" t="str">
        <f t="shared" si="6"/>
        <v/>
      </c>
      <c r="F152" s="257"/>
      <c r="G152" s="257"/>
      <c r="H152" s="257"/>
      <c r="I152" s="257"/>
      <c r="J152" s="257"/>
      <c r="K152" s="16"/>
      <c r="L152" s="16"/>
      <c r="M152" s="247"/>
      <c r="N152" s="16"/>
      <c r="O152" s="12"/>
      <c r="P152" s="12"/>
      <c r="Q152" s="12"/>
      <c r="R152" s="14"/>
      <c r="S152" s="13" t="str">
        <f>IF(A152&lt;&gt;"",
IF(OR($A152="Graisses de station d’épuration",$A152="Déchets IAA liquides (&lt;20% MS)",$A152="Déchets liquides industriels",A152= "Autre type de bioliquide (préciser)"),
VLOOKUP($C152,'2. Détail calcul GES'!$A$4:$AI$79,32,FALSE),
VLOOKUP($C152,'2. Détail calcul GES'!$A$4:$AI$79,27,FALSE)),
"")</f>
        <v/>
      </c>
      <c r="T152" s="13" t="str">
        <f>IF(A152&lt;&gt;"",
IF(OR($A152="Graisses de station d’épuration",$A152="Déchets IAA liquides (&lt;20% MS)",$A152="Déchets liquides industriels",$A152="Autre type de bioliquide (préciser)"),
VLOOKUP($C152,'2. Détail calcul GES'!$A$4:$AI$79,34,FALSE),
VLOOKUP($C152,'2. Détail calcul GES'!$A$4:$AI$79,29,FALSE)),
"")</f>
        <v/>
      </c>
      <c r="U152" s="15" t="str">
        <f>IF(OR(A152="Graisses de station d’épuration",A152="Déchets IAA liquides (&lt;20% MS)",A152="Déchets liquides industriels",$A152="Autre type de bioliquide (préciser)"),
VLOOKUP(C152,'2. Détail calcul GES'!$A$4:$AI$79,35,FALSE),
IF(OR('0. Installation'!$B$4&lt;DATE(2021,1,1),A152="Déchets ménagers et assimilés"),
"Pas de critère à respecter",
IF(E152&lt;&gt;"",
IF(AND('0. Installation'!$B$4&gt;=DATE(2021,1,1),'0. Installation'!$B$4&lt;DATE(2026,1,1)),IF(S152&gt;=0.7,"Elec. : oui","Elec. : non"),
IF(S152&gt;=0.8,"Elec. : oui","Elec. : non"))
&amp;" / "&amp;
IF(AND('0. Installation'!$B$4&gt;=DATE(2021,1,1),'0. Installation'!$B$4&lt;DATE(2026,1,1)),IF(T152&gt;=0.7,"Chaleur : oui","Chaleur : non"),
IF(T152&gt;=0.8,"Chaleur : oui","Chaleur : non")),
"")))</f>
        <v>Pas de critère à respecter</v>
      </c>
      <c r="V152" s="9"/>
      <c r="W152" s="119">
        <f t="shared" si="3"/>
        <v>0</v>
      </c>
    </row>
    <row r="153" spans="1:23" ht="15.6">
      <c r="A153" s="26"/>
      <c r="B153" s="16"/>
      <c r="C153" s="27" t="str">
        <f t="shared" si="5"/>
        <v/>
      </c>
      <c r="D153" s="12"/>
      <c r="E153" s="275" t="str">
        <f t="shared" si="6"/>
        <v/>
      </c>
      <c r="F153" s="257"/>
      <c r="G153" s="257"/>
      <c r="H153" s="257"/>
      <c r="I153" s="257"/>
      <c r="J153" s="257"/>
      <c r="K153" s="16"/>
      <c r="L153" s="16"/>
      <c r="M153" s="247"/>
      <c r="N153" s="16"/>
      <c r="O153" s="12"/>
      <c r="P153" s="12"/>
      <c r="Q153" s="12"/>
      <c r="R153" s="14"/>
      <c r="S153" s="13" t="str">
        <f>IF(A153&lt;&gt;"",
IF(OR($A153="Graisses de station d’épuration",$A153="Déchets IAA liquides (&lt;20% MS)",$A153="Déchets liquides industriels",A153= "Autre type de bioliquide (préciser)"),
VLOOKUP($C153,'2. Détail calcul GES'!$A$4:$AI$79,32,FALSE),
VLOOKUP($C153,'2. Détail calcul GES'!$A$4:$AI$79,27,FALSE)),
"")</f>
        <v/>
      </c>
      <c r="T153" s="13" t="str">
        <f>IF(A153&lt;&gt;"",
IF(OR($A153="Graisses de station d’épuration",$A153="Déchets IAA liquides (&lt;20% MS)",$A153="Déchets liquides industriels",$A153="Autre type de bioliquide (préciser)"),
VLOOKUP($C153,'2. Détail calcul GES'!$A$4:$AI$79,34,FALSE),
VLOOKUP($C153,'2. Détail calcul GES'!$A$4:$AI$79,29,FALSE)),
"")</f>
        <v/>
      </c>
      <c r="U153" s="15" t="str">
        <f>IF(OR(A153="Graisses de station d’épuration",A153="Déchets IAA liquides (&lt;20% MS)",A153="Déchets liquides industriels",$A153="Autre type de bioliquide (préciser)"),
VLOOKUP(C153,'2. Détail calcul GES'!$A$4:$AI$79,35,FALSE),
IF(OR('0. Installation'!$B$4&lt;DATE(2021,1,1),A153="Déchets ménagers et assimilés"),
"Pas de critère à respecter",
IF(E153&lt;&gt;"",
IF(AND('0. Installation'!$B$4&gt;=DATE(2021,1,1),'0. Installation'!$B$4&lt;DATE(2026,1,1)),IF(S153&gt;=0.7,"Elec. : oui","Elec. : non"),
IF(S153&gt;=0.8,"Elec. : oui","Elec. : non"))
&amp;" / "&amp;
IF(AND('0. Installation'!$B$4&gt;=DATE(2021,1,1),'0. Installation'!$B$4&lt;DATE(2026,1,1)),IF(T153&gt;=0.7,"Chaleur : oui","Chaleur : non"),
IF(T153&gt;=0.8,"Chaleur : oui","Chaleur : non")),
"")))</f>
        <v>Pas de critère à respecter</v>
      </c>
      <c r="V153" s="9"/>
      <c r="W153" s="119">
        <f t="shared" si="3"/>
        <v>0</v>
      </c>
    </row>
    <row r="154" spans="1:23" ht="15.6">
      <c r="A154" s="26"/>
      <c r="B154" s="16"/>
      <c r="C154" s="27" t="str">
        <f t="shared" si="5"/>
        <v/>
      </c>
      <c r="D154" s="12"/>
      <c r="E154" s="275" t="str">
        <f t="shared" si="6"/>
        <v/>
      </c>
      <c r="F154" s="257"/>
      <c r="G154" s="257"/>
      <c r="H154" s="257"/>
      <c r="I154" s="257"/>
      <c r="J154" s="257"/>
      <c r="K154" s="16"/>
      <c r="L154" s="16"/>
      <c r="M154" s="247"/>
      <c r="N154" s="16"/>
      <c r="O154" s="12"/>
      <c r="P154" s="12"/>
      <c r="Q154" s="12"/>
      <c r="R154" s="14"/>
      <c r="S154" s="13" t="str">
        <f>IF(A154&lt;&gt;"",
IF(OR($A154="Graisses de station d’épuration",$A154="Déchets IAA liquides (&lt;20% MS)",$A154="Déchets liquides industriels",A154= "Autre type de bioliquide (préciser)"),
VLOOKUP($C154,'2. Détail calcul GES'!$A$4:$AI$79,32,FALSE),
VLOOKUP($C154,'2. Détail calcul GES'!$A$4:$AI$79,27,FALSE)),
"")</f>
        <v/>
      </c>
      <c r="T154" s="13" t="str">
        <f>IF(A154&lt;&gt;"",
IF(OR($A154="Graisses de station d’épuration",$A154="Déchets IAA liquides (&lt;20% MS)",$A154="Déchets liquides industriels",$A154="Autre type de bioliquide (préciser)"),
VLOOKUP($C154,'2. Détail calcul GES'!$A$4:$AI$79,34,FALSE),
VLOOKUP($C154,'2. Détail calcul GES'!$A$4:$AI$79,29,FALSE)),
"")</f>
        <v/>
      </c>
      <c r="U154" s="15" t="str">
        <f>IF(OR(A154="Graisses de station d’épuration",A154="Déchets IAA liquides (&lt;20% MS)",A154="Déchets liquides industriels",$A154="Autre type de bioliquide (préciser)"),
VLOOKUP(C154,'2. Détail calcul GES'!$A$4:$AI$79,35,FALSE),
IF(OR('0. Installation'!$B$4&lt;DATE(2021,1,1),A154="Déchets ménagers et assimilés"),
"Pas de critère à respecter",
IF(E154&lt;&gt;"",
IF(AND('0. Installation'!$B$4&gt;=DATE(2021,1,1),'0. Installation'!$B$4&lt;DATE(2026,1,1)),IF(S154&gt;=0.7,"Elec. : oui","Elec. : non"),
IF(S154&gt;=0.8,"Elec. : oui","Elec. : non"))
&amp;" / "&amp;
IF(AND('0. Installation'!$B$4&gt;=DATE(2021,1,1),'0. Installation'!$B$4&lt;DATE(2026,1,1)),IF(T154&gt;=0.7,"Chaleur : oui","Chaleur : non"),
IF(T154&gt;=0.8,"Chaleur : oui","Chaleur : non")),
"")))</f>
        <v>Pas de critère à respecter</v>
      </c>
      <c r="V154" s="9"/>
      <c r="W154" s="119">
        <f t="shared" si="3"/>
        <v>0</v>
      </c>
    </row>
    <row r="155" spans="1:23" ht="15.6">
      <c r="A155" s="26"/>
      <c r="B155" s="16"/>
      <c r="C155" s="27" t="str">
        <f t="shared" si="5"/>
        <v/>
      </c>
      <c r="D155" s="12"/>
      <c r="E155" s="275" t="str">
        <f t="shared" si="6"/>
        <v/>
      </c>
      <c r="F155" s="257"/>
      <c r="G155" s="257"/>
      <c r="H155" s="257"/>
      <c r="I155" s="257"/>
      <c r="J155" s="257"/>
      <c r="K155" s="16"/>
      <c r="L155" s="16"/>
      <c r="M155" s="247"/>
      <c r="N155" s="16"/>
      <c r="O155" s="12"/>
      <c r="P155" s="12"/>
      <c r="Q155" s="12"/>
      <c r="R155" s="14"/>
      <c r="S155" s="13" t="str">
        <f>IF(A155&lt;&gt;"",
IF(OR($A155="Graisses de station d’épuration",$A155="Déchets IAA liquides (&lt;20% MS)",$A155="Déchets liquides industriels",A155= "Autre type de bioliquide (préciser)"),
VLOOKUP($C155,'2. Détail calcul GES'!$A$4:$AI$79,32,FALSE),
VLOOKUP($C155,'2. Détail calcul GES'!$A$4:$AI$79,27,FALSE)),
"")</f>
        <v/>
      </c>
      <c r="T155" s="13" t="str">
        <f>IF(A155&lt;&gt;"",
IF(OR($A155="Graisses de station d’épuration",$A155="Déchets IAA liquides (&lt;20% MS)",$A155="Déchets liquides industriels",$A155="Autre type de bioliquide (préciser)"),
VLOOKUP($C155,'2. Détail calcul GES'!$A$4:$AI$79,34,FALSE),
VLOOKUP($C155,'2. Détail calcul GES'!$A$4:$AI$79,29,FALSE)),
"")</f>
        <v/>
      </c>
      <c r="U155" s="15" t="str">
        <f>IF(OR(A155="Graisses de station d’épuration",A155="Déchets IAA liquides (&lt;20% MS)",A155="Déchets liquides industriels",$A155="Autre type de bioliquide (préciser)"),
VLOOKUP(C155,'2. Détail calcul GES'!$A$4:$AI$79,35,FALSE),
IF(OR('0. Installation'!$B$4&lt;DATE(2021,1,1),A155="Déchets ménagers et assimilés"),
"Pas de critère à respecter",
IF(E155&lt;&gt;"",
IF(AND('0. Installation'!$B$4&gt;=DATE(2021,1,1),'0. Installation'!$B$4&lt;DATE(2026,1,1)),IF(S155&gt;=0.7,"Elec. : oui","Elec. : non"),
IF(S155&gt;=0.8,"Elec. : oui","Elec. : non"))
&amp;" / "&amp;
IF(AND('0. Installation'!$B$4&gt;=DATE(2021,1,1),'0. Installation'!$B$4&lt;DATE(2026,1,1)),IF(T155&gt;=0.7,"Chaleur : oui","Chaleur : non"),
IF(T155&gt;=0.8,"Chaleur : oui","Chaleur : non")),
"")))</f>
        <v>Pas de critère à respecter</v>
      </c>
      <c r="V155" s="9"/>
      <c r="W155" s="119">
        <f t="shared" si="3"/>
        <v>0</v>
      </c>
    </row>
    <row r="156" spans="1:23" ht="15.6">
      <c r="A156" s="26"/>
      <c r="B156" s="16"/>
      <c r="C156" s="27" t="str">
        <f t="shared" si="5"/>
        <v/>
      </c>
      <c r="D156" s="12"/>
      <c r="E156" s="275" t="str">
        <f t="shared" si="6"/>
        <v/>
      </c>
      <c r="F156" s="257"/>
      <c r="G156" s="257"/>
      <c r="H156" s="257"/>
      <c r="I156" s="257"/>
      <c r="J156" s="257"/>
      <c r="K156" s="16"/>
      <c r="L156" s="16"/>
      <c r="M156" s="247"/>
      <c r="N156" s="16"/>
      <c r="O156" s="12"/>
      <c r="P156" s="12"/>
      <c r="Q156" s="12"/>
      <c r="R156" s="14"/>
      <c r="S156" s="13" t="str">
        <f>IF(A156&lt;&gt;"",
IF(OR($A156="Graisses de station d’épuration",$A156="Déchets IAA liquides (&lt;20% MS)",$A156="Déchets liquides industriels",A156= "Autre type de bioliquide (préciser)"),
VLOOKUP($C156,'2. Détail calcul GES'!$A$4:$AI$79,32,FALSE),
VLOOKUP($C156,'2. Détail calcul GES'!$A$4:$AI$79,27,FALSE)),
"")</f>
        <v/>
      </c>
      <c r="T156" s="13" t="str">
        <f>IF(A156&lt;&gt;"",
IF(OR($A156="Graisses de station d’épuration",$A156="Déchets IAA liquides (&lt;20% MS)",$A156="Déchets liquides industriels",$A156="Autre type de bioliquide (préciser)"),
VLOOKUP($C156,'2. Détail calcul GES'!$A$4:$AI$79,34,FALSE),
VLOOKUP($C156,'2. Détail calcul GES'!$A$4:$AI$79,29,FALSE)),
"")</f>
        <v/>
      </c>
      <c r="U156" s="15" t="str">
        <f>IF(OR(A156="Graisses de station d’épuration",A156="Déchets IAA liquides (&lt;20% MS)",A156="Déchets liquides industriels",$A156="Autre type de bioliquide (préciser)"),
VLOOKUP(C156,'2. Détail calcul GES'!$A$4:$AI$79,35,FALSE),
IF(OR('0. Installation'!$B$4&lt;DATE(2021,1,1),A156="Déchets ménagers et assimilés"),
"Pas de critère à respecter",
IF(E156&lt;&gt;"",
IF(AND('0. Installation'!$B$4&gt;=DATE(2021,1,1),'0. Installation'!$B$4&lt;DATE(2026,1,1)),IF(S156&gt;=0.7,"Elec. : oui","Elec. : non"),
IF(S156&gt;=0.8,"Elec. : oui","Elec. : non"))
&amp;" / "&amp;
IF(AND('0. Installation'!$B$4&gt;=DATE(2021,1,1),'0. Installation'!$B$4&lt;DATE(2026,1,1)),IF(T156&gt;=0.7,"Chaleur : oui","Chaleur : non"),
IF(T156&gt;=0.8,"Chaleur : oui","Chaleur : non")),
"")))</f>
        <v>Pas de critère à respecter</v>
      </c>
      <c r="V156" s="9"/>
      <c r="W156" s="119">
        <f t="shared" si="3"/>
        <v>0</v>
      </c>
    </row>
    <row r="157" spans="1:23" ht="15.6">
      <c r="A157" s="26"/>
      <c r="B157" s="16"/>
      <c r="C157" s="27" t="str">
        <f t="shared" si="5"/>
        <v/>
      </c>
      <c r="D157" s="12"/>
      <c r="E157" s="275" t="str">
        <f t="shared" si="6"/>
        <v/>
      </c>
      <c r="F157" s="257"/>
      <c r="G157" s="257"/>
      <c r="H157" s="257"/>
      <c r="I157" s="257"/>
      <c r="J157" s="257"/>
      <c r="K157" s="16"/>
      <c r="L157" s="16"/>
      <c r="M157" s="247"/>
      <c r="N157" s="16"/>
      <c r="O157" s="12"/>
      <c r="P157" s="12"/>
      <c r="Q157" s="12"/>
      <c r="R157" s="14"/>
      <c r="S157" s="13" t="str">
        <f>IF(A157&lt;&gt;"",
IF(OR($A157="Graisses de station d’épuration",$A157="Déchets IAA liquides (&lt;20% MS)",$A157="Déchets liquides industriels",A157= "Autre type de bioliquide (préciser)"),
VLOOKUP($C157,'2. Détail calcul GES'!$A$4:$AI$79,32,FALSE),
VLOOKUP($C157,'2. Détail calcul GES'!$A$4:$AI$79,27,FALSE)),
"")</f>
        <v/>
      </c>
      <c r="T157" s="13" t="str">
        <f>IF(A157&lt;&gt;"",
IF(OR($A157="Graisses de station d’épuration",$A157="Déchets IAA liquides (&lt;20% MS)",$A157="Déchets liquides industriels",$A157="Autre type de bioliquide (préciser)"),
VLOOKUP($C157,'2. Détail calcul GES'!$A$4:$AI$79,34,FALSE),
VLOOKUP($C157,'2. Détail calcul GES'!$A$4:$AI$79,29,FALSE)),
"")</f>
        <v/>
      </c>
      <c r="U157" s="15" t="str">
        <f>IF(OR(A157="Graisses de station d’épuration",A157="Déchets IAA liquides (&lt;20% MS)",A157="Déchets liquides industriels",$A157="Autre type de bioliquide (préciser)"),
VLOOKUP(C157,'2. Détail calcul GES'!$A$4:$AI$79,35,FALSE),
IF(OR('0. Installation'!$B$4&lt;DATE(2021,1,1),A157="Déchets ménagers et assimilés"),
"Pas de critère à respecter",
IF(E157&lt;&gt;"",
IF(AND('0. Installation'!$B$4&gt;=DATE(2021,1,1),'0. Installation'!$B$4&lt;DATE(2026,1,1)),IF(S157&gt;=0.7,"Elec. : oui","Elec. : non"),
IF(S157&gt;=0.8,"Elec. : oui","Elec. : non"))
&amp;" / "&amp;
IF(AND('0. Installation'!$B$4&gt;=DATE(2021,1,1),'0. Installation'!$B$4&lt;DATE(2026,1,1)),IF(T157&gt;=0.7,"Chaleur : oui","Chaleur : non"),
IF(T157&gt;=0.8,"Chaleur : oui","Chaleur : non")),
"")))</f>
        <v>Pas de critère à respecter</v>
      </c>
      <c r="V157" s="9"/>
      <c r="W157" s="119">
        <f t="shared" si="3"/>
        <v>0</v>
      </c>
    </row>
    <row r="158" spans="1:23" ht="15.6">
      <c r="A158" s="26"/>
      <c r="B158" s="16"/>
      <c r="C158" s="27" t="str">
        <f t="shared" si="5"/>
        <v/>
      </c>
      <c r="D158" s="12"/>
      <c r="E158" s="275" t="str">
        <f t="shared" si="6"/>
        <v/>
      </c>
      <c r="F158" s="257"/>
      <c r="G158" s="257"/>
      <c r="H158" s="257"/>
      <c r="I158" s="257"/>
      <c r="J158" s="257"/>
      <c r="K158" s="16"/>
      <c r="L158" s="16"/>
      <c r="M158" s="247"/>
      <c r="N158" s="16"/>
      <c r="O158" s="12"/>
      <c r="P158" s="12"/>
      <c r="Q158" s="12"/>
      <c r="R158" s="14"/>
      <c r="S158" s="13" t="str">
        <f>IF(A158&lt;&gt;"",
IF(OR($A158="Graisses de station d’épuration",$A158="Déchets IAA liquides (&lt;20% MS)",$A158="Déchets liquides industriels",A158= "Autre type de bioliquide (préciser)"),
VLOOKUP($C158,'2. Détail calcul GES'!$A$4:$AI$79,32,FALSE),
VLOOKUP($C158,'2. Détail calcul GES'!$A$4:$AI$79,27,FALSE)),
"")</f>
        <v/>
      </c>
      <c r="T158" s="13" t="str">
        <f>IF(A158&lt;&gt;"",
IF(OR($A158="Graisses de station d’épuration",$A158="Déchets IAA liquides (&lt;20% MS)",$A158="Déchets liquides industriels",$A158="Autre type de bioliquide (préciser)"),
VLOOKUP($C158,'2. Détail calcul GES'!$A$4:$AI$79,34,FALSE),
VLOOKUP($C158,'2. Détail calcul GES'!$A$4:$AI$79,29,FALSE)),
"")</f>
        <v/>
      </c>
      <c r="U158" s="15" t="str">
        <f>IF(OR(A158="Graisses de station d’épuration",A158="Déchets IAA liquides (&lt;20% MS)",A158="Déchets liquides industriels",$A158="Autre type de bioliquide (préciser)"),
VLOOKUP(C158,'2. Détail calcul GES'!$A$4:$AI$79,35,FALSE),
IF(OR('0. Installation'!$B$4&lt;DATE(2021,1,1),A158="Déchets ménagers et assimilés"),
"Pas de critère à respecter",
IF(E158&lt;&gt;"",
IF(AND('0. Installation'!$B$4&gt;=DATE(2021,1,1),'0. Installation'!$B$4&lt;DATE(2026,1,1)),IF(S158&gt;=0.7,"Elec. : oui","Elec. : non"),
IF(S158&gt;=0.8,"Elec. : oui","Elec. : non"))
&amp;" / "&amp;
IF(AND('0. Installation'!$B$4&gt;=DATE(2021,1,1),'0. Installation'!$B$4&lt;DATE(2026,1,1)),IF(T158&gt;=0.7,"Chaleur : oui","Chaleur : non"),
IF(T158&gt;=0.8,"Chaleur : oui","Chaleur : non")),
"")))</f>
        <v>Pas de critère à respecter</v>
      </c>
      <c r="V158" s="9"/>
      <c r="W158" s="119">
        <f t="shared" si="3"/>
        <v>0</v>
      </c>
    </row>
    <row r="159" spans="1:23" ht="15.6">
      <c r="A159" s="26"/>
      <c r="B159" s="16"/>
      <c r="C159" s="27" t="str">
        <f t="shared" si="5"/>
        <v/>
      </c>
      <c r="D159" s="12"/>
      <c r="E159" s="275" t="str">
        <f t="shared" si="6"/>
        <v/>
      </c>
      <c r="F159" s="257"/>
      <c r="G159" s="257"/>
      <c r="H159" s="257"/>
      <c r="I159" s="257"/>
      <c r="J159" s="257"/>
      <c r="K159" s="16"/>
      <c r="L159" s="16"/>
      <c r="M159" s="247"/>
      <c r="N159" s="16"/>
      <c r="O159" s="12"/>
      <c r="P159" s="12"/>
      <c r="Q159" s="12"/>
      <c r="R159" s="14"/>
      <c r="S159" s="13" t="str">
        <f>IF(A159&lt;&gt;"",
IF(OR($A159="Graisses de station d’épuration",$A159="Déchets IAA liquides (&lt;20% MS)",$A159="Déchets liquides industriels",A159= "Autre type de bioliquide (préciser)"),
VLOOKUP($C159,'2. Détail calcul GES'!$A$4:$AI$79,32,FALSE),
VLOOKUP($C159,'2. Détail calcul GES'!$A$4:$AI$79,27,FALSE)),
"")</f>
        <v/>
      </c>
      <c r="T159" s="13" t="str">
        <f>IF(A159&lt;&gt;"",
IF(OR($A159="Graisses de station d’épuration",$A159="Déchets IAA liquides (&lt;20% MS)",$A159="Déchets liquides industriels",$A159="Autre type de bioliquide (préciser)"),
VLOOKUP($C159,'2. Détail calcul GES'!$A$4:$AI$79,34,FALSE),
VLOOKUP($C159,'2. Détail calcul GES'!$A$4:$AI$79,29,FALSE)),
"")</f>
        <v/>
      </c>
      <c r="U159" s="15" t="str">
        <f>IF(OR(A159="Graisses de station d’épuration",A159="Déchets IAA liquides (&lt;20% MS)",A159="Déchets liquides industriels",$A159="Autre type de bioliquide (préciser)"),
VLOOKUP(C159,'2. Détail calcul GES'!$A$4:$AI$79,35,FALSE),
IF(OR('0. Installation'!$B$4&lt;DATE(2021,1,1),A159="Déchets ménagers et assimilés"),
"Pas de critère à respecter",
IF(E159&lt;&gt;"",
IF(AND('0. Installation'!$B$4&gt;=DATE(2021,1,1),'0. Installation'!$B$4&lt;DATE(2026,1,1)),IF(S159&gt;=0.7,"Elec. : oui","Elec. : non"),
IF(S159&gt;=0.8,"Elec. : oui","Elec. : non"))
&amp;" / "&amp;
IF(AND('0. Installation'!$B$4&gt;=DATE(2021,1,1),'0. Installation'!$B$4&lt;DATE(2026,1,1)),IF(T159&gt;=0.7,"Chaleur : oui","Chaleur : non"),
IF(T159&gt;=0.8,"Chaleur : oui","Chaleur : non")),
"")))</f>
        <v>Pas de critère à respecter</v>
      </c>
      <c r="V159" s="9"/>
      <c r="W159" s="119">
        <f t="shared" si="3"/>
        <v>0</v>
      </c>
    </row>
    <row r="160" spans="1:23" ht="15.6">
      <c r="A160" s="26"/>
      <c r="B160" s="16"/>
      <c r="C160" s="27" t="str">
        <f t="shared" si="5"/>
        <v/>
      </c>
      <c r="D160" s="12"/>
      <c r="E160" s="275" t="str">
        <f t="shared" si="6"/>
        <v/>
      </c>
      <c r="F160" s="257"/>
      <c r="G160" s="257"/>
      <c r="H160" s="257"/>
      <c r="I160" s="257"/>
      <c r="J160" s="257"/>
      <c r="K160" s="16"/>
      <c r="L160" s="16"/>
      <c r="M160" s="247"/>
      <c r="N160" s="16"/>
      <c r="O160" s="12"/>
      <c r="P160" s="12"/>
      <c r="Q160" s="12"/>
      <c r="R160" s="14"/>
      <c r="S160" s="13" t="str">
        <f>IF(A160&lt;&gt;"",
IF(OR($A160="Graisses de station d’épuration",$A160="Déchets IAA liquides (&lt;20% MS)",$A160="Déchets liquides industriels",A160= "Autre type de bioliquide (préciser)"),
VLOOKUP($C160,'2. Détail calcul GES'!$A$4:$AI$79,32,FALSE),
VLOOKUP($C160,'2. Détail calcul GES'!$A$4:$AI$79,27,FALSE)),
"")</f>
        <v/>
      </c>
      <c r="T160" s="13" t="str">
        <f>IF(A160&lt;&gt;"",
IF(OR($A160="Graisses de station d’épuration",$A160="Déchets IAA liquides (&lt;20% MS)",$A160="Déchets liquides industriels",$A160="Autre type de bioliquide (préciser)"),
VLOOKUP($C160,'2. Détail calcul GES'!$A$4:$AI$79,34,FALSE),
VLOOKUP($C160,'2. Détail calcul GES'!$A$4:$AI$79,29,FALSE)),
"")</f>
        <v/>
      </c>
      <c r="U160" s="15" t="str">
        <f>IF(OR(A160="Graisses de station d’épuration",A160="Déchets IAA liquides (&lt;20% MS)",A160="Déchets liquides industriels",$A160="Autre type de bioliquide (préciser)"),
VLOOKUP(C160,'2. Détail calcul GES'!$A$4:$AI$79,35,FALSE),
IF(OR('0. Installation'!$B$4&lt;DATE(2021,1,1),A160="Déchets ménagers et assimilés"),
"Pas de critère à respecter",
IF(E160&lt;&gt;"",
IF(AND('0. Installation'!$B$4&gt;=DATE(2021,1,1),'0. Installation'!$B$4&lt;DATE(2026,1,1)),IF(S160&gt;=0.7,"Elec. : oui","Elec. : non"),
IF(S160&gt;=0.8,"Elec. : oui","Elec. : non"))
&amp;" / "&amp;
IF(AND('0. Installation'!$B$4&gt;=DATE(2021,1,1),'0. Installation'!$B$4&lt;DATE(2026,1,1)),IF(T160&gt;=0.7,"Chaleur : oui","Chaleur : non"),
IF(T160&gt;=0.8,"Chaleur : oui","Chaleur : non")),
"")))</f>
        <v>Pas de critère à respecter</v>
      </c>
      <c r="V160" s="9"/>
      <c r="W160" s="119">
        <f t="shared" si="3"/>
        <v>0</v>
      </c>
    </row>
    <row r="161" spans="1:23" ht="15.6">
      <c r="A161" s="26"/>
      <c r="B161" s="16"/>
      <c r="C161" s="27" t="str">
        <f t="shared" si="5"/>
        <v/>
      </c>
      <c r="D161" s="12"/>
      <c r="E161" s="275" t="str">
        <f t="shared" si="6"/>
        <v/>
      </c>
      <c r="F161" s="257"/>
      <c r="G161" s="257"/>
      <c r="H161" s="257"/>
      <c r="I161" s="257"/>
      <c r="J161" s="257"/>
      <c r="K161" s="16"/>
      <c r="L161" s="16"/>
      <c r="M161" s="247"/>
      <c r="N161" s="16"/>
      <c r="O161" s="12"/>
      <c r="P161" s="12"/>
      <c r="Q161" s="12"/>
      <c r="R161" s="14"/>
      <c r="S161" s="13" t="str">
        <f>IF(A161&lt;&gt;"",
IF(OR($A161="Graisses de station d’épuration",$A161="Déchets IAA liquides (&lt;20% MS)",$A161="Déchets liquides industriels",A161= "Autre type de bioliquide (préciser)"),
VLOOKUP($C161,'2. Détail calcul GES'!$A$4:$AI$79,32,FALSE),
VLOOKUP($C161,'2. Détail calcul GES'!$A$4:$AI$79,27,FALSE)),
"")</f>
        <v/>
      </c>
      <c r="T161" s="13" t="str">
        <f>IF(A161&lt;&gt;"",
IF(OR($A161="Graisses de station d’épuration",$A161="Déchets IAA liquides (&lt;20% MS)",$A161="Déchets liquides industriels",$A161="Autre type de bioliquide (préciser)"),
VLOOKUP($C161,'2. Détail calcul GES'!$A$4:$AI$79,34,FALSE),
VLOOKUP($C161,'2. Détail calcul GES'!$A$4:$AI$79,29,FALSE)),
"")</f>
        <v/>
      </c>
      <c r="U161" s="15" t="str">
        <f>IF(OR(A161="Graisses de station d’épuration",A161="Déchets IAA liquides (&lt;20% MS)",A161="Déchets liquides industriels",$A161="Autre type de bioliquide (préciser)"),
VLOOKUP(C161,'2. Détail calcul GES'!$A$4:$AI$79,35,FALSE),
IF(OR('0. Installation'!$B$4&lt;DATE(2021,1,1),A161="Déchets ménagers et assimilés"),
"Pas de critère à respecter",
IF(E161&lt;&gt;"",
IF(AND('0. Installation'!$B$4&gt;=DATE(2021,1,1),'0. Installation'!$B$4&lt;DATE(2026,1,1)),IF(S161&gt;=0.7,"Elec. : oui","Elec. : non"),
IF(S161&gt;=0.8,"Elec. : oui","Elec. : non"))
&amp;" / "&amp;
IF(AND('0. Installation'!$B$4&gt;=DATE(2021,1,1),'0. Installation'!$B$4&lt;DATE(2026,1,1)),IF(T161&gt;=0.7,"Chaleur : oui","Chaleur : non"),
IF(T161&gt;=0.8,"Chaleur : oui","Chaleur : non")),
"")))</f>
        <v>Pas de critère à respecter</v>
      </c>
      <c r="V161" s="9"/>
      <c r="W161" s="119">
        <f t="shared" si="3"/>
        <v>0</v>
      </c>
    </row>
    <row r="162" spans="1:23">
      <c r="A162" s="220" t="s">
        <v>333</v>
      </c>
      <c r="B162" s="220">
        <f>COUNTIFS($A132:$A161,"&lt;&gt;",U132:U161,"&lt;&gt;Pas de critère à respecter",S132:S161,0,T132:T161,0)+COUNTIFS($A132:$A161,"&lt;&gt;",U132:U161,"&lt;&gt;Pas de critère à respecter",S132:S161,NA(),T132:T161,NA())</f>
        <v>0</v>
      </c>
      <c r="C162" s="220"/>
      <c r="D162" s="220"/>
      <c r="E162" s="220">
        <f>IF(SUM(E132:E161)&gt;0,1,0)</f>
        <v>0</v>
      </c>
      <c r="F162" s="220"/>
      <c r="G162" s="220"/>
      <c r="H162" s="220"/>
      <c r="I162" s="220"/>
      <c r="J162" s="220"/>
      <c r="K162" s="220"/>
      <c r="L162" s="220"/>
      <c r="M162" s="220"/>
      <c r="N162" s="220"/>
      <c r="O162" s="220"/>
      <c r="P162" s="220"/>
      <c r="Q162" s="220"/>
      <c r="R162" s="220"/>
      <c r="S162" s="220"/>
      <c r="T162" s="220"/>
      <c r="U162" s="220">
        <f>IF('0. Installation'!B2="Cogénération",COUNTIF(U6:U161,"Elec. : oui / Chaleur : non")+COUNTIF(U6:U161,"Elec. : non / Chaleur : oui")+COUNTIF(U6:U161,"Elec. : non / Chaleur : non"),
IF('0. Installation'!B2="Electricité seule",COUNTIF(U6:U161,"Elec. : non / Chaleur : oui")+COUNTIF(U6:U161,"Elec. : non / Chaleur : non"),
COUNTIF(U6:U161,"Elec. : oui / Chaleur : non")+COUNTIF(U6:U161,"Elec. : non / Chaleur : non")))</f>
        <v>0</v>
      </c>
    </row>
    <row r="163" spans="1:23" ht="15" thickBot="1">
      <c r="A163" s="220" t="s">
        <v>334</v>
      </c>
      <c r="B163" s="220">
        <f>COUNTIF(A132:A161,"Graisses de station d’épuration")+COUNTIF(A132:A161,"Déchets IAA liquides (&lt;20% MS)")+COUNTIF(A132:A161,"Déchets liquides industriels")+COUNTIF(A132:A161,"Autre type de bioliquide (préciser)")</f>
        <v>0</v>
      </c>
      <c r="C163" s="220">
        <f>COUNTIFS(A132:A161,"Graisses de station d’épuration",S132:S161,NA())+COUNTIFS(A132:A161,"Graisses de station d’épuration",S132:S161,0,T132:T161,0)
+COUNTIFS(A132:A161,"Déchets IAA liquides (&lt;20% MS)",S132:S161,NA())+COUNTIFS(A132:A161,"Déchets IAA liquides (&lt;20% MS)",S132:S161,0,T132:T161,0)
+COUNTIFS(A132:A161,"Déchets liquides industriels",S132:S161,NA())+COUNTIFS(A132:A161,"Déchets liquides industriels",S132:S161,0,T132:T161,0)
+COUNTIFS(A132:A161,"Autre type de bioliquide (préciser)",S132:S161,NA())+COUNTIFS(A132:A161,"Autre type de bioliquide (préciser)",S132:S161,0,T132:T161,0)</f>
        <v>0</v>
      </c>
    </row>
    <row r="164" spans="1:23" ht="21.6" thickBot="1">
      <c r="A164" s="105" t="s">
        <v>75</v>
      </c>
      <c r="B164" s="28"/>
      <c r="C164" s="28"/>
      <c r="D164" s="28"/>
      <c r="E164" s="29">
        <f>SUM(E6:E67,E97:E126,E132:E161)</f>
        <v>0</v>
      </c>
      <c r="F164" s="256"/>
      <c r="G164" s="256"/>
      <c r="H164" s="256"/>
      <c r="I164" s="256"/>
      <c r="J164" s="256"/>
      <c r="K164" s="256"/>
      <c r="L164" s="256"/>
      <c r="M164" s="256"/>
      <c r="N164" s="256"/>
      <c r="O164" s="28"/>
      <c r="P164" s="28"/>
      <c r="Q164" s="28"/>
      <c r="R164" s="28"/>
      <c r="S164" s="28"/>
      <c r="T164" s="28"/>
      <c r="U164" s="28"/>
      <c r="V164" s="30"/>
    </row>
  </sheetData>
  <mergeCells count="36">
    <mergeCell ref="B46:B49"/>
    <mergeCell ref="B50:B53"/>
    <mergeCell ref="A22:A29"/>
    <mergeCell ref="B22:B25"/>
    <mergeCell ref="B26:B29"/>
    <mergeCell ref="A30:A41"/>
    <mergeCell ref="B30:B33"/>
    <mergeCell ref="B34:B37"/>
    <mergeCell ref="B38:B41"/>
    <mergeCell ref="A10:A21"/>
    <mergeCell ref="B10:B13"/>
    <mergeCell ref="B18:B21"/>
    <mergeCell ref="A3:U3"/>
    <mergeCell ref="A1:U1"/>
    <mergeCell ref="A6:A9"/>
    <mergeCell ref="B6:B9"/>
    <mergeCell ref="O4:P4"/>
    <mergeCell ref="Q4:R4"/>
    <mergeCell ref="F4:L4"/>
    <mergeCell ref="B14:B17"/>
    <mergeCell ref="S130:T130"/>
    <mergeCell ref="F130:L130"/>
    <mergeCell ref="B62:B65"/>
    <mergeCell ref="O95:P95"/>
    <mergeCell ref="Q95:R95"/>
    <mergeCell ref="S95:T95"/>
    <mergeCell ref="F95:L95"/>
    <mergeCell ref="O70:P70"/>
    <mergeCell ref="F70:L70"/>
    <mergeCell ref="A129:U129"/>
    <mergeCell ref="A69:U69"/>
    <mergeCell ref="A94:U94"/>
    <mergeCell ref="A42:A65"/>
    <mergeCell ref="B42:B45"/>
    <mergeCell ref="B54:B57"/>
    <mergeCell ref="B58:B61"/>
  </mergeCells>
  <phoneticPr fontId="43" type="noConversion"/>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41969FAB-5319-4DD8-A849-D935A5858979}">
          <x14:formula1>
            <xm:f>Listes!$A$13:$A$14</xm:f>
          </x14:formula1>
          <xm:sqref>Q132:Q161</xm:sqref>
        </x14:dataValidation>
        <x14:dataValidation type="list" allowBlank="1" showInputMessage="1" showErrorMessage="1" xr:uid="{72E76F0D-44DA-4EE0-9A43-9E83371D3430}">
          <x14:formula1>
            <xm:f>Listes!$I$42:$I$46</xm:f>
          </x14:formula1>
          <xm:sqref>D72:D91</xm:sqref>
        </x14:dataValidation>
        <x14:dataValidation type="list" allowBlank="1" showInputMessage="1" showErrorMessage="1" xr:uid="{72A480B2-C6B7-430E-BD82-F0A8A0BC145B}">
          <x14:formula1>
            <xm:f>Listes!$A$17:$A$36</xm:f>
          </x14:formula1>
          <xm:sqref>A72:A91</xm:sqref>
        </x14:dataValidation>
        <x14:dataValidation type="list" allowBlank="1" showInputMessage="1" showErrorMessage="1" xr:uid="{B865B274-4713-4A53-A6B1-70A76F83ABD2}">
          <x14:formula1>
            <xm:f>Listes!$I$34:$I$39</xm:f>
          </x14:formula1>
          <xm:sqref>B72:B91</xm:sqref>
        </x14:dataValidation>
        <x14:dataValidation type="list" allowBlank="1" showInputMessage="1" showErrorMessage="1" xr:uid="{C9ADC068-FC8A-4475-BC18-69D39B601F4D}">
          <x14:formula1>
            <xm:f>Listes!$A$71:$A$92</xm:f>
          </x14:formula1>
          <xm:sqref>A132:A161</xm:sqref>
        </x14:dataValidation>
        <x14:dataValidation type="list" allowBlank="1" showInputMessage="1" showErrorMessage="1" xr:uid="{F633B40B-AF79-44DA-B29B-0ECADCBFFD38}">
          <x14:formula1>
            <xm:f>Listes!$A$39:$A$68</xm:f>
          </x14:formula1>
          <xm:sqref>A97:A126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1682A-B166-46FF-9EDB-8C0489ABCF8E}">
  <dimension ref="A1:AL80"/>
  <sheetViews>
    <sheetView zoomScale="85" zoomScaleNormal="85" workbookViewId="0">
      <selection activeCell="AD8" sqref="AD8"/>
    </sheetView>
  </sheetViews>
  <sheetFormatPr baseColWidth="10" defaultRowHeight="14.4"/>
  <cols>
    <col min="1" max="1" width="14.33203125" customWidth="1"/>
    <col min="2" max="2" width="31.5546875" customWidth="1"/>
    <col min="3" max="18" width="5.88671875" customWidth="1"/>
    <col min="19" max="19" width="12.44140625" customWidth="1"/>
    <col min="20" max="20" width="7" customWidth="1"/>
    <col min="21" max="21" width="7.33203125" customWidth="1"/>
    <col min="22" max="22" width="8.5546875" customWidth="1"/>
    <col min="23" max="23" width="14.5546875" customWidth="1"/>
    <col min="24" max="24" width="15.5546875" customWidth="1"/>
    <col min="25" max="25" width="19.88671875" customWidth="1"/>
    <col min="26" max="26" width="15.44140625" customWidth="1"/>
    <col min="27" max="27" width="14.44140625" customWidth="1"/>
    <col min="28" max="29" width="15.109375" customWidth="1"/>
    <col min="30" max="30" width="27.6640625" customWidth="1"/>
    <col min="31" max="34" width="14.33203125" customWidth="1"/>
    <col min="35" max="35" width="24.5546875" customWidth="1"/>
    <col min="36" max="36" width="55.88671875" customWidth="1"/>
    <col min="37" max="37" width="60.5546875" customWidth="1"/>
    <col min="38" max="38" width="17" style="117" customWidth="1"/>
  </cols>
  <sheetData>
    <row r="1" spans="1:38" ht="30.75" customHeight="1" thickBot="1">
      <c r="A1" s="273" t="s">
        <v>151</v>
      </c>
      <c r="B1" s="115" t="s">
        <v>226</v>
      </c>
      <c r="C1" s="327" t="s">
        <v>152</v>
      </c>
      <c r="D1" s="328"/>
      <c r="E1" s="328"/>
      <c r="F1" s="328"/>
      <c r="G1" s="328"/>
      <c r="H1" s="328"/>
      <c r="I1" s="328"/>
      <c r="J1" s="328"/>
      <c r="K1" s="328"/>
      <c r="L1" s="328"/>
      <c r="M1" s="328"/>
      <c r="N1" s="328"/>
      <c r="O1" s="328"/>
      <c r="P1" s="328"/>
      <c r="Q1" s="328"/>
      <c r="R1" s="328"/>
      <c r="S1" s="328"/>
      <c r="T1" s="328"/>
      <c r="U1" s="328"/>
      <c r="V1" s="328"/>
      <c r="W1" s="328"/>
      <c r="X1" s="329"/>
      <c r="Y1" s="330" t="s">
        <v>224</v>
      </c>
      <c r="Z1" s="331"/>
      <c r="AA1" s="331"/>
      <c r="AB1" s="331"/>
      <c r="AC1" s="332"/>
      <c r="AD1" s="330" t="s">
        <v>225</v>
      </c>
      <c r="AE1" s="331"/>
      <c r="AF1" s="331"/>
      <c r="AG1" s="331"/>
      <c r="AH1" s="331"/>
      <c r="AI1" s="331"/>
      <c r="AJ1" s="111" t="s">
        <v>153</v>
      </c>
      <c r="AK1" s="112" t="s">
        <v>23</v>
      </c>
      <c r="AL1" s="118" t="s">
        <v>228</v>
      </c>
    </row>
    <row r="2" spans="1:38" ht="43.2">
      <c r="A2" s="272" t="str">
        <f>60-COUNTBLANK('1. Déclaration'!C97:C126)-COUNTBLANK('1. Déclaration'!C132:C161)&amp; " lots attendus"</f>
        <v>0 lots attendus</v>
      </c>
      <c r="B2" s="271"/>
      <c r="C2" s="333" t="s">
        <v>154</v>
      </c>
      <c r="D2" s="334"/>
      <c r="E2" s="333" t="s">
        <v>155</v>
      </c>
      <c r="F2" s="334"/>
      <c r="G2" s="333" t="s">
        <v>156</v>
      </c>
      <c r="H2" s="334"/>
      <c r="I2" s="333" t="s">
        <v>157</v>
      </c>
      <c r="J2" s="334"/>
      <c r="K2" s="333" t="s">
        <v>158</v>
      </c>
      <c r="L2" s="334"/>
      <c r="M2" s="333" t="s">
        <v>159</v>
      </c>
      <c r="N2" s="334"/>
      <c r="O2" s="333" t="s">
        <v>160</v>
      </c>
      <c r="P2" s="334"/>
      <c r="Q2" s="333" t="s">
        <v>161</v>
      </c>
      <c r="R2" s="334"/>
      <c r="S2" s="32" t="s">
        <v>162</v>
      </c>
      <c r="T2" s="1" t="s">
        <v>354</v>
      </c>
      <c r="U2" s="1" t="s">
        <v>355</v>
      </c>
      <c r="V2" s="1" t="s">
        <v>356</v>
      </c>
      <c r="W2" s="33" t="s">
        <v>166</v>
      </c>
      <c r="X2" s="33" t="s">
        <v>167</v>
      </c>
      <c r="Y2" s="284" t="s">
        <v>168</v>
      </c>
      <c r="Z2" s="35" t="s">
        <v>357</v>
      </c>
      <c r="AA2" s="35" t="s">
        <v>358</v>
      </c>
      <c r="AB2" s="35" t="s">
        <v>359</v>
      </c>
      <c r="AC2" s="36" t="s">
        <v>360</v>
      </c>
      <c r="AD2" s="34" t="s">
        <v>280</v>
      </c>
      <c r="AE2" s="35" t="s">
        <v>357</v>
      </c>
      <c r="AF2" s="35" t="s">
        <v>358</v>
      </c>
      <c r="AG2" s="35" t="s">
        <v>359</v>
      </c>
      <c r="AH2" s="36" t="s">
        <v>360</v>
      </c>
      <c r="AI2" s="36" t="s">
        <v>21</v>
      </c>
      <c r="AJ2" s="1"/>
    </row>
    <row r="3" spans="1:38">
      <c r="A3" s="116" t="s">
        <v>227</v>
      </c>
      <c r="B3" s="212"/>
      <c r="C3" s="142" t="s">
        <v>169</v>
      </c>
      <c r="D3" s="114" t="s">
        <v>170</v>
      </c>
      <c r="E3" s="214" t="s">
        <v>169</v>
      </c>
      <c r="F3" s="114" t="s">
        <v>170</v>
      </c>
      <c r="G3" s="214" t="s">
        <v>169</v>
      </c>
      <c r="H3" s="114" t="s">
        <v>170</v>
      </c>
      <c r="I3" s="214" t="s">
        <v>169</v>
      </c>
      <c r="J3" s="114" t="s">
        <v>170</v>
      </c>
      <c r="K3" s="214" t="s">
        <v>169</v>
      </c>
      <c r="L3" s="114" t="s">
        <v>170</v>
      </c>
      <c r="M3" s="214" t="s">
        <v>169</v>
      </c>
      <c r="N3" s="114" t="s">
        <v>170</v>
      </c>
      <c r="O3" s="214" t="s">
        <v>169</v>
      </c>
      <c r="P3" s="114" t="s">
        <v>170</v>
      </c>
      <c r="Q3" s="214" t="s">
        <v>169</v>
      </c>
      <c r="R3" s="114" t="s">
        <v>170</v>
      </c>
      <c r="Y3" s="37"/>
      <c r="AC3" s="38"/>
      <c r="AD3" s="37"/>
      <c r="AI3" s="38"/>
    </row>
    <row r="4" spans="1:38" ht="18" customHeight="1">
      <c r="A4" s="12"/>
      <c r="B4" s="213" t="e">
        <f>VLOOKUP(A4,'1. Déclaration'!$C$72:$W$161,21,FALSE)</f>
        <v>#N/A</v>
      </c>
      <c r="C4" s="210"/>
      <c r="D4" s="216"/>
      <c r="E4" s="215"/>
      <c r="F4" s="216"/>
      <c r="G4" s="210"/>
      <c r="H4" s="216"/>
      <c r="I4" s="210"/>
      <c r="J4" s="216"/>
      <c r="K4" s="210"/>
      <c r="L4" s="216"/>
      <c r="M4" s="210"/>
      <c r="N4" s="216"/>
      <c r="O4" s="215"/>
      <c r="P4" s="216"/>
      <c r="Q4" s="215"/>
      <c r="R4" s="216"/>
      <c r="S4" s="113">
        <f>SUM(C4:R4)</f>
        <v>0</v>
      </c>
      <c r="T4" s="13">
        <f>'0. Installation'!$B$5</f>
        <v>0</v>
      </c>
      <c r="U4" s="13">
        <f>'0. Installation'!$B$6</f>
        <v>0</v>
      </c>
      <c r="V4" s="39">
        <f>'0. Installation'!$B$7</f>
        <v>0</v>
      </c>
      <c r="W4" s="40">
        <f>IF(T4=0,0,
S4/T4*T4/(T4+U4*V4/(V4+273.15)))</f>
        <v>0</v>
      </c>
      <c r="X4" s="40">
        <f>IF(U4=0,0,
IF('0. Installation'!$B$2="Cogénération",
S4*V4/(V4+273.15)/(T4+V4/(V4+273.15)*U4),
S4/U4))</f>
        <v>0</v>
      </c>
      <c r="Y4" s="41">
        <f>'0. Installation'!$B$4</f>
        <v>0</v>
      </c>
      <c r="Z4" s="42">
        <f>IF('0. Installation'!$B$8="OUI",'Références GES'!$B$16,'Références GES'!$B$14)</f>
        <v>183</v>
      </c>
      <c r="AA4" s="43">
        <f>IF($W4=0,0,($Z4-$W4)/$Z4)</f>
        <v>0</v>
      </c>
      <c r="AB4" s="42">
        <f>'Références GES'!$B$15</f>
        <v>80</v>
      </c>
      <c r="AC4" s="43">
        <f>IF($X4=0,0,($AB4-$X4)/$AB4)</f>
        <v>0</v>
      </c>
      <c r="AD4" s="44"/>
      <c r="AE4" s="42">
        <f>'Références GES'!$B$14</f>
        <v>183</v>
      </c>
      <c r="AF4" s="43">
        <f>IF($W4=0,0,($AE4-$W4)/$AE4)</f>
        <v>0</v>
      </c>
      <c r="AG4" s="42">
        <f>'Références GES'!$B$15</f>
        <v>80</v>
      </c>
      <c r="AH4" s="43">
        <f>IF($X4=0,0,($AG4-$X4)/$AG4)</f>
        <v>0</v>
      </c>
      <c r="AI4" s="45" t="str">
        <f>IF(AD4="Avant le 6 octobre 2015",IF(AF4&gt;=0.5,"Elec. : oui","Elec. : non"),IF(AD4="Entre le 6 octobre 2015 et le 31 décembre 2020",IF(AF4&gt;=0.6,"Elec. : oui","Elec. : non"),IF(AF4&gt;=0.65,"Elec. : oui","Elec. : non")))
&amp;" / "&amp;
IF(AD4="Avant le 6 octobre 2015",IF(AH4&gt;=0.5,"Chaleur : oui","Chaleur : non"),IF(AD4="Entre le 6 octobre 2015 et le 31 décembre 2020",IF(AH4&gt;=0.6,"Chaleur : oui","Chaleur : non"),IF(AH4&gt;=0.65,"Chaleur : oui","Chaleur : non")))</f>
        <v>Elec. : non / Chaleur : non</v>
      </c>
      <c r="AJ4" s="46" t="str">
        <f t="shared" ref="AJ4:AJ67" si="0">IF(AND(A4&lt;&gt;"",S4=0),"Aucun calcul GES n'a été renseigné pour ce lot : à compléter","")</f>
        <v/>
      </c>
      <c r="AL4" s="117" t="e">
        <f>IF(AND(
OR(B4="Plaquettes bocagères ou agroforestières : 1B_PFA",B4="Plaquettes bocagères / bois de verger : 1B_PFA (V)",B4="Plaquettes paysagères ligneuses résidelles : 1C_PFA",B4="Bois SSD sortis du statut de déchet 3A_BFVBD",B4="Déchets de bois non dangereux 2910-B ICPE 3B_BFVBD",B4="Déchets de bois non dangereux 2771 ICPE 3C_BFVBD",B4="Liqueur noire",B4="Boue papetière"),
SUM(C4,E4,G4,I4,K4,M4,O4,Q4)&gt;0),
1,0)</f>
        <v>#N/A</v>
      </c>
    </row>
    <row r="5" spans="1:38">
      <c r="A5" s="12"/>
      <c r="B5" s="213" t="e">
        <f>VLOOKUP(A5,'1. Déclaration'!$C$72:$W$161,21,FALSE)</f>
        <v>#N/A</v>
      </c>
      <c r="C5" s="210"/>
      <c r="D5" s="216"/>
      <c r="E5" s="215"/>
      <c r="F5" s="216"/>
      <c r="G5" s="210"/>
      <c r="H5" s="216"/>
      <c r="I5" s="210"/>
      <c r="J5" s="216"/>
      <c r="K5" s="210"/>
      <c r="L5" s="216"/>
      <c r="M5" s="210"/>
      <c r="N5" s="216"/>
      <c r="O5" s="215"/>
      <c r="P5" s="216"/>
      <c r="Q5" s="215"/>
      <c r="R5" s="216"/>
      <c r="S5" s="113">
        <f t="shared" ref="S5:S68" si="1">SUM(C5:R5)</f>
        <v>0</v>
      </c>
      <c r="T5" s="13">
        <f>'0. Installation'!$B$5</f>
        <v>0</v>
      </c>
      <c r="U5" s="13">
        <f>'0. Installation'!$B$6</f>
        <v>0</v>
      </c>
      <c r="V5" s="39">
        <f>'0. Installation'!$B$7</f>
        <v>0</v>
      </c>
      <c r="W5" s="40">
        <f t="shared" ref="W5:W68" si="2">IF(T5=0,0,
S5/T5*T5/(T5+U5*V5/(V5+273.15)))</f>
        <v>0</v>
      </c>
      <c r="X5" s="40">
        <f>IF(U5=0,0,
IF('0. Installation'!$B$2="Cogénération",
S5*V5/(V5+273.15)/(T5+V5/(V5+273.15)*U5),
S5/U5))</f>
        <v>0</v>
      </c>
      <c r="Y5" s="41">
        <f>'0. Installation'!$B$4</f>
        <v>0</v>
      </c>
      <c r="Z5" s="42">
        <f>IF('0. Installation'!$B$8="OUI",'Références GES'!$B$16,'Références GES'!$B$14)</f>
        <v>183</v>
      </c>
      <c r="AA5" s="43">
        <f t="shared" ref="AA5:AA68" si="3">IF($W5=0,0,($Z5-$W5)/$Z5)</f>
        <v>0</v>
      </c>
      <c r="AB5" s="42">
        <f>'Références GES'!$B$15</f>
        <v>80</v>
      </c>
      <c r="AC5" s="43">
        <f t="shared" ref="AC5:AC68" si="4">IF($X5=0,0,($AB5-$X5)/$AB5)</f>
        <v>0</v>
      </c>
      <c r="AD5" s="44"/>
      <c r="AE5" s="42">
        <f>'Références GES'!$B$14</f>
        <v>183</v>
      </c>
      <c r="AF5" s="43">
        <f t="shared" ref="AF5:AF68" si="5">IF($W5=0,0,($AE5-$W5)/$AE5)</f>
        <v>0</v>
      </c>
      <c r="AG5" s="42">
        <f>'Références GES'!$B$15</f>
        <v>80</v>
      </c>
      <c r="AH5" s="43">
        <f t="shared" ref="AH5:AH68" si="6">IF($X5=0,0,($AG5-$X5)/$AG5)</f>
        <v>0</v>
      </c>
      <c r="AI5" s="45" t="str">
        <f t="shared" ref="AI5:AI68" si="7">IF(AD5="Avant le 6 octobre 2015",IF(AF5&gt;=0.5,"Elec. : oui","Elec. : non"),IF(AD5="Entre le 6 octobre 2015 et le 31 décembre 2020",IF(AF5&gt;=0.6,"Elec. : oui","Elec. : non"),IF(AF5&gt;=0.65,"Elec. : oui","Elec. : non")))
&amp;" / "&amp;
IF(AD5="Avant le 6 octobre 2015",IF(AH5&gt;=0.5,"Chaleur : oui","Chaleur : non"),IF(AD5="Entre le 6 octobre 2015 et le 31 décembre 2020",IF(AH5&gt;=0.6,"Chaleur : oui","Chaleur : non"),IF(AH5&gt;=0.65,"Chaleur : oui","Chaleur : non")))</f>
        <v>Elec. : non / Chaleur : non</v>
      </c>
      <c r="AJ5" s="46" t="str">
        <f t="shared" si="0"/>
        <v/>
      </c>
      <c r="AL5" s="117" t="e">
        <f t="shared" ref="AL5:AL68" si="8">IF(AND(
OR(B5="Plaquettes bocagères ou agroforestières : 1B_PFA",B5="Plaquettes bocagères / bois de verger : 1B_PFA (V)",B5="Plaquettes paysagères ligneuses résidelles : 1C_PFA",B5="Bois SSD sortis du statut de déchet 3A_BFVBD",B5="Déchets de bois non dangereux 2910-B ICPE 3B_BFVBD",B5="Déchets de bois non dangereux 2771 ICPE 3C_BFVBD",B5="Liqueur noire",B5="Boue papetière"),
SUM(C5,E5,G5,I5,K5,M5,O5,Q5)&gt;0),
1,0)</f>
        <v>#N/A</v>
      </c>
    </row>
    <row r="6" spans="1:38">
      <c r="A6" s="12"/>
      <c r="B6" s="213" t="e">
        <f>VLOOKUP(A6,'1. Déclaration'!$C$72:$W$161,21,FALSE)</f>
        <v>#N/A</v>
      </c>
      <c r="C6" s="210"/>
      <c r="D6" s="216"/>
      <c r="E6" s="215"/>
      <c r="F6" s="216"/>
      <c r="G6" s="210"/>
      <c r="H6" s="216"/>
      <c r="I6" s="210"/>
      <c r="J6" s="216"/>
      <c r="K6" s="210"/>
      <c r="L6" s="216"/>
      <c r="M6" s="210"/>
      <c r="N6" s="216"/>
      <c r="O6" s="215"/>
      <c r="P6" s="216"/>
      <c r="Q6" s="215"/>
      <c r="R6" s="216"/>
      <c r="S6" s="113">
        <f t="shared" si="1"/>
        <v>0</v>
      </c>
      <c r="T6" s="13">
        <f>'0. Installation'!$B$5</f>
        <v>0</v>
      </c>
      <c r="U6" s="13">
        <f>'0. Installation'!$B$6</f>
        <v>0</v>
      </c>
      <c r="V6" s="39">
        <f>'0. Installation'!$B$7</f>
        <v>0</v>
      </c>
      <c r="W6" s="40">
        <f t="shared" si="2"/>
        <v>0</v>
      </c>
      <c r="X6" s="40">
        <f>IF(U6=0,0,
IF('0. Installation'!$B$2="Cogénération",
S6*V6/(V6+273.15)/(T6+V6/(V6+273.15)*U6),
S6/U6))</f>
        <v>0</v>
      </c>
      <c r="Y6" s="41">
        <f>'0. Installation'!$B$4</f>
        <v>0</v>
      </c>
      <c r="Z6" s="42">
        <f>IF('0. Installation'!$B$8="OUI",'Références GES'!$B$16,'Références GES'!$B$14)</f>
        <v>183</v>
      </c>
      <c r="AA6" s="43">
        <f t="shared" si="3"/>
        <v>0</v>
      </c>
      <c r="AB6" s="42">
        <f>'Références GES'!$B$15</f>
        <v>80</v>
      </c>
      <c r="AC6" s="43">
        <f t="shared" si="4"/>
        <v>0</v>
      </c>
      <c r="AD6" s="44"/>
      <c r="AE6" s="42">
        <f>'Références GES'!$B$14</f>
        <v>183</v>
      </c>
      <c r="AF6" s="43">
        <f t="shared" si="5"/>
        <v>0</v>
      </c>
      <c r="AG6" s="42">
        <f>'Références GES'!$B$15</f>
        <v>80</v>
      </c>
      <c r="AH6" s="43">
        <f t="shared" si="6"/>
        <v>0</v>
      </c>
      <c r="AI6" s="45" t="str">
        <f t="shared" si="7"/>
        <v>Elec. : non / Chaleur : non</v>
      </c>
      <c r="AJ6" s="46" t="str">
        <f t="shared" si="0"/>
        <v/>
      </c>
      <c r="AL6" s="117" t="e">
        <f t="shared" si="8"/>
        <v>#N/A</v>
      </c>
    </row>
    <row r="7" spans="1:38">
      <c r="A7" s="12"/>
      <c r="B7" s="213" t="e">
        <f>VLOOKUP(A7,'1. Déclaration'!$C$72:$W$161,21,FALSE)</f>
        <v>#N/A</v>
      </c>
      <c r="C7" s="210"/>
      <c r="D7" s="216"/>
      <c r="E7" s="215"/>
      <c r="F7" s="216"/>
      <c r="G7" s="210"/>
      <c r="H7" s="216"/>
      <c r="I7" s="210"/>
      <c r="J7" s="216"/>
      <c r="K7" s="210"/>
      <c r="L7" s="218"/>
      <c r="M7" s="210"/>
      <c r="N7" s="216"/>
      <c r="O7" s="215"/>
      <c r="P7" s="216"/>
      <c r="Q7" s="215"/>
      <c r="R7" s="216"/>
      <c r="S7" s="113">
        <f t="shared" si="1"/>
        <v>0</v>
      </c>
      <c r="T7" s="13">
        <f>'0. Installation'!$B$5</f>
        <v>0</v>
      </c>
      <c r="U7" s="13">
        <f>'0. Installation'!$B$6</f>
        <v>0</v>
      </c>
      <c r="V7" s="39">
        <f>'0. Installation'!$B$7</f>
        <v>0</v>
      </c>
      <c r="W7" s="40">
        <f t="shared" si="2"/>
        <v>0</v>
      </c>
      <c r="X7" s="40">
        <f>IF(U7=0,0,
IF('0. Installation'!$B$2="Cogénération",
S7*V7/(V7+273.15)/(T7+V7/(V7+273.15)*U7),
S7/U7))</f>
        <v>0</v>
      </c>
      <c r="Y7" s="41">
        <f>'0. Installation'!$B$4</f>
        <v>0</v>
      </c>
      <c r="Z7" s="42">
        <f>IF('0. Installation'!$B$8="OUI",'Références GES'!$B$16,'Références GES'!$B$14)</f>
        <v>183</v>
      </c>
      <c r="AA7" s="43">
        <f t="shared" si="3"/>
        <v>0</v>
      </c>
      <c r="AB7" s="42">
        <f>'Références GES'!$B$15</f>
        <v>80</v>
      </c>
      <c r="AC7" s="43">
        <f t="shared" si="4"/>
        <v>0</v>
      </c>
      <c r="AD7" s="44"/>
      <c r="AE7" s="42">
        <f>'Références GES'!$B$14</f>
        <v>183</v>
      </c>
      <c r="AF7" s="43">
        <f t="shared" si="5"/>
        <v>0</v>
      </c>
      <c r="AG7" s="42">
        <f>'Références GES'!$B$15</f>
        <v>80</v>
      </c>
      <c r="AH7" s="43">
        <f t="shared" si="6"/>
        <v>0</v>
      </c>
      <c r="AI7" s="45" t="str">
        <f t="shared" si="7"/>
        <v>Elec. : non / Chaleur : non</v>
      </c>
      <c r="AJ7" s="46" t="str">
        <f t="shared" si="0"/>
        <v/>
      </c>
      <c r="AL7" s="117" t="e">
        <f t="shared" si="8"/>
        <v>#N/A</v>
      </c>
    </row>
    <row r="8" spans="1:38">
      <c r="A8" s="12"/>
      <c r="B8" s="213" t="e">
        <f>VLOOKUP(A8,'1. Déclaration'!$C$72:$W$161,21,FALSE)</f>
        <v>#N/A</v>
      </c>
      <c r="C8" s="211"/>
      <c r="D8" s="216"/>
      <c r="E8" s="215"/>
      <c r="F8" s="217"/>
      <c r="G8" s="211"/>
      <c r="H8" s="217"/>
      <c r="I8" s="211"/>
      <c r="J8" s="217"/>
      <c r="K8" s="211"/>
      <c r="L8" s="217"/>
      <c r="M8" s="211"/>
      <c r="N8" s="217"/>
      <c r="O8" s="215"/>
      <c r="P8" s="217"/>
      <c r="Q8" s="215"/>
      <c r="R8" s="217"/>
      <c r="S8" s="113">
        <f t="shared" si="1"/>
        <v>0</v>
      </c>
      <c r="T8" s="13">
        <f>'0. Installation'!$B$5</f>
        <v>0</v>
      </c>
      <c r="U8" s="13">
        <f>'0. Installation'!$B$6</f>
        <v>0</v>
      </c>
      <c r="V8" s="39">
        <f>'0. Installation'!$B$7</f>
        <v>0</v>
      </c>
      <c r="W8" s="40">
        <f t="shared" si="2"/>
        <v>0</v>
      </c>
      <c r="X8" s="40">
        <f>IF(U8=0,0,
IF('0. Installation'!$B$2="Cogénération",
S8*V8/(V8+273.15)/(T8+V8/(V8+273.15)*U8),
S8/U8))</f>
        <v>0</v>
      </c>
      <c r="Y8" s="41">
        <f>'0. Installation'!$B$4</f>
        <v>0</v>
      </c>
      <c r="Z8" s="42">
        <f>IF('0. Installation'!$B$8="OUI",'Références GES'!$B$16,'Références GES'!$B$14)</f>
        <v>183</v>
      </c>
      <c r="AA8" s="43">
        <f t="shared" si="3"/>
        <v>0</v>
      </c>
      <c r="AB8" s="42">
        <f>'Références GES'!$B$15</f>
        <v>80</v>
      </c>
      <c r="AC8" s="43">
        <f t="shared" si="4"/>
        <v>0</v>
      </c>
      <c r="AD8" s="44"/>
      <c r="AE8" s="42">
        <f>'Références GES'!$B$14</f>
        <v>183</v>
      </c>
      <c r="AF8" s="43">
        <f t="shared" si="5"/>
        <v>0</v>
      </c>
      <c r="AG8" s="42">
        <f>'Références GES'!$B$15</f>
        <v>80</v>
      </c>
      <c r="AH8" s="43">
        <f t="shared" si="6"/>
        <v>0</v>
      </c>
      <c r="AI8" s="45" t="str">
        <f t="shared" si="7"/>
        <v>Elec. : non / Chaleur : non</v>
      </c>
      <c r="AJ8" s="46" t="str">
        <f t="shared" si="0"/>
        <v/>
      </c>
      <c r="AL8" s="117" t="e">
        <f t="shared" si="8"/>
        <v>#N/A</v>
      </c>
    </row>
    <row r="9" spans="1:38">
      <c r="A9" s="12"/>
      <c r="B9" s="213" t="e">
        <f>VLOOKUP(A9,'1. Déclaration'!$C$72:$W$161,21,FALSE)</f>
        <v>#N/A</v>
      </c>
      <c r="C9" s="211"/>
      <c r="D9" s="216"/>
      <c r="E9" s="215"/>
      <c r="F9" s="217"/>
      <c r="G9" s="211"/>
      <c r="H9" s="217"/>
      <c r="I9" s="211"/>
      <c r="J9" s="217"/>
      <c r="K9" s="211"/>
      <c r="L9" s="217"/>
      <c r="M9" s="211"/>
      <c r="N9" s="217"/>
      <c r="O9" s="215"/>
      <c r="P9" s="217"/>
      <c r="Q9" s="215"/>
      <c r="R9" s="217"/>
      <c r="S9" s="113">
        <f t="shared" si="1"/>
        <v>0</v>
      </c>
      <c r="T9" s="13">
        <f>'0. Installation'!$B$5</f>
        <v>0</v>
      </c>
      <c r="U9" s="13">
        <f>'0. Installation'!$B$6</f>
        <v>0</v>
      </c>
      <c r="V9" s="39">
        <f>'0. Installation'!$B$7</f>
        <v>0</v>
      </c>
      <c r="W9" s="40">
        <f t="shared" si="2"/>
        <v>0</v>
      </c>
      <c r="X9" s="40">
        <f>IF(U9=0,0,
IF('0. Installation'!$B$2="Cogénération",
S9*V9/(V9+273.15)/(T9+V9/(V9+273.15)*U9),
S9/U9))</f>
        <v>0</v>
      </c>
      <c r="Y9" s="41">
        <f>'0. Installation'!$B$4</f>
        <v>0</v>
      </c>
      <c r="Z9" s="42">
        <f>IF('0. Installation'!$B$8="OUI",'Références GES'!$B$16,'Références GES'!$B$14)</f>
        <v>183</v>
      </c>
      <c r="AA9" s="43">
        <f t="shared" si="3"/>
        <v>0</v>
      </c>
      <c r="AB9" s="42">
        <f>'Références GES'!$B$15</f>
        <v>80</v>
      </c>
      <c r="AC9" s="43">
        <f>IF($X9=0,0,($AB9-$X9)/$AB9)</f>
        <v>0</v>
      </c>
      <c r="AD9" s="44"/>
      <c r="AE9" s="42">
        <f>'Références GES'!$B$14</f>
        <v>183</v>
      </c>
      <c r="AF9" s="43">
        <f t="shared" si="5"/>
        <v>0</v>
      </c>
      <c r="AG9" s="42">
        <f>'Références GES'!$B$15</f>
        <v>80</v>
      </c>
      <c r="AH9" s="43">
        <f t="shared" si="6"/>
        <v>0</v>
      </c>
      <c r="AI9" s="45" t="str">
        <f t="shared" si="7"/>
        <v>Elec. : non / Chaleur : non</v>
      </c>
      <c r="AJ9" s="46" t="str">
        <f t="shared" si="0"/>
        <v/>
      </c>
      <c r="AL9" s="117" t="e">
        <f t="shared" si="8"/>
        <v>#N/A</v>
      </c>
    </row>
    <row r="10" spans="1:38">
      <c r="A10" s="16"/>
      <c r="B10" s="213" t="e">
        <f>VLOOKUP(A10,'1. Déclaration'!$C$72:$W$161,21,FALSE)</f>
        <v>#N/A</v>
      </c>
      <c r="C10" s="211"/>
      <c r="D10" s="217"/>
      <c r="E10" s="215"/>
      <c r="F10" s="217"/>
      <c r="G10" s="211"/>
      <c r="H10" s="217"/>
      <c r="I10" s="211"/>
      <c r="J10" s="217"/>
      <c r="K10" s="211"/>
      <c r="L10" s="217"/>
      <c r="M10" s="211"/>
      <c r="N10" s="217"/>
      <c r="O10" s="215"/>
      <c r="P10" s="217"/>
      <c r="Q10" s="215"/>
      <c r="R10" s="217"/>
      <c r="S10" s="113">
        <f t="shared" si="1"/>
        <v>0</v>
      </c>
      <c r="T10" s="13">
        <f>'0. Installation'!$B$5</f>
        <v>0</v>
      </c>
      <c r="U10" s="13">
        <f>'0. Installation'!$B$6</f>
        <v>0</v>
      </c>
      <c r="V10" s="39">
        <f>'0. Installation'!$B$7</f>
        <v>0</v>
      </c>
      <c r="W10" s="40">
        <f t="shared" si="2"/>
        <v>0</v>
      </c>
      <c r="X10" s="40">
        <f>IF(U10=0,0,
IF('0. Installation'!$B$2="Cogénération",
S10*V10/(V10+273.15)/(T10+V10/(V10+273.15)*U10),
S10/U10))</f>
        <v>0</v>
      </c>
      <c r="Y10" s="41">
        <f>'0. Installation'!$B$4</f>
        <v>0</v>
      </c>
      <c r="Z10" s="42">
        <f>IF('0. Installation'!$B$8="OUI",'Références GES'!$B$16,'Références GES'!$B$14)</f>
        <v>183</v>
      </c>
      <c r="AA10" s="43">
        <f t="shared" si="3"/>
        <v>0</v>
      </c>
      <c r="AB10" s="42">
        <f>'Références GES'!$B$15</f>
        <v>80</v>
      </c>
      <c r="AC10" s="43">
        <f t="shared" si="4"/>
        <v>0</v>
      </c>
      <c r="AD10" s="44"/>
      <c r="AE10" s="42">
        <f>'Références GES'!$B$14</f>
        <v>183</v>
      </c>
      <c r="AF10" s="43">
        <f t="shared" si="5"/>
        <v>0</v>
      </c>
      <c r="AG10" s="42">
        <f>'Références GES'!$B$15</f>
        <v>80</v>
      </c>
      <c r="AH10" s="43">
        <f t="shared" si="6"/>
        <v>0</v>
      </c>
      <c r="AI10" s="45" t="str">
        <f t="shared" si="7"/>
        <v>Elec. : non / Chaleur : non</v>
      </c>
      <c r="AJ10" s="46" t="str">
        <f t="shared" si="0"/>
        <v/>
      </c>
      <c r="AL10" s="117" t="e">
        <f t="shared" si="8"/>
        <v>#N/A</v>
      </c>
    </row>
    <row r="11" spans="1:38">
      <c r="A11" s="16"/>
      <c r="B11" s="213" t="e">
        <f>VLOOKUP(A11,'1. Déclaration'!$C$72:$W$161,21,FALSE)</f>
        <v>#N/A</v>
      </c>
      <c r="C11" s="211"/>
      <c r="D11" s="217"/>
      <c r="E11" s="215"/>
      <c r="F11" s="217"/>
      <c r="G11" s="211"/>
      <c r="H11" s="217"/>
      <c r="I11" s="211"/>
      <c r="J11" s="217"/>
      <c r="K11" s="211"/>
      <c r="L11" s="217"/>
      <c r="M11" s="211"/>
      <c r="N11" s="217"/>
      <c r="O11" s="215"/>
      <c r="P11" s="217"/>
      <c r="Q11" s="215"/>
      <c r="R11" s="217"/>
      <c r="S11" s="113">
        <f t="shared" si="1"/>
        <v>0</v>
      </c>
      <c r="T11" s="13">
        <f>'0. Installation'!$B$5</f>
        <v>0</v>
      </c>
      <c r="U11" s="13">
        <f>'0. Installation'!$B$6</f>
        <v>0</v>
      </c>
      <c r="V11" s="39">
        <f>'0. Installation'!$B$7</f>
        <v>0</v>
      </c>
      <c r="W11" s="40">
        <f t="shared" si="2"/>
        <v>0</v>
      </c>
      <c r="X11" s="40">
        <f>IF(U11=0,0,
IF('0. Installation'!$B$2="Cogénération",
S11*V11/(V11+273.15)/(T11+V11/(V11+273.15)*U11),
S11/U11))</f>
        <v>0</v>
      </c>
      <c r="Y11" s="41">
        <f>'0. Installation'!$B$4</f>
        <v>0</v>
      </c>
      <c r="Z11" s="42">
        <f>IF('0. Installation'!$B$8="OUI",'Références GES'!$B$16,'Références GES'!$B$14)</f>
        <v>183</v>
      </c>
      <c r="AA11" s="43">
        <f t="shared" si="3"/>
        <v>0</v>
      </c>
      <c r="AB11" s="42">
        <f>'Références GES'!$B$15</f>
        <v>80</v>
      </c>
      <c r="AC11" s="43">
        <f t="shared" si="4"/>
        <v>0</v>
      </c>
      <c r="AD11" s="44"/>
      <c r="AE11" s="42">
        <f>'Références GES'!$B$14</f>
        <v>183</v>
      </c>
      <c r="AF11" s="43">
        <f t="shared" si="5"/>
        <v>0</v>
      </c>
      <c r="AG11" s="42">
        <f>'Références GES'!$B$15</f>
        <v>80</v>
      </c>
      <c r="AH11" s="43">
        <f t="shared" si="6"/>
        <v>0</v>
      </c>
      <c r="AI11" s="45" t="str">
        <f t="shared" si="7"/>
        <v>Elec. : non / Chaleur : non</v>
      </c>
      <c r="AJ11" s="46" t="str">
        <f t="shared" si="0"/>
        <v/>
      </c>
      <c r="AL11" s="117" t="e">
        <f t="shared" si="8"/>
        <v>#N/A</v>
      </c>
    </row>
    <row r="12" spans="1:38">
      <c r="A12" s="16"/>
      <c r="B12" s="213" t="e">
        <f>VLOOKUP(A12,'1. Déclaration'!$C$72:$W$161,21,FALSE)</f>
        <v>#N/A</v>
      </c>
      <c r="C12" s="211"/>
      <c r="D12" s="217"/>
      <c r="E12" s="215"/>
      <c r="F12" s="217"/>
      <c r="G12" s="211"/>
      <c r="H12" s="217"/>
      <c r="I12" s="211"/>
      <c r="J12" s="217"/>
      <c r="K12" s="211"/>
      <c r="L12" s="217"/>
      <c r="M12" s="211"/>
      <c r="N12" s="217"/>
      <c r="O12" s="215"/>
      <c r="P12" s="217"/>
      <c r="Q12" s="215"/>
      <c r="R12" s="217"/>
      <c r="S12" s="113">
        <f t="shared" si="1"/>
        <v>0</v>
      </c>
      <c r="T12" s="13">
        <f>'0. Installation'!$B$5</f>
        <v>0</v>
      </c>
      <c r="U12" s="13">
        <f>'0. Installation'!$B$6</f>
        <v>0</v>
      </c>
      <c r="V12" s="39">
        <f>'0. Installation'!$B$7</f>
        <v>0</v>
      </c>
      <c r="W12" s="40">
        <f t="shared" si="2"/>
        <v>0</v>
      </c>
      <c r="X12" s="40">
        <f>IF(U12=0,0,
IF('0. Installation'!$B$2="Cogénération",
S12*V12/(V12+273.15)/(T12+V12/(V12+273.15)*U12),
S12/U12))</f>
        <v>0</v>
      </c>
      <c r="Y12" s="41">
        <f>'0. Installation'!$B$4</f>
        <v>0</v>
      </c>
      <c r="Z12" s="42">
        <f>IF('0. Installation'!$B$8="OUI",'Références GES'!$B$16,'Références GES'!$B$14)</f>
        <v>183</v>
      </c>
      <c r="AA12" s="43">
        <f t="shared" si="3"/>
        <v>0</v>
      </c>
      <c r="AB12" s="42">
        <f>'Références GES'!$B$15</f>
        <v>80</v>
      </c>
      <c r="AC12" s="43">
        <f t="shared" si="4"/>
        <v>0</v>
      </c>
      <c r="AD12" s="44"/>
      <c r="AE12" s="42">
        <f>'Références GES'!$B$14</f>
        <v>183</v>
      </c>
      <c r="AF12" s="43">
        <f t="shared" si="5"/>
        <v>0</v>
      </c>
      <c r="AG12" s="42">
        <f>'Références GES'!$B$15</f>
        <v>80</v>
      </c>
      <c r="AH12" s="43">
        <f t="shared" si="6"/>
        <v>0</v>
      </c>
      <c r="AI12" s="45" t="str">
        <f t="shared" si="7"/>
        <v>Elec. : non / Chaleur : non</v>
      </c>
      <c r="AJ12" s="46" t="str">
        <f t="shared" si="0"/>
        <v/>
      </c>
      <c r="AL12" s="117" t="e">
        <f t="shared" si="8"/>
        <v>#N/A</v>
      </c>
    </row>
    <row r="13" spans="1:38">
      <c r="A13" s="16"/>
      <c r="B13" s="213" t="e">
        <f>VLOOKUP(A13,'1. Déclaration'!$C$72:$W$161,21,FALSE)</f>
        <v>#N/A</v>
      </c>
      <c r="C13" s="211"/>
      <c r="D13" s="217"/>
      <c r="E13" s="215"/>
      <c r="F13" s="217"/>
      <c r="G13" s="211"/>
      <c r="H13" s="217"/>
      <c r="I13" s="211"/>
      <c r="J13" s="217"/>
      <c r="K13" s="211"/>
      <c r="L13" s="217"/>
      <c r="M13" s="211"/>
      <c r="N13" s="217"/>
      <c r="O13" s="215"/>
      <c r="P13" s="217"/>
      <c r="Q13" s="215"/>
      <c r="R13" s="217"/>
      <c r="S13" s="113">
        <f t="shared" si="1"/>
        <v>0</v>
      </c>
      <c r="T13" s="13">
        <f>'0. Installation'!$B$5</f>
        <v>0</v>
      </c>
      <c r="U13" s="13">
        <f>'0. Installation'!$B$6</f>
        <v>0</v>
      </c>
      <c r="V13" s="39">
        <f>'0. Installation'!$B$7</f>
        <v>0</v>
      </c>
      <c r="W13" s="40">
        <f t="shared" si="2"/>
        <v>0</v>
      </c>
      <c r="X13" s="40">
        <f>IF(U13=0,0,
IF('0. Installation'!$B$2="Cogénération",
S13*V13/(V13+273.15)/(T13+V13/(V13+273.15)*U13),
S13/U13))</f>
        <v>0</v>
      </c>
      <c r="Y13" s="41">
        <f>'0. Installation'!$B$4</f>
        <v>0</v>
      </c>
      <c r="Z13" s="42">
        <f>IF('0. Installation'!$B$8="OUI",'Références GES'!$B$16,'Références GES'!$B$14)</f>
        <v>183</v>
      </c>
      <c r="AA13" s="43">
        <f t="shared" si="3"/>
        <v>0</v>
      </c>
      <c r="AB13" s="42">
        <f>'Références GES'!$B$15</f>
        <v>80</v>
      </c>
      <c r="AC13" s="43">
        <f t="shared" si="4"/>
        <v>0</v>
      </c>
      <c r="AD13" s="44"/>
      <c r="AE13" s="42">
        <f>'Références GES'!$B$14</f>
        <v>183</v>
      </c>
      <c r="AF13" s="43">
        <f t="shared" si="5"/>
        <v>0</v>
      </c>
      <c r="AG13" s="42">
        <f>'Références GES'!$B$15</f>
        <v>80</v>
      </c>
      <c r="AH13" s="43">
        <f t="shared" si="6"/>
        <v>0</v>
      </c>
      <c r="AI13" s="45" t="str">
        <f t="shared" si="7"/>
        <v>Elec. : non / Chaleur : non</v>
      </c>
      <c r="AJ13" s="46" t="str">
        <f t="shared" si="0"/>
        <v/>
      </c>
      <c r="AL13" s="117" t="e">
        <f t="shared" si="8"/>
        <v>#N/A</v>
      </c>
    </row>
    <row r="14" spans="1:38">
      <c r="A14" s="16"/>
      <c r="B14" s="213" t="e">
        <f>VLOOKUP(A14,'1. Déclaration'!$C$72:$W$161,21,FALSE)</f>
        <v>#N/A</v>
      </c>
      <c r="C14" s="211"/>
      <c r="D14" s="217"/>
      <c r="E14" s="215"/>
      <c r="F14" s="217"/>
      <c r="G14" s="211"/>
      <c r="H14" s="217"/>
      <c r="I14" s="211"/>
      <c r="J14" s="217"/>
      <c r="K14" s="211"/>
      <c r="L14" s="217"/>
      <c r="M14" s="211"/>
      <c r="N14" s="217"/>
      <c r="O14" s="215"/>
      <c r="P14" s="217"/>
      <c r="Q14" s="215"/>
      <c r="R14" s="217"/>
      <c r="S14" s="113">
        <f t="shared" si="1"/>
        <v>0</v>
      </c>
      <c r="T14" s="13">
        <f>'0. Installation'!$B$5</f>
        <v>0</v>
      </c>
      <c r="U14" s="13">
        <f>'0. Installation'!$B$6</f>
        <v>0</v>
      </c>
      <c r="V14" s="39">
        <f>'0. Installation'!$B$7</f>
        <v>0</v>
      </c>
      <c r="W14" s="40">
        <f t="shared" si="2"/>
        <v>0</v>
      </c>
      <c r="X14" s="40">
        <f>IF(U14=0,0,
IF('0. Installation'!$B$2="Cogénération",
S14*V14/(V14+273.15)/(T14+V14/(V14+273.15)*U14),
S14/U14))</f>
        <v>0</v>
      </c>
      <c r="Y14" s="41">
        <f>'0. Installation'!$B$4</f>
        <v>0</v>
      </c>
      <c r="Z14" s="42">
        <f>IF('0. Installation'!$B$8="OUI",'Références GES'!$B$16,'Références GES'!$B$14)</f>
        <v>183</v>
      </c>
      <c r="AA14" s="43">
        <f t="shared" si="3"/>
        <v>0</v>
      </c>
      <c r="AB14" s="42">
        <f>'Références GES'!$B$15</f>
        <v>80</v>
      </c>
      <c r="AC14" s="43">
        <f t="shared" si="4"/>
        <v>0</v>
      </c>
      <c r="AD14" s="44"/>
      <c r="AE14" s="42">
        <f>'Références GES'!$B$14</f>
        <v>183</v>
      </c>
      <c r="AF14" s="43">
        <f t="shared" si="5"/>
        <v>0</v>
      </c>
      <c r="AG14" s="42">
        <f>'Références GES'!$B$15</f>
        <v>80</v>
      </c>
      <c r="AH14" s="43">
        <f t="shared" si="6"/>
        <v>0</v>
      </c>
      <c r="AI14" s="45" t="str">
        <f t="shared" si="7"/>
        <v>Elec. : non / Chaleur : non</v>
      </c>
      <c r="AJ14" s="46" t="str">
        <f t="shared" si="0"/>
        <v/>
      </c>
      <c r="AL14" s="117" t="e">
        <f t="shared" si="8"/>
        <v>#N/A</v>
      </c>
    </row>
    <row r="15" spans="1:38">
      <c r="A15" s="16"/>
      <c r="B15" s="213" t="e">
        <f>VLOOKUP(A15,'1. Déclaration'!$C$72:$W$161,21,FALSE)</f>
        <v>#N/A</v>
      </c>
      <c r="C15" s="211"/>
      <c r="D15" s="217"/>
      <c r="E15" s="215"/>
      <c r="F15" s="217"/>
      <c r="G15" s="211"/>
      <c r="H15" s="217"/>
      <c r="I15" s="211"/>
      <c r="J15" s="217"/>
      <c r="K15" s="211"/>
      <c r="L15" s="217"/>
      <c r="M15" s="211"/>
      <c r="N15" s="217"/>
      <c r="O15" s="215"/>
      <c r="P15" s="217"/>
      <c r="Q15" s="215"/>
      <c r="R15" s="217"/>
      <c r="S15" s="113">
        <f t="shared" si="1"/>
        <v>0</v>
      </c>
      <c r="T15" s="13">
        <f>'0. Installation'!$B$5</f>
        <v>0</v>
      </c>
      <c r="U15" s="13">
        <f>'0. Installation'!$B$6</f>
        <v>0</v>
      </c>
      <c r="V15" s="39">
        <f>'0. Installation'!$B$7</f>
        <v>0</v>
      </c>
      <c r="W15" s="40">
        <f t="shared" si="2"/>
        <v>0</v>
      </c>
      <c r="X15" s="40">
        <f>IF(U15=0,0,
IF('0. Installation'!$B$2="Cogénération",
S15*V15/(V15+273.15)/(T15+V15/(V15+273.15)*U15),
S15/U15))</f>
        <v>0</v>
      </c>
      <c r="Y15" s="41">
        <f>'0. Installation'!$B$4</f>
        <v>0</v>
      </c>
      <c r="Z15" s="42">
        <f>IF('0. Installation'!$B$8="OUI",'Références GES'!$B$16,'Références GES'!$B$14)</f>
        <v>183</v>
      </c>
      <c r="AA15" s="43">
        <f t="shared" si="3"/>
        <v>0</v>
      </c>
      <c r="AB15" s="42">
        <f>'Références GES'!$B$15</f>
        <v>80</v>
      </c>
      <c r="AC15" s="43">
        <f t="shared" si="4"/>
        <v>0</v>
      </c>
      <c r="AD15" s="44"/>
      <c r="AE15" s="42">
        <f>'Références GES'!$B$14</f>
        <v>183</v>
      </c>
      <c r="AF15" s="43">
        <f t="shared" si="5"/>
        <v>0</v>
      </c>
      <c r="AG15" s="42">
        <f>'Références GES'!$B$15</f>
        <v>80</v>
      </c>
      <c r="AH15" s="43">
        <f t="shared" si="6"/>
        <v>0</v>
      </c>
      <c r="AI15" s="45" t="str">
        <f t="shared" si="7"/>
        <v>Elec. : non / Chaleur : non</v>
      </c>
      <c r="AJ15" s="46" t="str">
        <f t="shared" si="0"/>
        <v/>
      </c>
      <c r="AL15" s="117" t="e">
        <f t="shared" si="8"/>
        <v>#N/A</v>
      </c>
    </row>
    <row r="16" spans="1:38">
      <c r="A16" s="16"/>
      <c r="B16" s="213" t="e">
        <f>VLOOKUP(A16,'1. Déclaration'!$C$72:$W$161,21,FALSE)</f>
        <v>#N/A</v>
      </c>
      <c r="C16" s="211"/>
      <c r="D16" s="217"/>
      <c r="E16" s="215"/>
      <c r="F16" s="217"/>
      <c r="G16" s="211"/>
      <c r="H16" s="217"/>
      <c r="I16" s="211"/>
      <c r="J16" s="217"/>
      <c r="K16" s="211"/>
      <c r="L16" s="217"/>
      <c r="M16" s="211"/>
      <c r="N16" s="217"/>
      <c r="O16" s="215"/>
      <c r="P16" s="217"/>
      <c r="Q16" s="215"/>
      <c r="R16" s="217"/>
      <c r="S16" s="113">
        <f t="shared" si="1"/>
        <v>0</v>
      </c>
      <c r="T16" s="13">
        <f>'0. Installation'!$B$5</f>
        <v>0</v>
      </c>
      <c r="U16" s="13">
        <f>'0. Installation'!$B$6</f>
        <v>0</v>
      </c>
      <c r="V16" s="39">
        <f>'0. Installation'!$B$7</f>
        <v>0</v>
      </c>
      <c r="W16" s="40">
        <f t="shared" si="2"/>
        <v>0</v>
      </c>
      <c r="X16" s="40">
        <f>IF(U16=0,0,
IF('0. Installation'!$B$2="Cogénération",
S16*V16/(V16+273.15)/(T16+V16/(V16+273.15)*U16),
S16/U16))</f>
        <v>0</v>
      </c>
      <c r="Y16" s="41">
        <f>'0. Installation'!$B$4</f>
        <v>0</v>
      </c>
      <c r="Z16" s="42">
        <f>IF('0. Installation'!$B$8="OUI",'Références GES'!$B$16,'Références GES'!$B$14)</f>
        <v>183</v>
      </c>
      <c r="AA16" s="43">
        <f t="shared" si="3"/>
        <v>0</v>
      </c>
      <c r="AB16" s="42">
        <f>'Références GES'!$B$15</f>
        <v>80</v>
      </c>
      <c r="AC16" s="43">
        <f t="shared" si="4"/>
        <v>0</v>
      </c>
      <c r="AD16" s="44"/>
      <c r="AE16" s="42">
        <f>'Références GES'!$B$14</f>
        <v>183</v>
      </c>
      <c r="AF16" s="43">
        <f t="shared" si="5"/>
        <v>0</v>
      </c>
      <c r="AG16" s="42">
        <f>'Références GES'!$B$15</f>
        <v>80</v>
      </c>
      <c r="AH16" s="43">
        <f t="shared" si="6"/>
        <v>0</v>
      </c>
      <c r="AI16" s="45" t="str">
        <f t="shared" si="7"/>
        <v>Elec. : non / Chaleur : non</v>
      </c>
      <c r="AJ16" s="46" t="str">
        <f t="shared" si="0"/>
        <v/>
      </c>
      <c r="AL16" s="117" t="e">
        <f t="shared" si="8"/>
        <v>#N/A</v>
      </c>
    </row>
    <row r="17" spans="1:38">
      <c r="A17" s="16"/>
      <c r="B17" s="213" t="e">
        <f>VLOOKUP(A17,'1. Déclaration'!$C$72:$W$161,21,FALSE)</f>
        <v>#N/A</v>
      </c>
      <c r="C17" s="211"/>
      <c r="D17" s="217"/>
      <c r="E17" s="215"/>
      <c r="F17" s="217"/>
      <c r="G17" s="211"/>
      <c r="H17" s="217"/>
      <c r="I17" s="211"/>
      <c r="J17" s="217"/>
      <c r="K17" s="211"/>
      <c r="L17" s="217"/>
      <c r="M17" s="211"/>
      <c r="N17" s="217"/>
      <c r="O17" s="215"/>
      <c r="P17" s="217"/>
      <c r="Q17" s="215"/>
      <c r="R17" s="217"/>
      <c r="S17" s="113">
        <f t="shared" si="1"/>
        <v>0</v>
      </c>
      <c r="T17" s="13">
        <f>'0. Installation'!$B$5</f>
        <v>0</v>
      </c>
      <c r="U17" s="13">
        <f>'0. Installation'!$B$6</f>
        <v>0</v>
      </c>
      <c r="V17" s="39">
        <f>'0. Installation'!$B$7</f>
        <v>0</v>
      </c>
      <c r="W17" s="40">
        <f t="shared" si="2"/>
        <v>0</v>
      </c>
      <c r="X17" s="40">
        <f>IF(U17=0,0,
IF('0. Installation'!$B$2="Cogénération",
S17*V17/(V17+273.15)/(T17+V17/(V17+273.15)*U17),
S17/U17))</f>
        <v>0</v>
      </c>
      <c r="Y17" s="41">
        <f>'0. Installation'!$B$4</f>
        <v>0</v>
      </c>
      <c r="Z17" s="42">
        <f>IF('0. Installation'!$B$8="OUI",'Références GES'!$B$16,'Références GES'!$B$14)</f>
        <v>183</v>
      </c>
      <c r="AA17" s="43">
        <f t="shared" si="3"/>
        <v>0</v>
      </c>
      <c r="AB17" s="42">
        <f>'Références GES'!$B$15</f>
        <v>80</v>
      </c>
      <c r="AC17" s="43">
        <f t="shared" si="4"/>
        <v>0</v>
      </c>
      <c r="AD17" s="44"/>
      <c r="AE17" s="42">
        <f>'Références GES'!$B$14</f>
        <v>183</v>
      </c>
      <c r="AF17" s="43">
        <f t="shared" si="5"/>
        <v>0</v>
      </c>
      <c r="AG17" s="42">
        <f>'Références GES'!$B$15</f>
        <v>80</v>
      </c>
      <c r="AH17" s="43">
        <f t="shared" si="6"/>
        <v>0</v>
      </c>
      <c r="AI17" s="45" t="str">
        <f t="shared" si="7"/>
        <v>Elec. : non / Chaleur : non</v>
      </c>
      <c r="AJ17" s="46" t="str">
        <f t="shared" si="0"/>
        <v/>
      </c>
      <c r="AL17" s="117" t="e">
        <f t="shared" si="8"/>
        <v>#N/A</v>
      </c>
    </row>
    <row r="18" spans="1:38">
      <c r="A18" s="16"/>
      <c r="B18" s="213" t="e">
        <f>VLOOKUP(A18,'1. Déclaration'!$C$72:$W$161,21,FALSE)</f>
        <v>#N/A</v>
      </c>
      <c r="C18" s="211"/>
      <c r="D18" s="217"/>
      <c r="E18" s="215"/>
      <c r="F18" s="217"/>
      <c r="G18" s="211"/>
      <c r="H18" s="217"/>
      <c r="I18" s="211"/>
      <c r="J18" s="217"/>
      <c r="K18" s="211"/>
      <c r="L18" s="217"/>
      <c r="M18" s="211"/>
      <c r="N18" s="217"/>
      <c r="O18" s="215"/>
      <c r="P18" s="217"/>
      <c r="Q18" s="215"/>
      <c r="R18" s="217"/>
      <c r="S18" s="113">
        <f t="shared" si="1"/>
        <v>0</v>
      </c>
      <c r="T18" s="13">
        <f>'0. Installation'!$B$5</f>
        <v>0</v>
      </c>
      <c r="U18" s="13">
        <f>'0. Installation'!$B$6</f>
        <v>0</v>
      </c>
      <c r="V18" s="39">
        <f>'0. Installation'!$B$7</f>
        <v>0</v>
      </c>
      <c r="W18" s="40">
        <f t="shared" si="2"/>
        <v>0</v>
      </c>
      <c r="X18" s="40">
        <f>IF(U18=0,0,
IF('0. Installation'!$B$2="Cogénération",
S18*V18/(V18+273.15)/(T18+V18/(V18+273.15)*U18),
S18/U18))</f>
        <v>0</v>
      </c>
      <c r="Y18" s="41">
        <f>'0. Installation'!$B$4</f>
        <v>0</v>
      </c>
      <c r="Z18" s="42">
        <f>IF('0. Installation'!$B$8="OUI",'Références GES'!$B$16,'Références GES'!$B$14)</f>
        <v>183</v>
      </c>
      <c r="AA18" s="43">
        <f t="shared" si="3"/>
        <v>0</v>
      </c>
      <c r="AB18" s="42">
        <f>'Références GES'!$B$15</f>
        <v>80</v>
      </c>
      <c r="AC18" s="43">
        <f t="shared" si="4"/>
        <v>0</v>
      </c>
      <c r="AD18" s="44"/>
      <c r="AE18" s="42">
        <f>'Références GES'!$B$14</f>
        <v>183</v>
      </c>
      <c r="AF18" s="43">
        <f t="shared" si="5"/>
        <v>0</v>
      </c>
      <c r="AG18" s="42">
        <f>'Références GES'!$B$15</f>
        <v>80</v>
      </c>
      <c r="AH18" s="43">
        <f t="shared" si="6"/>
        <v>0</v>
      </c>
      <c r="AI18" s="45" t="str">
        <f t="shared" si="7"/>
        <v>Elec. : non / Chaleur : non</v>
      </c>
      <c r="AJ18" s="46" t="str">
        <f t="shared" si="0"/>
        <v/>
      </c>
      <c r="AL18" s="117" t="e">
        <f t="shared" si="8"/>
        <v>#N/A</v>
      </c>
    </row>
    <row r="19" spans="1:38">
      <c r="A19" s="16"/>
      <c r="B19" s="213" t="e">
        <f>VLOOKUP(A19,'1. Déclaration'!$C$72:$W$161,21,FALSE)</f>
        <v>#N/A</v>
      </c>
      <c r="C19" s="211"/>
      <c r="D19" s="217"/>
      <c r="E19" s="215"/>
      <c r="F19" s="217"/>
      <c r="G19" s="211"/>
      <c r="H19" s="217"/>
      <c r="I19" s="211"/>
      <c r="J19" s="217"/>
      <c r="K19" s="211"/>
      <c r="L19" s="217"/>
      <c r="M19" s="211"/>
      <c r="N19" s="217"/>
      <c r="O19" s="215"/>
      <c r="P19" s="217"/>
      <c r="Q19" s="215"/>
      <c r="R19" s="217"/>
      <c r="S19" s="113">
        <f t="shared" si="1"/>
        <v>0</v>
      </c>
      <c r="T19" s="13">
        <f>'0. Installation'!$B$5</f>
        <v>0</v>
      </c>
      <c r="U19" s="13">
        <f>'0. Installation'!$B$6</f>
        <v>0</v>
      </c>
      <c r="V19" s="39">
        <f>'0. Installation'!$B$7</f>
        <v>0</v>
      </c>
      <c r="W19" s="40">
        <f t="shared" si="2"/>
        <v>0</v>
      </c>
      <c r="X19" s="40">
        <f>IF(U19=0,0,
IF('0. Installation'!$B$2="Cogénération",
S19*V19/(V19+273.15)/(T19+V19/(V19+273.15)*U19),
S19/U19))</f>
        <v>0</v>
      </c>
      <c r="Y19" s="41">
        <f>'0. Installation'!$B$4</f>
        <v>0</v>
      </c>
      <c r="Z19" s="42">
        <f>IF('0. Installation'!$B$8="OUI",'Références GES'!$B$16,'Références GES'!$B$14)</f>
        <v>183</v>
      </c>
      <c r="AA19" s="43">
        <f t="shared" si="3"/>
        <v>0</v>
      </c>
      <c r="AB19" s="42">
        <f>'Références GES'!$B$15</f>
        <v>80</v>
      </c>
      <c r="AC19" s="43">
        <f t="shared" si="4"/>
        <v>0</v>
      </c>
      <c r="AD19" s="44"/>
      <c r="AE19" s="42">
        <f>'Références GES'!$B$14</f>
        <v>183</v>
      </c>
      <c r="AF19" s="43">
        <f t="shared" si="5"/>
        <v>0</v>
      </c>
      <c r="AG19" s="42">
        <f>'Références GES'!$B$15</f>
        <v>80</v>
      </c>
      <c r="AH19" s="43">
        <f t="shared" si="6"/>
        <v>0</v>
      </c>
      <c r="AI19" s="45" t="str">
        <f t="shared" si="7"/>
        <v>Elec. : non / Chaleur : non</v>
      </c>
      <c r="AJ19" s="46" t="str">
        <f t="shared" si="0"/>
        <v/>
      </c>
      <c r="AL19" s="117" t="e">
        <f t="shared" si="8"/>
        <v>#N/A</v>
      </c>
    </row>
    <row r="20" spans="1:38">
      <c r="A20" s="16"/>
      <c r="B20" s="213" t="e">
        <f>VLOOKUP(A20,'1. Déclaration'!$C$72:$W$161,21,FALSE)</f>
        <v>#N/A</v>
      </c>
      <c r="C20" s="211"/>
      <c r="D20" s="217"/>
      <c r="E20" s="215"/>
      <c r="F20" s="217"/>
      <c r="G20" s="211"/>
      <c r="H20" s="217"/>
      <c r="I20" s="211"/>
      <c r="J20" s="217"/>
      <c r="K20" s="211"/>
      <c r="L20" s="217"/>
      <c r="M20" s="211"/>
      <c r="N20" s="217"/>
      <c r="O20" s="215"/>
      <c r="P20" s="217"/>
      <c r="Q20" s="215"/>
      <c r="R20" s="217"/>
      <c r="S20" s="113">
        <f t="shared" si="1"/>
        <v>0</v>
      </c>
      <c r="T20" s="13">
        <f>'0. Installation'!$B$5</f>
        <v>0</v>
      </c>
      <c r="U20" s="13">
        <f>'0. Installation'!$B$6</f>
        <v>0</v>
      </c>
      <c r="V20" s="39">
        <f>'0. Installation'!$B$7</f>
        <v>0</v>
      </c>
      <c r="W20" s="40">
        <f t="shared" si="2"/>
        <v>0</v>
      </c>
      <c r="X20" s="40">
        <f>IF(U20=0,0,
IF('0. Installation'!$B$2="Cogénération",
S20*V20/(V20+273.15)/(T20+V20/(V20+273.15)*U20),
S20/U20))</f>
        <v>0</v>
      </c>
      <c r="Y20" s="41">
        <f>'0. Installation'!$B$4</f>
        <v>0</v>
      </c>
      <c r="Z20" s="42">
        <f>IF('0. Installation'!$B$8="OUI",'Références GES'!$B$16,'Références GES'!$B$14)</f>
        <v>183</v>
      </c>
      <c r="AA20" s="43">
        <f t="shared" si="3"/>
        <v>0</v>
      </c>
      <c r="AB20" s="42">
        <f>'Références GES'!$B$15</f>
        <v>80</v>
      </c>
      <c r="AC20" s="43">
        <f t="shared" si="4"/>
        <v>0</v>
      </c>
      <c r="AD20" s="44"/>
      <c r="AE20" s="42">
        <f>'Références GES'!$B$14</f>
        <v>183</v>
      </c>
      <c r="AF20" s="43">
        <f t="shared" si="5"/>
        <v>0</v>
      </c>
      <c r="AG20" s="42">
        <f>'Références GES'!$B$15</f>
        <v>80</v>
      </c>
      <c r="AH20" s="43">
        <f t="shared" si="6"/>
        <v>0</v>
      </c>
      <c r="AI20" s="45" t="str">
        <f t="shared" si="7"/>
        <v>Elec. : non / Chaleur : non</v>
      </c>
      <c r="AJ20" s="46" t="str">
        <f t="shared" si="0"/>
        <v/>
      </c>
      <c r="AL20" s="117" t="e">
        <f t="shared" si="8"/>
        <v>#N/A</v>
      </c>
    </row>
    <row r="21" spans="1:38">
      <c r="A21" s="16"/>
      <c r="B21" s="213" t="e">
        <f>VLOOKUP(A21,'1. Déclaration'!$C$72:$W$161,21,FALSE)</f>
        <v>#N/A</v>
      </c>
      <c r="C21" s="211"/>
      <c r="D21" s="217"/>
      <c r="E21" s="215"/>
      <c r="F21" s="217"/>
      <c r="G21" s="211"/>
      <c r="H21" s="217"/>
      <c r="I21" s="211"/>
      <c r="J21" s="217"/>
      <c r="K21" s="211"/>
      <c r="L21" s="217"/>
      <c r="M21" s="211"/>
      <c r="N21" s="217"/>
      <c r="O21" s="215"/>
      <c r="P21" s="217"/>
      <c r="Q21" s="215"/>
      <c r="R21" s="217"/>
      <c r="S21" s="113">
        <f t="shared" si="1"/>
        <v>0</v>
      </c>
      <c r="T21" s="13">
        <f>'0. Installation'!$B$5</f>
        <v>0</v>
      </c>
      <c r="U21" s="13">
        <f>'0. Installation'!$B$6</f>
        <v>0</v>
      </c>
      <c r="V21" s="39">
        <f>'0. Installation'!$B$7</f>
        <v>0</v>
      </c>
      <c r="W21" s="40">
        <f t="shared" si="2"/>
        <v>0</v>
      </c>
      <c r="X21" s="40">
        <f>IF(U21=0,0,
IF('0. Installation'!$B$2="Cogénération",
S21*V21/(V21+273.15)/(T21+V21/(V21+273.15)*U21),
S21/U21))</f>
        <v>0</v>
      </c>
      <c r="Y21" s="41">
        <f>'0. Installation'!$B$4</f>
        <v>0</v>
      </c>
      <c r="Z21" s="42">
        <f>IF('0. Installation'!$B$8="OUI",'Références GES'!$B$16,'Références GES'!$B$14)</f>
        <v>183</v>
      </c>
      <c r="AA21" s="43">
        <f t="shared" si="3"/>
        <v>0</v>
      </c>
      <c r="AB21" s="42">
        <f>'Références GES'!$B$15</f>
        <v>80</v>
      </c>
      <c r="AC21" s="43">
        <f t="shared" si="4"/>
        <v>0</v>
      </c>
      <c r="AD21" s="44"/>
      <c r="AE21" s="42">
        <f>'Références GES'!$B$14</f>
        <v>183</v>
      </c>
      <c r="AF21" s="43">
        <f t="shared" si="5"/>
        <v>0</v>
      </c>
      <c r="AG21" s="42">
        <f>'Références GES'!$B$15</f>
        <v>80</v>
      </c>
      <c r="AH21" s="43">
        <f t="shared" si="6"/>
        <v>0</v>
      </c>
      <c r="AI21" s="45" t="str">
        <f t="shared" si="7"/>
        <v>Elec. : non / Chaleur : non</v>
      </c>
      <c r="AJ21" s="46" t="str">
        <f t="shared" si="0"/>
        <v/>
      </c>
      <c r="AL21" s="117" t="e">
        <f t="shared" si="8"/>
        <v>#N/A</v>
      </c>
    </row>
    <row r="22" spans="1:38">
      <c r="A22" s="16"/>
      <c r="B22" s="213" t="e">
        <f>VLOOKUP(A22,'1. Déclaration'!$C$72:$W$161,21,FALSE)</f>
        <v>#N/A</v>
      </c>
      <c r="C22" s="211"/>
      <c r="D22" s="217"/>
      <c r="E22" s="215"/>
      <c r="F22" s="217"/>
      <c r="G22" s="211"/>
      <c r="H22" s="217"/>
      <c r="I22" s="211"/>
      <c r="J22" s="217"/>
      <c r="K22" s="211"/>
      <c r="L22" s="217"/>
      <c r="M22" s="211"/>
      <c r="N22" s="217"/>
      <c r="O22" s="215"/>
      <c r="P22" s="217"/>
      <c r="Q22" s="215"/>
      <c r="R22" s="217"/>
      <c r="S22" s="113">
        <f t="shared" si="1"/>
        <v>0</v>
      </c>
      <c r="T22" s="13">
        <f>'0. Installation'!$B$5</f>
        <v>0</v>
      </c>
      <c r="U22" s="13">
        <f>'0. Installation'!$B$6</f>
        <v>0</v>
      </c>
      <c r="V22" s="39">
        <f>'0. Installation'!$B$7</f>
        <v>0</v>
      </c>
      <c r="W22" s="40">
        <f t="shared" si="2"/>
        <v>0</v>
      </c>
      <c r="X22" s="40">
        <f>IF(U22=0,0,
IF('0. Installation'!$B$2="Cogénération",
S22*V22/(V22+273.15)/(T22+V22/(V22+273.15)*U22),
S22/U22))</f>
        <v>0</v>
      </c>
      <c r="Y22" s="41">
        <f>'0. Installation'!$B$4</f>
        <v>0</v>
      </c>
      <c r="Z22" s="42">
        <f>IF('0. Installation'!$B$8="OUI",'Références GES'!$B$16,'Références GES'!$B$14)</f>
        <v>183</v>
      </c>
      <c r="AA22" s="43">
        <f t="shared" si="3"/>
        <v>0</v>
      </c>
      <c r="AB22" s="42">
        <f>'Références GES'!$B$15</f>
        <v>80</v>
      </c>
      <c r="AC22" s="43">
        <f t="shared" si="4"/>
        <v>0</v>
      </c>
      <c r="AD22" s="44"/>
      <c r="AE22" s="42">
        <f>'Références GES'!$B$14</f>
        <v>183</v>
      </c>
      <c r="AF22" s="43">
        <f t="shared" si="5"/>
        <v>0</v>
      </c>
      <c r="AG22" s="42">
        <f>'Références GES'!$B$15</f>
        <v>80</v>
      </c>
      <c r="AH22" s="43">
        <f t="shared" si="6"/>
        <v>0</v>
      </c>
      <c r="AI22" s="45" t="str">
        <f t="shared" si="7"/>
        <v>Elec. : non / Chaleur : non</v>
      </c>
      <c r="AJ22" s="46" t="str">
        <f t="shared" si="0"/>
        <v/>
      </c>
      <c r="AL22" s="117" t="e">
        <f t="shared" si="8"/>
        <v>#N/A</v>
      </c>
    </row>
    <row r="23" spans="1:38">
      <c r="A23" s="16"/>
      <c r="B23" s="213" t="e">
        <f>VLOOKUP(A23,'1. Déclaration'!$C$72:$W$161,21,FALSE)</f>
        <v>#N/A</v>
      </c>
      <c r="C23" s="211"/>
      <c r="D23" s="217"/>
      <c r="E23" s="215"/>
      <c r="F23" s="217"/>
      <c r="G23" s="211"/>
      <c r="H23" s="217"/>
      <c r="I23" s="211"/>
      <c r="J23" s="217"/>
      <c r="K23" s="211"/>
      <c r="L23" s="217"/>
      <c r="M23" s="211"/>
      <c r="N23" s="217"/>
      <c r="O23" s="215"/>
      <c r="P23" s="217"/>
      <c r="Q23" s="215"/>
      <c r="R23" s="217"/>
      <c r="S23" s="113">
        <f t="shared" si="1"/>
        <v>0</v>
      </c>
      <c r="T23" s="13">
        <f>'0. Installation'!$B$5</f>
        <v>0</v>
      </c>
      <c r="U23" s="13">
        <f>'0. Installation'!$B$6</f>
        <v>0</v>
      </c>
      <c r="V23" s="39">
        <f>'0. Installation'!$B$7</f>
        <v>0</v>
      </c>
      <c r="W23" s="40">
        <f t="shared" si="2"/>
        <v>0</v>
      </c>
      <c r="X23" s="40">
        <f>IF(U23=0,0,
IF('0. Installation'!$B$2="Cogénération",
S23*V23/(V23+273.15)/(T23+V23/(V23+273.15)*U23),
S23/U23))</f>
        <v>0</v>
      </c>
      <c r="Y23" s="41">
        <f>'0. Installation'!$B$4</f>
        <v>0</v>
      </c>
      <c r="Z23" s="42">
        <f>IF('0. Installation'!$B$8="OUI",'Références GES'!$B$16,'Références GES'!$B$14)</f>
        <v>183</v>
      </c>
      <c r="AA23" s="43">
        <f t="shared" si="3"/>
        <v>0</v>
      </c>
      <c r="AB23" s="42">
        <f>'Références GES'!$B$15</f>
        <v>80</v>
      </c>
      <c r="AC23" s="43">
        <f t="shared" si="4"/>
        <v>0</v>
      </c>
      <c r="AD23" s="44"/>
      <c r="AE23" s="42">
        <f>'Références GES'!$B$14</f>
        <v>183</v>
      </c>
      <c r="AF23" s="43">
        <f t="shared" si="5"/>
        <v>0</v>
      </c>
      <c r="AG23" s="42">
        <f>'Références GES'!$B$15</f>
        <v>80</v>
      </c>
      <c r="AH23" s="43">
        <f t="shared" si="6"/>
        <v>0</v>
      </c>
      <c r="AI23" s="45" t="str">
        <f t="shared" si="7"/>
        <v>Elec. : non / Chaleur : non</v>
      </c>
      <c r="AJ23" s="46" t="str">
        <f t="shared" si="0"/>
        <v/>
      </c>
      <c r="AL23" s="117" t="e">
        <f t="shared" si="8"/>
        <v>#N/A</v>
      </c>
    </row>
    <row r="24" spans="1:38">
      <c r="A24" s="16"/>
      <c r="B24" s="213" t="e">
        <f>VLOOKUP(A24,'1. Déclaration'!$C$72:$W$161,21,FALSE)</f>
        <v>#N/A</v>
      </c>
      <c r="C24" s="211"/>
      <c r="D24" s="217"/>
      <c r="E24" s="215"/>
      <c r="F24" s="217"/>
      <c r="G24" s="211"/>
      <c r="H24" s="217"/>
      <c r="I24" s="211"/>
      <c r="J24" s="217"/>
      <c r="K24" s="211"/>
      <c r="L24" s="217"/>
      <c r="M24" s="211"/>
      <c r="N24" s="217"/>
      <c r="O24" s="215"/>
      <c r="P24" s="217"/>
      <c r="Q24" s="215"/>
      <c r="R24" s="217"/>
      <c r="S24" s="113">
        <f t="shared" si="1"/>
        <v>0</v>
      </c>
      <c r="T24" s="13">
        <f>'0. Installation'!$B$5</f>
        <v>0</v>
      </c>
      <c r="U24" s="13">
        <f>'0. Installation'!$B$6</f>
        <v>0</v>
      </c>
      <c r="V24" s="39">
        <f>'0. Installation'!$B$7</f>
        <v>0</v>
      </c>
      <c r="W24" s="40">
        <f t="shared" si="2"/>
        <v>0</v>
      </c>
      <c r="X24" s="40">
        <f>IF(U24=0,0,
IF('0. Installation'!$B$2="Cogénération",
S24*V24/(V24+273.15)/(T24+V24/(V24+273.15)*U24),
S24/U24))</f>
        <v>0</v>
      </c>
      <c r="Y24" s="41">
        <f>'0. Installation'!$B$4</f>
        <v>0</v>
      </c>
      <c r="Z24" s="42">
        <f>IF('0. Installation'!$B$8="OUI",'Références GES'!$B$16,'Références GES'!$B$14)</f>
        <v>183</v>
      </c>
      <c r="AA24" s="43">
        <f t="shared" si="3"/>
        <v>0</v>
      </c>
      <c r="AB24" s="42">
        <f>'Références GES'!$B$15</f>
        <v>80</v>
      </c>
      <c r="AC24" s="43">
        <f t="shared" si="4"/>
        <v>0</v>
      </c>
      <c r="AD24" s="44"/>
      <c r="AE24" s="42">
        <f>'Références GES'!$B$14</f>
        <v>183</v>
      </c>
      <c r="AF24" s="43">
        <f t="shared" si="5"/>
        <v>0</v>
      </c>
      <c r="AG24" s="42">
        <f>'Références GES'!$B$15</f>
        <v>80</v>
      </c>
      <c r="AH24" s="43">
        <f t="shared" si="6"/>
        <v>0</v>
      </c>
      <c r="AI24" s="45" t="str">
        <f t="shared" si="7"/>
        <v>Elec. : non / Chaleur : non</v>
      </c>
      <c r="AJ24" s="46" t="str">
        <f t="shared" si="0"/>
        <v/>
      </c>
      <c r="AL24" s="117" t="e">
        <f t="shared" si="8"/>
        <v>#N/A</v>
      </c>
    </row>
    <row r="25" spans="1:38">
      <c r="A25" s="16"/>
      <c r="B25" s="213" t="e">
        <f>VLOOKUP(A25,'1. Déclaration'!$C$72:$W$161,21,FALSE)</f>
        <v>#N/A</v>
      </c>
      <c r="C25" s="211"/>
      <c r="D25" s="217"/>
      <c r="E25" s="215"/>
      <c r="F25" s="217"/>
      <c r="G25" s="211"/>
      <c r="H25" s="217"/>
      <c r="I25" s="211"/>
      <c r="J25" s="217"/>
      <c r="K25" s="211"/>
      <c r="L25" s="217"/>
      <c r="M25" s="211"/>
      <c r="N25" s="217"/>
      <c r="O25" s="215"/>
      <c r="P25" s="217"/>
      <c r="Q25" s="215"/>
      <c r="R25" s="217"/>
      <c r="S25" s="113">
        <f t="shared" si="1"/>
        <v>0</v>
      </c>
      <c r="T25" s="13">
        <f>'0. Installation'!$B$5</f>
        <v>0</v>
      </c>
      <c r="U25" s="13">
        <f>'0. Installation'!$B$6</f>
        <v>0</v>
      </c>
      <c r="V25" s="39">
        <f>'0. Installation'!$B$7</f>
        <v>0</v>
      </c>
      <c r="W25" s="40">
        <f t="shared" si="2"/>
        <v>0</v>
      </c>
      <c r="X25" s="40">
        <f>IF(U25=0,0,
IF('0. Installation'!$B$2="Cogénération",
S25*V25/(V25+273.15)/(T25+V25/(V25+273.15)*U25),
S25/U25))</f>
        <v>0</v>
      </c>
      <c r="Y25" s="41">
        <f>'0. Installation'!$B$4</f>
        <v>0</v>
      </c>
      <c r="Z25" s="42">
        <f>IF('0. Installation'!$B$8="OUI",'Références GES'!$B$16,'Références GES'!$B$14)</f>
        <v>183</v>
      </c>
      <c r="AA25" s="43">
        <f t="shared" si="3"/>
        <v>0</v>
      </c>
      <c r="AB25" s="42">
        <f>'Références GES'!$B$15</f>
        <v>80</v>
      </c>
      <c r="AC25" s="43">
        <f t="shared" si="4"/>
        <v>0</v>
      </c>
      <c r="AD25" s="44"/>
      <c r="AE25" s="42">
        <f>'Références GES'!$B$14</f>
        <v>183</v>
      </c>
      <c r="AF25" s="43">
        <f t="shared" si="5"/>
        <v>0</v>
      </c>
      <c r="AG25" s="42">
        <f>'Références GES'!$B$15</f>
        <v>80</v>
      </c>
      <c r="AH25" s="43">
        <f t="shared" si="6"/>
        <v>0</v>
      </c>
      <c r="AI25" s="45" t="str">
        <f t="shared" si="7"/>
        <v>Elec. : non / Chaleur : non</v>
      </c>
      <c r="AJ25" s="46" t="str">
        <f t="shared" si="0"/>
        <v/>
      </c>
      <c r="AL25" s="117" t="e">
        <f t="shared" si="8"/>
        <v>#N/A</v>
      </c>
    </row>
    <row r="26" spans="1:38">
      <c r="A26" s="16"/>
      <c r="B26" s="213" t="e">
        <f>VLOOKUP(A26,'1. Déclaration'!$C$72:$W$161,21,FALSE)</f>
        <v>#N/A</v>
      </c>
      <c r="C26" s="211"/>
      <c r="D26" s="217"/>
      <c r="E26" s="215"/>
      <c r="F26" s="217"/>
      <c r="G26" s="211"/>
      <c r="H26" s="217"/>
      <c r="I26" s="211"/>
      <c r="J26" s="217"/>
      <c r="K26" s="211"/>
      <c r="L26" s="217"/>
      <c r="M26" s="211"/>
      <c r="N26" s="217"/>
      <c r="O26" s="215"/>
      <c r="P26" s="217"/>
      <c r="Q26" s="215"/>
      <c r="R26" s="217"/>
      <c r="S26" s="113">
        <f t="shared" si="1"/>
        <v>0</v>
      </c>
      <c r="T26" s="13">
        <f>'0. Installation'!$B$5</f>
        <v>0</v>
      </c>
      <c r="U26" s="13">
        <f>'0. Installation'!$B$6</f>
        <v>0</v>
      </c>
      <c r="V26" s="39">
        <f>'0. Installation'!$B$7</f>
        <v>0</v>
      </c>
      <c r="W26" s="40">
        <f t="shared" si="2"/>
        <v>0</v>
      </c>
      <c r="X26" s="40">
        <f>IF(U26=0,0,
IF('0. Installation'!$B$2="Cogénération",
S26*V26/(V26+273.15)/(T26+V26/(V26+273.15)*U26),
S26/U26))</f>
        <v>0</v>
      </c>
      <c r="Y26" s="41">
        <f>'0. Installation'!$B$4</f>
        <v>0</v>
      </c>
      <c r="Z26" s="42">
        <f>IF('0. Installation'!$B$8="OUI",'Références GES'!$B$16,'Références GES'!$B$14)</f>
        <v>183</v>
      </c>
      <c r="AA26" s="43">
        <f t="shared" si="3"/>
        <v>0</v>
      </c>
      <c r="AB26" s="42">
        <f>'Références GES'!$B$15</f>
        <v>80</v>
      </c>
      <c r="AC26" s="43">
        <f t="shared" si="4"/>
        <v>0</v>
      </c>
      <c r="AD26" s="44"/>
      <c r="AE26" s="42">
        <f>'Références GES'!$B$14</f>
        <v>183</v>
      </c>
      <c r="AF26" s="43">
        <f t="shared" si="5"/>
        <v>0</v>
      </c>
      <c r="AG26" s="42">
        <f>'Références GES'!$B$15</f>
        <v>80</v>
      </c>
      <c r="AH26" s="43">
        <f t="shared" si="6"/>
        <v>0</v>
      </c>
      <c r="AI26" s="45" t="str">
        <f t="shared" si="7"/>
        <v>Elec. : non / Chaleur : non</v>
      </c>
      <c r="AJ26" s="46" t="str">
        <f t="shared" si="0"/>
        <v/>
      </c>
      <c r="AL26" s="117" t="e">
        <f t="shared" si="8"/>
        <v>#N/A</v>
      </c>
    </row>
    <row r="27" spans="1:38">
      <c r="A27" s="16"/>
      <c r="B27" s="213" t="e">
        <f>VLOOKUP(A27,'1. Déclaration'!$C$72:$W$161,21,FALSE)</f>
        <v>#N/A</v>
      </c>
      <c r="C27" s="211"/>
      <c r="D27" s="217"/>
      <c r="E27" s="215"/>
      <c r="F27" s="217"/>
      <c r="G27" s="211"/>
      <c r="H27" s="217"/>
      <c r="I27" s="211"/>
      <c r="J27" s="217"/>
      <c r="K27" s="211"/>
      <c r="L27" s="217"/>
      <c r="M27" s="211"/>
      <c r="N27" s="217"/>
      <c r="O27" s="215"/>
      <c r="P27" s="217"/>
      <c r="Q27" s="215"/>
      <c r="R27" s="217"/>
      <c r="S27" s="113">
        <f t="shared" si="1"/>
        <v>0</v>
      </c>
      <c r="T27" s="13">
        <f>'0. Installation'!$B$5</f>
        <v>0</v>
      </c>
      <c r="U27" s="13">
        <f>'0. Installation'!$B$6</f>
        <v>0</v>
      </c>
      <c r="V27" s="39">
        <f>'0. Installation'!$B$7</f>
        <v>0</v>
      </c>
      <c r="W27" s="40">
        <f t="shared" si="2"/>
        <v>0</v>
      </c>
      <c r="X27" s="40">
        <f>IF(U27=0,0,
IF('0. Installation'!$B$2="Cogénération",
S27*V27/(V27+273.15)/(T27+V27/(V27+273.15)*U27),
S27/U27))</f>
        <v>0</v>
      </c>
      <c r="Y27" s="41">
        <f>'0. Installation'!$B$4</f>
        <v>0</v>
      </c>
      <c r="Z27" s="42">
        <f>IF('0. Installation'!$B$8="OUI",'Références GES'!$B$16,'Références GES'!$B$14)</f>
        <v>183</v>
      </c>
      <c r="AA27" s="43">
        <f t="shared" si="3"/>
        <v>0</v>
      </c>
      <c r="AB27" s="42">
        <f>'Références GES'!$B$15</f>
        <v>80</v>
      </c>
      <c r="AC27" s="43">
        <f t="shared" si="4"/>
        <v>0</v>
      </c>
      <c r="AD27" s="44"/>
      <c r="AE27" s="42">
        <f>'Références GES'!$B$14</f>
        <v>183</v>
      </c>
      <c r="AF27" s="43">
        <f t="shared" si="5"/>
        <v>0</v>
      </c>
      <c r="AG27" s="42">
        <f>'Références GES'!$B$15</f>
        <v>80</v>
      </c>
      <c r="AH27" s="43">
        <f t="shared" si="6"/>
        <v>0</v>
      </c>
      <c r="AI27" s="45" t="str">
        <f t="shared" si="7"/>
        <v>Elec. : non / Chaleur : non</v>
      </c>
      <c r="AJ27" s="46" t="str">
        <f t="shared" si="0"/>
        <v/>
      </c>
      <c r="AL27" s="117" t="e">
        <f t="shared" si="8"/>
        <v>#N/A</v>
      </c>
    </row>
    <row r="28" spans="1:38">
      <c r="A28" s="16"/>
      <c r="B28" s="213" t="e">
        <f>VLOOKUP(A28,'1. Déclaration'!$C$72:$W$161,21,FALSE)</f>
        <v>#N/A</v>
      </c>
      <c r="C28" s="211"/>
      <c r="D28" s="217"/>
      <c r="E28" s="215"/>
      <c r="F28" s="217"/>
      <c r="G28" s="211"/>
      <c r="H28" s="217"/>
      <c r="I28" s="211"/>
      <c r="J28" s="217"/>
      <c r="K28" s="211"/>
      <c r="L28" s="217"/>
      <c r="M28" s="211"/>
      <c r="N28" s="217"/>
      <c r="O28" s="215"/>
      <c r="P28" s="217"/>
      <c r="Q28" s="215"/>
      <c r="R28" s="217"/>
      <c r="S28" s="113">
        <f t="shared" si="1"/>
        <v>0</v>
      </c>
      <c r="T28" s="13">
        <f>'0. Installation'!$B$5</f>
        <v>0</v>
      </c>
      <c r="U28" s="13">
        <f>'0. Installation'!$B$6</f>
        <v>0</v>
      </c>
      <c r="V28" s="39">
        <f>'0. Installation'!$B$7</f>
        <v>0</v>
      </c>
      <c r="W28" s="40">
        <f t="shared" si="2"/>
        <v>0</v>
      </c>
      <c r="X28" s="40">
        <f>IF(U28=0,0,
IF('0. Installation'!$B$2="Cogénération",
S28*V28/(V28+273.15)/(T28+V28/(V28+273.15)*U28),
S28/U28))</f>
        <v>0</v>
      </c>
      <c r="Y28" s="41">
        <f>'0. Installation'!$B$4</f>
        <v>0</v>
      </c>
      <c r="Z28" s="42">
        <f>IF('0. Installation'!$B$8="OUI",'Références GES'!$B$16,'Références GES'!$B$14)</f>
        <v>183</v>
      </c>
      <c r="AA28" s="43">
        <f t="shared" si="3"/>
        <v>0</v>
      </c>
      <c r="AB28" s="42">
        <f>'Références GES'!$B$15</f>
        <v>80</v>
      </c>
      <c r="AC28" s="43">
        <f t="shared" si="4"/>
        <v>0</v>
      </c>
      <c r="AD28" s="44"/>
      <c r="AE28" s="42">
        <f>'Références GES'!$B$14</f>
        <v>183</v>
      </c>
      <c r="AF28" s="43">
        <f t="shared" si="5"/>
        <v>0</v>
      </c>
      <c r="AG28" s="42">
        <f>'Références GES'!$B$15</f>
        <v>80</v>
      </c>
      <c r="AH28" s="43">
        <f t="shared" si="6"/>
        <v>0</v>
      </c>
      <c r="AI28" s="45" t="str">
        <f t="shared" si="7"/>
        <v>Elec. : non / Chaleur : non</v>
      </c>
      <c r="AJ28" s="46" t="str">
        <f t="shared" si="0"/>
        <v/>
      </c>
      <c r="AL28" s="117" t="e">
        <f t="shared" si="8"/>
        <v>#N/A</v>
      </c>
    </row>
    <row r="29" spans="1:38">
      <c r="A29" s="16"/>
      <c r="B29" s="213" t="e">
        <f>VLOOKUP(A29,'1. Déclaration'!$C$72:$W$161,21,FALSE)</f>
        <v>#N/A</v>
      </c>
      <c r="C29" s="211"/>
      <c r="D29" s="217"/>
      <c r="E29" s="215"/>
      <c r="F29" s="217"/>
      <c r="G29" s="211"/>
      <c r="H29" s="217"/>
      <c r="I29" s="211"/>
      <c r="J29" s="217"/>
      <c r="K29" s="211"/>
      <c r="L29" s="217"/>
      <c r="M29" s="211"/>
      <c r="N29" s="217"/>
      <c r="O29" s="215"/>
      <c r="P29" s="217"/>
      <c r="Q29" s="215"/>
      <c r="R29" s="217"/>
      <c r="S29" s="113">
        <f t="shared" si="1"/>
        <v>0</v>
      </c>
      <c r="T29" s="13">
        <f>'0. Installation'!$B$5</f>
        <v>0</v>
      </c>
      <c r="U29" s="13">
        <f>'0. Installation'!$B$6</f>
        <v>0</v>
      </c>
      <c r="V29" s="39">
        <f>'0. Installation'!$B$7</f>
        <v>0</v>
      </c>
      <c r="W29" s="40">
        <f t="shared" si="2"/>
        <v>0</v>
      </c>
      <c r="X29" s="40">
        <f>IF(U29=0,0,
IF('0. Installation'!$B$2="Cogénération",
S29*V29/(V29+273.15)/(T29+V29/(V29+273.15)*U29),
S29/U29))</f>
        <v>0</v>
      </c>
      <c r="Y29" s="41">
        <f>'0. Installation'!$B$4</f>
        <v>0</v>
      </c>
      <c r="Z29" s="42">
        <f>IF('0. Installation'!$B$8="OUI",'Références GES'!$B$16,'Références GES'!$B$14)</f>
        <v>183</v>
      </c>
      <c r="AA29" s="43">
        <f t="shared" si="3"/>
        <v>0</v>
      </c>
      <c r="AB29" s="42">
        <f>'Références GES'!$B$15</f>
        <v>80</v>
      </c>
      <c r="AC29" s="43">
        <f t="shared" si="4"/>
        <v>0</v>
      </c>
      <c r="AD29" s="44"/>
      <c r="AE29" s="42">
        <f>'Références GES'!$B$14</f>
        <v>183</v>
      </c>
      <c r="AF29" s="43">
        <f t="shared" si="5"/>
        <v>0</v>
      </c>
      <c r="AG29" s="42">
        <f>'Références GES'!$B$15</f>
        <v>80</v>
      </c>
      <c r="AH29" s="43">
        <f t="shared" si="6"/>
        <v>0</v>
      </c>
      <c r="AI29" s="45" t="str">
        <f t="shared" si="7"/>
        <v>Elec. : non / Chaleur : non</v>
      </c>
      <c r="AJ29" s="46" t="str">
        <f t="shared" si="0"/>
        <v/>
      </c>
      <c r="AL29" s="117" t="e">
        <f t="shared" si="8"/>
        <v>#N/A</v>
      </c>
    </row>
    <row r="30" spans="1:38">
      <c r="A30" s="16"/>
      <c r="B30" s="213" t="e">
        <f>VLOOKUP(A30,'1. Déclaration'!$C$72:$W$161,21,FALSE)</f>
        <v>#N/A</v>
      </c>
      <c r="C30" s="211"/>
      <c r="D30" s="217"/>
      <c r="E30" s="215"/>
      <c r="F30" s="217"/>
      <c r="G30" s="211"/>
      <c r="H30" s="217"/>
      <c r="I30" s="211"/>
      <c r="J30" s="217"/>
      <c r="K30" s="211"/>
      <c r="L30" s="217"/>
      <c r="M30" s="211"/>
      <c r="N30" s="217"/>
      <c r="O30" s="215"/>
      <c r="P30" s="217"/>
      <c r="Q30" s="215"/>
      <c r="R30" s="217"/>
      <c r="S30" s="113">
        <f t="shared" si="1"/>
        <v>0</v>
      </c>
      <c r="T30" s="13">
        <f>'0. Installation'!$B$5</f>
        <v>0</v>
      </c>
      <c r="U30" s="13">
        <f>'0. Installation'!$B$6</f>
        <v>0</v>
      </c>
      <c r="V30" s="39">
        <f>'0. Installation'!$B$7</f>
        <v>0</v>
      </c>
      <c r="W30" s="40">
        <f t="shared" si="2"/>
        <v>0</v>
      </c>
      <c r="X30" s="40">
        <f>IF(U30=0,0,
IF('0. Installation'!$B$2="Cogénération",
S30*V30/(V30+273.15)/(T30+V30/(V30+273.15)*U30),
S30/U30))</f>
        <v>0</v>
      </c>
      <c r="Y30" s="41">
        <f>'0. Installation'!$B$4</f>
        <v>0</v>
      </c>
      <c r="Z30" s="42">
        <f>IF('0. Installation'!$B$8="OUI",'Références GES'!$B$16,'Références GES'!$B$14)</f>
        <v>183</v>
      </c>
      <c r="AA30" s="43">
        <f t="shared" si="3"/>
        <v>0</v>
      </c>
      <c r="AB30" s="42">
        <f>'Références GES'!$B$15</f>
        <v>80</v>
      </c>
      <c r="AC30" s="43">
        <f t="shared" si="4"/>
        <v>0</v>
      </c>
      <c r="AD30" s="44"/>
      <c r="AE30" s="42">
        <f>'Références GES'!$B$14</f>
        <v>183</v>
      </c>
      <c r="AF30" s="43">
        <f t="shared" si="5"/>
        <v>0</v>
      </c>
      <c r="AG30" s="42">
        <f>'Références GES'!$B$15</f>
        <v>80</v>
      </c>
      <c r="AH30" s="43">
        <f t="shared" si="6"/>
        <v>0</v>
      </c>
      <c r="AI30" s="45" t="str">
        <f t="shared" si="7"/>
        <v>Elec. : non / Chaleur : non</v>
      </c>
      <c r="AJ30" s="46" t="str">
        <f t="shared" si="0"/>
        <v/>
      </c>
      <c r="AL30" s="117" t="e">
        <f t="shared" si="8"/>
        <v>#N/A</v>
      </c>
    </row>
    <row r="31" spans="1:38">
      <c r="A31" s="16"/>
      <c r="B31" s="213" t="e">
        <f>VLOOKUP(A31,'1. Déclaration'!$C$72:$W$161,21,FALSE)</f>
        <v>#N/A</v>
      </c>
      <c r="C31" s="211"/>
      <c r="D31" s="217"/>
      <c r="E31" s="215"/>
      <c r="F31" s="217"/>
      <c r="G31" s="211"/>
      <c r="H31" s="217"/>
      <c r="I31" s="211"/>
      <c r="J31" s="217"/>
      <c r="K31" s="211"/>
      <c r="L31" s="217"/>
      <c r="M31" s="211"/>
      <c r="N31" s="217"/>
      <c r="O31" s="215"/>
      <c r="P31" s="217"/>
      <c r="Q31" s="215"/>
      <c r="R31" s="217"/>
      <c r="S31" s="113">
        <f t="shared" si="1"/>
        <v>0</v>
      </c>
      <c r="T31" s="13">
        <f>'0. Installation'!$B$5</f>
        <v>0</v>
      </c>
      <c r="U31" s="13">
        <f>'0. Installation'!$B$6</f>
        <v>0</v>
      </c>
      <c r="V31" s="39">
        <f>'0. Installation'!$B$7</f>
        <v>0</v>
      </c>
      <c r="W31" s="40">
        <f t="shared" si="2"/>
        <v>0</v>
      </c>
      <c r="X31" s="40">
        <f>IF(U31=0,0,
IF('0. Installation'!$B$2="Cogénération",
S31*V31/(V31+273.15)/(T31+V31/(V31+273.15)*U31),
S31/U31))</f>
        <v>0</v>
      </c>
      <c r="Y31" s="41">
        <f>'0. Installation'!$B$4</f>
        <v>0</v>
      </c>
      <c r="Z31" s="42">
        <f>IF('0. Installation'!$B$8="OUI",'Références GES'!$B$16,'Références GES'!$B$14)</f>
        <v>183</v>
      </c>
      <c r="AA31" s="43">
        <f t="shared" si="3"/>
        <v>0</v>
      </c>
      <c r="AB31" s="42">
        <f>'Références GES'!$B$15</f>
        <v>80</v>
      </c>
      <c r="AC31" s="43">
        <f t="shared" si="4"/>
        <v>0</v>
      </c>
      <c r="AD31" s="44"/>
      <c r="AE31" s="42">
        <f>'Références GES'!$B$14</f>
        <v>183</v>
      </c>
      <c r="AF31" s="43">
        <f t="shared" si="5"/>
        <v>0</v>
      </c>
      <c r="AG31" s="42">
        <f>'Références GES'!$B$15</f>
        <v>80</v>
      </c>
      <c r="AH31" s="43">
        <f t="shared" si="6"/>
        <v>0</v>
      </c>
      <c r="AI31" s="45" t="str">
        <f t="shared" si="7"/>
        <v>Elec. : non / Chaleur : non</v>
      </c>
      <c r="AJ31" s="46" t="str">
        <f t="shared" si="0"/>
        <v/>
      </c>
      <c r="AL31" s="117" t="e">
        <f t="shared" si="8"/>
        <v>#N/A</v>
      </c>
    </row>
    <row r="32" spans="1:38">
      <c r="A32" s="16"/>
      <c r="B32" s="213" t="e">
        <f>VLOOKUP(A32,'1. Déclaration'!$C$72:$W$161,21,FALSE)</f>
        <v>#N/A</v>
      </c>
      <c r="C32" s="211"/>
      <c r="D32" s="217"/>
      <c r="E32" s="215"/>
      <c r="F32" s="217"/>
      <c r="G32" s="211"/>
      <c r="H32" s="217"/>
      <c r="I32" s="211"/>
      <c r="J32" s="217"/>
      <c r="K32" s="211"/>
      <c r="L32" s="217"/>
      <c r="M32" s="211"/>
      <c r="N32" s="217"/>
      <c r="O32" s="215"/>
      <c r="P32" s="217"/>
      <c r="Q32" s="215"/>
      <c r="R32" s="217"/>
      <c r="S32" s="113">
        <f t="shared" si="1"/>
        <v>0</v>
      </c>
      <c r="T32" s="13">
        <f>'0. Installation'!$B$5</f>
        <v>0</v>
      </c>
      <c r="U32" s="13">
        <f>'0. Installation'!$B$6</f>
        <v>0</v>
      </c>
      <c r="V32" s="39">
        <f>'0. Installation'!$B$7</f>
        <v>0</v>
      </c>
      <c r="W32" s="40">
        <f t="shared" si="2"/>
        <v>0</v>
      </c>
      <c r="X32" s="40">
        <f>IF(U32=0,0,
IF('0. Installation'!$B$2="Cogénération",
S32*V32/(V32+273.15)/(T32+V32/(V32+273.15)*U32),
S32/U32))</f>
        <v>0</v>
      </c>
      <c r="Y32" s="41">
        <f>'0. Installation'!$B$4</f>
        <v>0</v>
      </c>
      <c r="Z32" s="42">
        <f>IF('0. Installation'!$B$8="OUI",'Références GES'!$B$16,'Références GES'!$B$14)</f>
        <v>183</v>
      </c>
      <c r="AA32" s="43">
        <f t="shared" si="3"/>
        <v>0</v>
      </c>
      <c r="AB32" s="42">
        <f>'Références GES'!$B$15</f>
        <v>80</v>
      </c>
      <c r="AC32" s="43">
        <f t="shared" si="4"/>
        <v>0</v>
      </c>
      <c r="AD32" s="44"/>
      <c r="AE32" s="42">
        <f>'Références GES'!$B$14</f>
        <v>183</v>
      </c>
      <c r="AF32" s="43">
        <f t="shared" si="5"/>
        <v>0</v>
      </c>
      <c r="AG32" s="42">
        <f>'Références GES'!$B$15</f>
        <v>80</v>
      </c>
      <c r="AH32" s="43">
        <f t="shared" si="6"/>
        <v>0</v>
      </c>
      <c r="AI32" s="45" t="str">
        <f t="shared" si="7"/>
        <v>Elec. : non / Chaleur : non</v>
      </c>
      <c r="AJ32" s="46" t="str">
        <f t="shared" si="0"/>
        <v/>
      </c>
      <c r="AL32" s="117" t="e">
        <f t="shared" si="8"/>
        <v>#N/A</v>
      </c>
    </row>
    <row r="33" spans="1:38">
      <c r="A33" s="16"/>
      <c r="B33" s="213" t="e">
        <f>VLOOKUP(A33,'1. Déclaration'!$C$72:$W$161,21,FALSE)</f>
        <v>#N/A</v>
      </c>
      <c r="C33" s="211"/>
      <c r="D33" s="217"/>
      <c r="E33" s="215"/>
      <c r="F33" s="217"/>
      <c r="G33" s="211"/>
      <c r="H33" s="217"/>
      <c r="I33" s="211"/>
      <c r="J33" s="217"/>
      <c r="K33" s="211"/>
      <c r="L33" s="217"/>
      <c r="M33" s="211"/>
      <c r="N33" s="217"/>
      <c r="O33" s="215"/>
      <c r="P33" s="217"/>
      <c r="Q33" s="215"/>
      <c r="R33" s="217"/>
      <c r="S33" s="113">
        <f t="shared" si="1"/>
        <v>0</v>
      </c>
      <c r="T33" s="13">
        <f>'0. Installation'!$B$5</f>
        <v>0</v>
      </c>
      <c r="U33" s="13">
        <f>'0. Installation'!$B$6</f>
        <v>0</v>
      </c>
      <c r="V33" s="39">
        <f>'0. Installation'!$B$7</f>
        <v>0</v>
      </c>
      <c r="W33" s="40">
        <f t="shared" si="2"/>
        <v>0</v>
      </c>
      <c r="X33" s="40">
        <f>IF(U33=0,0,
IF('0. Installation'!$B$2="Cogénération",
S33*V33/(V33+273.15)/(T33+V33/(V33+273.15)*U33),
S33/U33))</f>
        <v>0</v>
      </c>
      <c r="Y33" s="41">
        <f>'0. Installation'!$B$4</f>
        <v>0</v>
      </c>
      <c r="Z33" s="42">
        <f>IF('0. Installation'!$B$8="OUI",'Références GES'!$B$16,'Références GES'!$B$14)</f>
        <v>183</v>
      </c>
      <c r="AA33" s="43">
        <f t="shared" si="3"/>
        <v>0</v>
      </c>
      <c r="AB33" s="42">
        <f>'Références GES'!$B$15</f>
        <v>80</v>
      </c>
      <c r="AC33" s="43">
        <f t="shared" si="4"/>
        <v>0</v>
      </c>
      <c r="AD33" s="44"/>
      <c r="AE33" s="42">
        <f>'Références GES'!$B$14</f>
        <v>183</v>
      </c>
      <c r="AF33" s="43">
        <f t="shared" si="5"/>
        <v>0</v>
      </c>
      <c r="AG33" s="42">
        <f>'Références GES'!$B$15</f>
        <v>80</v>
      </c>
      <c r="AH33" s="43">
        <f t="shared" si="6"/>
        <v>0</v>
      </c>
      <c r="AI33" s="45" t="str">
        <f t="shared" si="7"/>
        <v>Elec. : non / Chaleur : non</v>
      </c>
      <c r="AJ33" s="46" t="str">
        <f t="shared" si="0"/>
        <v/>
      </c>
      <c r="AL33" s="117" t="e">
        <f t="shared" si="8"/>
        <v>#N/A</v>
      </c>
    </row>
    <row r="34" spans="1:38">
      <c r="A34" s="16"/>
      <c r="B34" s="213" t="e">
        <f>VLOOKUP(A34,'1. Déclaration'!$C$72:$W$161,21,FALSE)</f>
        <v>#N/A</v>
      </c>
      <c r="C34" s="211"/>
      <c r="D34" s="217"/>
      <c r="E34" s="215"/>
      <c r="F34" s="217"/>
      <c r="G34" s="211"/>
      <c r="H34" s="217"/>
      <c r="I34" s="211"/>
      <c r="J34" s="217"/>
      <c r="K34" s="211"/>
      <c r="L34" s="217"/>
      <c r="M34" s="211"/>
      <c r="N34" s="217"/>
      <c r="O34" s="215"/>
      <c r="P34" s="217"/>
      <c r="Q34" s="215"/>
      <c r="R34" s="217"/>
      <c r="S34" s="113">
        <f t="shared" si="1"/>
        <v>0</v>
      </c>
      <c r="T34" s="13">
        <f>'0. Installation'!$B$5</f>
        <v>0</v>
      </c>
      <c r="U34" s="13">
        <f>'0. Installation'!$B$6</f>
        <v>0</v>
      </c>
      <c r="V34" s="39">
        <f>'0. Installation'!$B$7</f>
        <v>0</v>
      </c>
      <c r="W34" s="40">
        <f t="shared" si="2"/>
        <v>0</v>
      </c>
      <c r="X34" s="40">
        <f>IF(U34=0,0,
IF('0. Installation'!$B$2="Cogénération",
S34*V34/(V34+273.15)/(T34+V34/(V34+273.15)*U34),
S34/U34))</f>
        <v>0</v>
      </c>
      <c r="Y34" s="41">
        <f>'0. Installation'!$B$4</f>
        <v>0</v>
      </c>
      <c r="Z34" s="42">
        <f>IF('0. Installation'!$B$8="OUI",'Références GES'!$B$16,'Références GES'!$B$14)</f>
        <v>183</v>
      </c>
      <c r="AA34" s="43">
        <f t="shared" si="3"/>
        <v>0</v>
      </c>
      <c r="AB34" s="42">
        <f>'Références GES'!$B$15</f>
        <v>80</v>
      </c>
      <c r="AC34" s="43">
        <f t="shared" si="4"/>
        <v>0</v>
      </c>
      <c r="AD34" s="44"/>
      <c r="AE34" s="42">
        <f>'Références GES'!$B$14</f>
        <v>183</v>
      </c>
      <c r="AF34" s="43">
        <f t="shared" si="5"/>
        <v>0</v>
      </c>
      <c r="AG34" s="42">
        <f>'Références GES'!$B$15</f>
        <v>80</v>
      </c>
      <c r="AH34" s="43">
        <f t="shared" si="6"/>
        <v>0</v>
      </c>
      <c r="AI34" s="45" t="str">
        <f t="shared" si="7"/>
        <v>Elec. : non / Chaleur : non</v>
      </c>
      <c r="AJ34" s="46" t="str">
        <f t="shared" si="0"/>
        <v/>
      </c>
      <c r="AL34" s="117" t="e">
        <f t="shared" si="8"/>
        <v>#N/A</v>
      </c>
    </row>
    <row r="35" spans="1:38">
      <c r="A35" s="16"/>
      <c r="B35" s="213" t="e">
        <f>VLOOKUP(A35,'1. Déclaration'!$C$72:$W$161,21,FALSE)</f>
        <v>#N/A</v>
      </c>
      <c r="C35" s="211"/>
      <c r="D35" s="217"/>
      <c r="E35" s="215"/>
      <c r="F35" s="217"/>
      <c r="G35" s="211"/>
      <c r="H35" s="217"/>
      <c r="I35" s="211"/>
      <c r="J35" s="217"/>
      <c r="K35" s="211"/>
      <c r="L35" s="217"/>
      <c r="M35" s="211"/>
      <c r="N35" s="217"/>
      <c r="O35" s="215"/>
      <c r="P35" s="217"/>
      <c r="Q35" s="215"/>
      <c r="R35" s="217"/>
      <c r="S35" s="113">
        <f t="shared" si="1"/>
        <v>0</v>
      </c>
      <c r="T35" s="13">
        <f>'0. Installation'!$B$5</f>
        <v>0</v>
      </c>
      <c r="U35" s="13">
        <f>'0. Installation'!$B$6</f>
        <v>0</v>
      </c>
      <c r="V35" s="39">
        <f>'0. Installation'!$B$7</f>
        <v>0</v>
      </c>
      <c r="W35" s="40">
        <f t="shared" si="2"/>
        <v>0</v>
      </c>
      <c r="X35" s="40">
        <f>IF(U35=0,0,
IF('0. Installation'!$B$2="Cogénération",
S35*V35/(V35+273.15)/(T35+V35/(V35+273.15)*U35),
S35/U35))</f>
        <v>0</v>
      </c>
      <c r="Y35" s="41">
        <f>'0. Installation'!$B$4</f>
        <v>0</v>
      </c>
      <c r="Z35" s="42">
        <f>IF('0. Installation'!$B$8="OUI",'Références GES'!$B$16,'Références GES'!$B$14)</f>
        <v>183</v>
      </c>
      <c r="AA35" s="43">
        <f t="shared" si="3"/>
        <v>0</v>
      </c>
      <c r="AB35" s="42">
        <f>'Références GES'!$B$15</f>
        <v>80</v>
      </c>
      <c r="AC35" s="43">
        <f t="shared" si="4"/>
        <v>0</v>
      </c>
      <c r="AD35" s="44"/>
      <c r="AE35" s="42">
        <f>'Références GES'!$B$14</f>
        <v>183</v>
      </c>
      <c r="AF35" s="43">
        <f t="shared" si="5"/>
        <v>0</v>
      </c>
      <c r="AG35" s="42">
        <f>'Références GES'!$B$15</f>
        <v>80</v>
      </c>
      <c r="AH35" s="43">
        <f t="shared" si="6"/>
        <v>0</v>
      </c>
      <c r="AI35" s="45" t="str">
        <f t="shared" si="7"/>
        <v>Elec. : non / Chaleur : non</v>
      </c>
      <c r="AJ35" s="46" t="str">
        <f t="shared" si="0"/>
        <v/>
      </c>
      <c r="AL35" s="117" t="e">
        <f t="shared" si="8"/>
        <v>#N/A</v>
      </c>
    </row>
    <row r="36" spans="1:38">
      <c r="A36" s="16"/>
      <c r="B36" s="213" t="e">
        <f>VLOOKUP(A36,'1. Déclaration'!$C$72:$W$161,21,FALSE)</f>
        <v>#N/A</v>
      </c>
      <c r="C36" s="211"/>
      <c r="D36" s="217"/>
      <c r="E36" s="215"/>
      <c r="F36" s="217"/>
      <c r="G36" s="211"/>
      <c r="H36" s="217"/>
      <c r="I36" s="211"/>
      <c r="J36" s="217"/>
      <c r="K36" s="211"/>
      <c r="L36" s="217"/>
      <c r="M36" s="211"/>
      <c r="N36" s="217"/>
      <c r="O36" s="215"/>
      <c r="P36" s="217"/>
      <c r="Q36" s="215"/>
      <c r="R36" s="217"/>
      <c r="S36" s="113">
        <f t="shared" si="1"/>
        <v>0</v>
      </c>
      <c r="T36" s="13">
        <f>'0. Installation'!$B$5</f>
        <v>0</v>
      </c>
      <c r="U36" s="13">
        <f>'0. Installation'!$B$6</f>
        <v>0</v>
      </c>
      <c r="V36" s="39">
        <f>'0. Installation'!$B$7</f>
        <v>0</v>
      </c>
      <c r="W36" s="40">
        <f t="shared" si="2"/>
        <v>0</v>
      </c>
      <c r="X36" s="40">
        <f>IF(U36=0,0,
IF('0. Installation'!$B$2="Cogénération",
S36*V36/(V36+273.15)/(T36+V36/(V36+273.15)*U36),
S36/U36))</f>
        <v>0</v>
      </c>
      <c r="Y36" s="41">
        <f>'0. Installation'!$B$4</f>
        <v>0</v>
      </c>
      <c r="Z36" s="42">
        <f>IF('0. Installation'!$B$8="OUI",'Références GES'!$B$16,'Références GES'!$B$14)</f>
        <v>183</v>
      </c>
      <c r="AA36" s="43">
        <f t="shared" si="3"/>
        <v>0</v>
      </c>
      <c r="AB36" s="42">
        <f>'Références GES'!$B$15</f>
        <v>80</v>
      </c>
      <c r="AC36" s="43">
        <f t="shared" si="4"/>
        <v>0</v>
      </c>
      <c r="AD36" s="44"/>
      <c r="AE36" s="42">
        <f>'Références GES'!$B$14</f>
        <v>183</v>
      </c>
      <c r="AF36" s="43">
        <f t="shared" si="5"/>
        <v>0</v>
      </c>
      <c r="AG36" s="42">
        <f>'Références GES'!$B$15</f>
        <v>80</v>
      </c>
      <c r="AH36" s="43">
        <f t="shared" si="6"/>
        <v>0</v>
      </c>
      <c r="AI36" s="45" t="str">
        <f t="shared" si="7"/>
        <v>Elec. : non / Chaleur : non</v>
      </c>
      <c r="AJ36" s="46" t="str">
        <f t="shared" si="0"/>
        <v/>
      </c>
      <c r="AL36" s="117" t="e">
        <f t="shared" si="8"/>
        <v>#N/A</v>
      </c>
    </row>
    <row r="37" spans="1:38">
      <c r="A37" s="16"/>
      <c r="B37" s="213" t="e">
        <f>VLOOKUP(A37,'1. Déclaration'!$C$72:$W$161,21,FALSE)</f>
        <v>#N/A</v>
      </c>
      <c r="C37" s="211"/>
      <c r="D37" s="217"/>
      <c r="E37" s="215"/>
      <c r="F37" s="217"/>
      <c r="G37" s="211"/>
      <c r="H37" s="217"/>
      <c r="I37" s="211"/>
      <c r="J37" s="217"/>
      <c r="K37" s="211"/>
      <c r="L37" s="217"/>
      <c r="M37" s="211"/>
      <c r="N37" s="217"/>
      <c r="O37" s="215"/>
      <c r="P37" s="217"/>
      <c r="Q37" s="215"/>
      <c r="R37" s="217"/>
      <c r="S37" s="113">
        <f t="shared" si="1"/>
        <v>0</v>
      </c>
      <c r="T37" s="13">
        <f>'0. Installation'!$B$5</f>
        <v>0</v>
      </c>
      <c r="U37" s="13">
        <f>'0. Installation'!$B$6</f>
        <v>0</v>
      </c>
      <c r="V37" s="39">
        <f>'0. Installation'!$B$7</f>
        <v>0</v>
      </c>
      <c r="W37" s="40">
        <f t="shared" si="2"/>
        <v>0</v>
      </c>
      <c r="X37" s="40">
        <f>IF(U37=0,0,
IF('0. Installation'!$B$2="Cogénération",
S37*V37/(V37+273.15)/(T37+V37/(V37+273.15)*U37),
S37/U37))</f>
        <v>0</v>
      </c>
      <c r="Y37" s="41">
        <f>'0. Installation'!$B$4</f>
        <v>0</v>
      </c>
      <c r="Z37" s="42">
        <f>IF('0. Installation'!$B$8="OUI",'Références GES'!$B$16,'Références GES'!$B$14)</f>
        <v>183</v>
      </c>
      <c r="AA37" s="43">
        <f t="shared" si="3"/>
        <v>0</v>
      </c>
      <c r="AB37" s="42">
        <f>'Références GES'!$B$15</f>
        <v>80</v>
      </c>
      <c r="AC37" s="43">
        <f t="shared" si="4"/>
        <v>0</v>
      </c>
      <c r="AD37" s="44"/>
      <c r="AE37" s="42">
        <f>'Références GES'!$B$14</f>
        <v>183</v>
      </c>
      <c r="AF37" s="43">
        <f t="shared" si="5"/>
        <v>0</v>
      </c>
      <c r="AG37" s="42">
        <f>'Références GES'!$B$15</f>
        <v>80</v>
      </c>
      <c r="AH37" s="43">
        <f t="shared" si="6"/>
        <v>0</v>
      </c>
      <c r="AI37" s="45" t="str">
        <f t="shared" si="7"/>
        <v>Elec. : non / Chaleur : non</v>
      </c>
      <c r="AJ37" s="46" t="str">
        <f t="shared" si="0"/>
        <v/>
      </c>
      <c r="AL37" s="117" t="e">
        <f t="shared" si="8"/>
        <v>#N/A</v>
      </c>
    </row>
    <row r="38" spans="1:38">
      <c r="A38" s="16"/>
      <c r="B38" s="213" t="e">
        <f>VLOOKUP(A38,'1. Déclaration'!$C$72:$W$161,21,FALSE)</f>
        <v>#N/A</v>
      </c>
      <c r="C38" s="211"/>
      <c r="D38" s="217"/>
      <c r="E38" s="215"/>
      <c r="F38" s="217"/>
      <c r="G38" s="211"/>
      <c r="H38" s="217"/>
      <c r="I38" s="211"/>
      <c r="J38" s="217"/>
      <c r="K38" s="211"/>
      <c r="L38" s="217"/>
      <c r="M38" s="211"/>
      <c r="N38" s="217"/>
      <c r="O38" s="215"/>
      <c r="P38" s="217"/>
      <c r="Q38" s="215"/>
      <c r="R38" s="217"/>
      <c r="S38" s="113">
        <f t="shared" si="1"/>
        <v>0</v>
      </c>
      <c r="T38" s="13">
        <f>'0. Installation'!$B$5</f>
        <v>0</v>
      </c>
      <c r="U38" s="13">
        <f>'0. Installation'!$B$6</f>
        <v>0</v>
      </c>
      <c r="V38" s="39">
        <f>'0. Installation'!$B$7</f>
        <v>0</v>
      </c>
      <c r="W38" s="40">
        <f t="shared" si="2"/>
        <v>0</v>
      </c>
      <c r="X38" s="40">
        <f>IF(U38=0,0,
IF('0. Installation'!$B$2="Cogénération",
S38*V38/(V38+273.15)/(T38+V38/(V38+273.15)*U38),
S38/U38))</f>
        <v>0</v>
      </c>
      <c r="Y38" s="41">
        <f>'0. Installation'!$B$4</f>
        <v>0</v>
      </c>
      <c r="Z38" s="42">
        <f>IF('0. Installation'!$B$8="OUI",'Références GES'!$B$16,'Références GES'!$B$14)</f>
        <v>183</v>
      </c>
      <c r="AA38" s="43">
        <f t="shared" si="3"/>
        <v>0</v>
      </c>
      <c r="AB38" s="42">
        <f>'Références GES'!$B$15</f>
        <v>80</v>
      </c>
      <c r="AC38" s="43">
        <f t="shared" si="4"/>
        <v>0</v>
      </c>
      <c r="AD38" s="44"/>
      <c r="AE38" s="42">
        <f>'Références GES'!$B$14</f>
        <v>183</v>
      </c>
      <c r="AF38" s="43">
        <f t="shared" si="5"/>
        <v>0</v>
      </c>
      <c r="AG38" s="42">
        <f>'Références GES'!$B$15</f>
        <v>80</v>
      </c>
      <c r="AH38" s="43">
        <f t="shared" si="6"/>
        <v>0</v>
      </c>
      <c r="AI38" s="45" t="str">
        <f t="shared" si="7"/>
        <v>Elec. : non / Chaleur : non</v>
      </c>
      <c r="AJ38" s="46" t="str">
        <f t="shared" si="0"/>
        <v/>
      </c>
      <c r="AL38" s="117" t="e">
        <f t="shared" si="8"/>
        <v>#N/A</v>
      </c>
    </row>
    <row r="39" spans="1:38">
      <c r="A39" s="16"/>
      <c r="B39" s="213" t="e">
        <f>VLOOKUP(A39,'1. Déclaration'!$C$72:$W$161,21,FALSE)</f>
        <v>#N/A</v>
      </c>
      <c r="C39" s="211"/>
      <c r="D39" s="217"/>
      <c r="E39" s="215"/>
      <c r="F39" s="217"/>
      <c r="G39" s="211"/>
      <c r="H39" s="217"/>
      <c r="I39" s="211"/>
      <c r="J39" s="217"/>
      <c r="K39" s="211"/>
      <c r="L39" s="217"/>
      <c r="M39" s="211"/>
      <c r="N39" s="217"/>
      <c r="O39" s="215"/>
      <c r="P39" s="217"/>
      <c r="Q39" s="215"/>
      <c r="R39" s="217"/>
      <c r="S39" s="113">
        <f t="shared" si="1"/>
        <v>0</v>
      </c>
      <c r="T39" s="13">
        <f>'0. Installation'!$B$5</f>
        <v>0</v>
      </c>
      <c r="U39" s="13">
        <f>'0. Installation'!$B$6</f>
        <v>0</v>
      </c>
      <c r="V39" s="39">
        <f>'0. Installation'!$B$7</f>
        <v>0</v>
      </c>
      <c r="W39" s="40">
        <f t="shared" si="2"/>
        <v>0</v>
      </c>
      <c r="X39" s="40">
        <f>IF(U39=0,0,
IF('0. Installation'!$B$2="Cogénération",
S39*V39/(V39+273.15)/(T39+V39/(V39+273.15)*U39),
S39/U39))</f>
        <v>0</v>
      </c>
      <c r="Y39" s="41">
        <f>'0. Installation'!$B$4</f>
        <v>0</v>
      </c>
      <c r="Z39" s="42">
        <f>IF('0. Installation'!$B$8="OUI",'Références GES'!$B$16,'Références GES'!$B$14)</f>
        <v>183</v>
      </c>
      <c r="AA39" s="43">
        <f t="shared" si="3"/>
        <v>0</v>
      </c>
      <c r="AB39" s="42">
        <f>'Références GES'!$B$15</f>
        <v>80</v>
      </c>
      <c r="AC39" s="43">
        <f t="shared" si="4"/>
        <v>0</v>
      </c>
      <c r="AD39" s="44"/>
      <c r="AE39" s="42">
        <f>'Références GES'!$B$14</f>
        <v>183</v>
      </c>
      <c r="AF39" s="43">
        <f t="shared" si="5"/>
        <v>0</v>
      </c>
      <c r="AG39" s="42">
        <f>'Références GES'!$B$15</f>
        <v>80</v>
      </c>
      <c r="AH39" s="43">
        <f t="shared" si="6"/>
        <v>0</v>
      </c>
      <c r="AI39" s="45" t="str">
        <f t="shared" si="7"/>
        <v>Elec. : non / Chaleur : non</v>
      </c>
      <c r="AJ39" s="46" t="str">
        <f t="shared" si="0"/>
        <v/>
      </c>
      <c r="AL39" s="117" t="e">
        <f t="shared" si="8"/>
        <v>#N/A</v>
      </c>
    </row>
    <row r="40" spans="1:38">
      <c r="A40" s="16"/>
      <c r="B40" s="213" t="e">
        <f>VLOOKUP(A40,'1. Déclaration'!$C$72:$W$161,21,FALSE)</f>
        <v>#N/A</v>
      </c>
      <c r="C40" s="211"/>
      <c r="D40" s="217"/>
      <c r="E40" s="215"/>
      <c r="F40" s="217"/>
      <c r="G40" s="211"/>
      <c r="H40" s="217"/>
      <c r="I40" s="211"/>
      <c r="J40" s="217"/>
      <c r="K40" s="211"/>
      <c r="L40" s="217"/>
      <c r="M40" s="211"/>
      <c r="N40" s="217"/>
      <c r="O40" s="215"/>
      <c r="P40" s="217"/>
      <c r="Q40" s="215"/>
      <c r="R40" s="217"/>
      <c r="S40" s="113">
        <f t="shared" si="1"/>
        <v>0</v>
      </c>
      <c r="T40" s="13">
        <f>'0. Installation'!$B$5</f>
        <v>0</v>
      </c>
      <c r="U40" s="13">
        <f>'0. Installation'!$B$6</f>
        <v>0</v>
      </c>
      <c r="V40" s="39">
        <f>'0. Installation'!$B$7</f>
        <v>0</v>
      </c>
      <c r="W40" s="40">
        <f t="shared" si="2"/>
        <v>0</v>
      </c>
      <c r="X40" s="40">
        <f>IF(U40=0,0,
IF('0. Installation'!$B$2="Cogénération",
S40*V40/(V40+273.15)/(T40+V40/(V40+273.15)*U40),
S40/U40))</f>
        <v>0</v>
      </c>
      <c r="Y40" s="41">
        <f>'0. Installation'!$B$4</f>
        <v>0</v>
      </c>
      <c r="Z40" s="42">
        <f>IF('0. Installation'!$B$8="OUI",'Références GES'!$B$16,'Références GES'!$B$14)</f>
        <v>183</v>
      </c>
      <c r="AA40" s="43">
        <f t="shared" si="3"/>
        <v>0</v>
      </c>
      <c r="AB40" s="42">
        <f>'Références GES'!$B$15</f>
        <v>80</v>
      </c>
      <c r="AC40" s="43">
        <f t="shared" si="4"/>
        <v>0</v>
      </c>
      <c r="AD40" s="44"/>
      <c r="AE40" s="42">
        <f>'Références GES'!$B$14</f>
        <v>183</v>
      </c>
      <c r="AF40" s="43">
        <f t="shared" si="5"/>
        <v>0</v>
      </c>
      <c r="AG40" s="42">
        <f>'Références GES'!$B$15</f>
        <v>80</v>
      </c>
      <c r="AH40" s="43">
        <f t="shared" si="6"/>
        <v>0</v>
      </c>
      <c r="AI40" s="45" t="str">
        <f t="shared" si="7"/>
        <v>Elec. : non / Chaleur : non</v>
      </c>
      <c r="AJ40" s="46" t="str">
        <f t="shared" si="0"/>
        <v/>
      </c>
      <c r="AL40" s="117" t="e">
        <f t="shared" si="8"/>
        <v>#N/A</v>
      </c>
    </row>
    <row r="41" spans="1:38">
      <c r="A41" s="16"/>
      <c r="B41" s="213" t="e">
        <f>VLOOKUP(A41,'1. Déclaration'!$C$72:$W$161,21,FALSE)</f>
        <v>#N/A</v>
      </c>
      <c r="C41" s="211"/>
      <c r="D41" s="217"/>
      <c r="E41" s="215"/>
      <c r="F41" s="217"/>
      <c r="G41" s="211"/>
      <c r="H41" s="217"/>
      <c r="I41" s="211"/>
      <c r="J41" s="217"/>
      <c r="K41" s="211"/>
      <c r="L41" s="217"/>
      <c r="M41" s="211"/>
      <c r="N41" s="217"/>
      <c r="O41" s="215"/>
      <c r="P41" s="217"/>
      <c r="Q41" s="215"/>
      <c r="R41" s="217"/>
      <c r="S41" s="113">
        <f t="shared" si="1"/>
        <v>0</v>
      </c>
      <c r="T41" s="13">
        <f>'0. Installation'!$B$5</f>
        <v>0</v>
      </c>
      <c r="U41" s="13">
        <f>'0. Installation'!$B$6</f>
        <v>0</v>
      </c>
      <c r="V41" s="39">
        <f>'0. Installation'!$B$7</f>
        <v>0</v>
      </c>
      <c r="W41" s="40">
        <f t="shared" si="2"/>
        <v>0</v>
      </c>
      <c r="X41" s="40">
        <f>IF(U41=0,0,
IF('0. Installation'!$B$2="Cogénération",
S41*V41/(V41+273.15)/(T41+V41/(V41+273.15)*U41),
S41/U41))</f>
        <v>0</v>
      </c>
      <c r="Y41" s="41">
        <f>'0. Installation'!$B$4</f>
        <v>0</v>
      </c>
      <c r="Z41" s="42">
        <f>IF('0. Installation'!$B$8="OUI",'Références GES'!$B$16,'Références GES'!$B$14)</f>
        <v>183</v>
      </c>
      <c r="AA41" s="43">
        <f t="shared" si="3"/>
        <v>0</v>
      </c>
      <c r="AB41" s="42">
        <f>'Références GES'!$B$15</f>
        <v>80</v>
      </c>
      <c r="AC41" s="43">
        <f t="shared" si="4"/>
        <v>0</v>
      </c>
      <c r="AD41" s="44"/>
      <c r="AE41" s="42">
        <f>'Références GES'!$B$14</f>
        <v>183</v>
      </c>
      <c r="AF41" s="43">
        <f t="shared" si="5"/>
        <v>0</v>
      </c>
      <c r="AG41" s="42">
        <f>'Références GES'!$B$15</f>
        <v>80</v>
      </c>
      <c r="AH41" s="43">
        <f t="shared" si="6"/>
        <v>0</v>
      </c>
      <c r="AI41" s="45" t="str">
        <f t="shared" si="7"/>
        <v>Elec. : non / Chaleur : non</v>
      </c>
      <c r="AJ41" s="46" t="str">
        <f t="shared" si="0"/>
        <v/>
      </c>
      <c r="AL41" s="117" t="e">
        <f t="shared" si="8"/>
        <v>#N/A</v>
      </c>
    </row>
    <row r="42" spans="1:38">
      <c r="A42" s="16"/>
      <c r="B42" s="213" t="e">
        <f>VLOOKUP(A42,'1. Déclaration'!$C$72:$W$161,21,FALSE)</f>
        <v>#N/A</v>
      </c>
      <c r="C42" s="211"/>
      <c r="D42" s="217"/>
      <c r="E42" s="215"/>
      <c r="F42" s="217"/>
      <c r="G42" s="211"/>
      <c r="H42" s="217"/>
      <c r="I42" s="211"/>
      <c r="J42" s="217"/>
      <c r="K42" s="211"/>
      <c r="L42" s="217"/>
      <c r="M42" s="211"/>
      <c r="N42" s="217"/>
      <c r="O42" s="215"/>
      <c r="P42" s="217"/>
      <c r="Q42" s="215"/>
      <c r="R42" s="217"/>
      <c r="S42" s="113">
        <f t="shared" si="1"/>
        <v>0</v>
      </c>
      <c r="T42" s="13">
        <f>'0. Installation'!$B$5</f>
        <v>0</v>
      </c>
      <c r="U42" s="13">
        <f>'0. Installation'!$B$6</f>
        <v>0</v>
      </c>
      <c r="V42" s="39">
        <f>'0. Installation'!$B$7</f>
        <v>0</v>
      </c>
      <c r="W42" s="40">
        <f t="shared" si="2"/>
        <v>0</v>
      </c>
      <c r="X42" s="40">
        <f>IF(U42=0,0,
IF('0. Installation'!$B$2="Cogénération",
S42*V42/(V42+273.15)/(T42+V42/(V42+273.15)*U42),
S42/U42))</f>
        <v>0</v>
      </c>
      <c r="Y42" s="41">
        <f>'0. Installation'!$B$4</f>
        <v>0</v>
      </c>
      <c r="Z42" s="42">
        <f>IF('0. Installation'!$B$8="OUI",'Références GES'!$B$16,'Références GES'!$B$14)</f>
        <v>183</v>
      </c>
      <c r="AA42" s="43">
        <f t="shared" si="3"/>
        <v>0</v>
      </c>
      <c r="AB42" s="42">
        <f>'Références GES'!$B$15</f>
        <v>80</v>
      </c>
      <c r="AC42" s="43">
        <f t="shared" si="4"/>
        <v>0</v>
      </c>
      <c r="AD42" s="44"/>
      <c r="AE42" s="42">
        <f>'Références GES'!$B$14</f>
        <v>183</v>
      </c>
      <c r="AF42" s="43">
        <f t="shared" si="5"/>
        <v>0</v>
      </c>
      <c r="AG42" s="42">
        <f>'Références GES'!$B$15</f>
        <v>80</v>
      </c>
      <c r="AH42" s="43">
        <f t="shared" si="6"/>
        <v>0</v>
      </c>
      <c r="AI42" s="45" t="str">
        <f t="shared" si="7"/>
        <v>Elec. : non / Chaleur : non</v>
      </c>
      <c r="AJ42" s="46" t="str">
        <f t="shared" si="0"/>
        <v/>
      </c>
      <c r="AL42" s="117" t="e">
        <f t="shared" si="8"/>
        <v>#N/A</v>
      </c>
    </row>
    <row r="43" spans="1:38">
      <c r="A43" s="16"/>
      <c r="B43" s="213" t="e">
        <f>VLOOKUP(A43,'1. Déclaration'!$C$72:$W$161,21,FALSE)</f>
        <v>#N/A</v>
      </c>
      <c r="C43" s="211"/>
      <c r="D43" s="217"/>
      <c r="E43" s="215"/>
      <c r="F43" s="217"/>
      <c r="G43" s="211"/>
      <c r="H43" s="217"/>
      <c r="I43" s="211"/>
      <c r="J43" s="217"/>
      <c r="K43" s="211"/>
      <c r="L43" s="217"/>
      <c r="M43" s="211"/>
      <c r="N43" s="217"/>
      <c r="O43" s="215"/>
      <c r="P43" s="217"/>
      <c r="Q43" s="215"/>
      <c r="R43" s="217"/>
      <c r="S43" s="113">
        <f t="shared" si="1"/>
        <v>0</v>
      </c>
      <c r="T43" s="13">
        <f>'0. Installation'!$B$5</f>
        <v>0</v>
      </c>
      <c r="U43" s="13">
        <f>'0. Installation'!$B$6</f>
        <v>0</v>
      </c>
      <c r="V43" s="39">
        <f>'0. Installation'!$B$7</f>
        <v>0</v>
      </c>
      <c r="W43" s="40">
        <f t="shared" si="2"/>
        <v>0</v>
      </c>
      <c r="X43" s="40">
        <f>IF(U43=0,0,
IF('0. Installation'!$B$2="Cogénération",
S43*V43/(V43+273.15)/(T43+V43/(V43+273.15)*U43),
S43/U43))</f>
        <v>0</v>
      </c>
      <c r="Y43" s="41">
        <f>'0. Installation'!$B$4</f>
        <v>0</v>
      </c>
      <c r="Z43" s="42">
        <f>IF('0. Installation'!$B$8="OUI",'Références GES'!$B$16,'Références GES'!$B$14)</f>
        <v>183</v>
      </c>
      <c r="AA43" s="43">
        <f t="shared" si="3"/>
        <v>0</v>
      </c>
      <c r="AB43" s="42">
        <f>'Références GES'!$B$15</f>
        <v>80</v>
      </c>
      <c r="AC43" s="43">
        <f t="shared" si="4"/>
        <v>0</v>
      </c>
      <c r="AD43" s="44"/>
      <c r="AE43" s="42">
        <f>'Références GES'!$B$14</f>
        <v>183</v>
      </c>
      <c r="AF43" s="43">
        <f t="shared" si="5"/>
        <v>0</v>
      </c>
      <c r="AG43" s="42">
        <f>'Références GES'!$B$15</f>
        <v>80</v>
      </c>
      <c r="AH43" s="43">
        <f t="shared" si="6"/>
        <v>0</v>
      </c>
      <c r="AI43" s="45" t="str">
        <f t="shared" si="7"/>
        <v>Elec. : non / Chaleur : non</v>
      </c>
      <c r="AJ43" s="46" t="str">
        <f t="shared" si="0"/>
        <v/>
      </c>
      <c r="AL43" s="117" t="e">
        <f t="shared" si="8"/>
        <v>#N/A</v>
      </c>
    </row>
    <row r="44" spans="1:38">
      <c r="A44" s="16"/>
      <c r="B44" s="213" t="e">
        <f>VLOOKUP(A44,'1. Déclaration'!$C$72:$W$161,21,FALSE)</f>
        <v>#N/A</v>
      </c>
      <c r="C44" s="211"/>
      <c r="D44" s="217"/>
      <c r="E44" s="215"/>
      <c r="F44" s="217"/>
      <c r="G44" s="211"/>
      <c r="H44" s="217"/>
      <c r="I44" s="211"/>
      <c r="J44" s="217"/>
      <c r="K44" s="211"/>
      <c r="L44" s="217"/>
      <c r="M44" s="211"/>
      <c r="N44" s="217"/>
      <c r="O44" s="215"/>
      <c r="P44" s="217"/>
      <c r="Q44" s="215"/>
      <c r="R44" s="217"/>
      <c r="S44" s="113">
        <f t="shared" si="1"/>
        <v>0</v>
      </c>
      <c r="T44" s="13">
        <f>'0. Installation'!$B$5</f>
        <v>0</v>
      </c>
      <c r="U44" s="13">
        <f>'0. Installation'!$B$6</f>
        <v>0</v>
      </c>
      <c r="V44" s="39">
        <f>'0. Installation'!$B$7</f>
        <v>0</v>
      </c>
      <c r="W44" s="40">
        <f t="shared" si="2"/>
        <v>0</v>
      </c>
      <c r="X44" s="40">
        <f>IF(U44=0,0,
IF('0. Installation'!$B$2="Cogénération",
S44*V44/(V44+273.15)/(T44+V44/(V44+273.15)*U44),
S44/U44))</f>
        <v>0</v>
      </c>
      <c r="Y44" s="41">
        <f>'0. Installation'!$B$4</f>
        <v>0</v>
      </c>
      <c r="Z44" s="42">
        <f>IF('0. Installation'!$B$8="OUI",'Références GES'!$B$16,'Références GES'!$B$14)</f>
        <v>183</v>
      </c>
      <c r="AA44" s="43">
        <f t="shared" si="3"/>
        <v>0</v>
      </c>
      <c r="AB44" s="42">
        <f>'Références GES'!$B$15</f>
        <v>80</v>
      </c>
      <c r="AC44" s="43">
        <f t="shared" si="4"/>
        <v>0</v>
      </c>
      <c r="AD44" s="44"/>
      <c r="AE44" s="42">
        <f>'Références GES'!$B$14</f>
        <v>183</v>
      </c>
      <c r="AF44" s="43">
        <f t="shared" si="5"/>
        <v>0</v>
      </c>
      <c r="AG44" s="42">
        <f>'Références GES'!$B$15</f>
        <v>80</v>
      </c>
      <c r="AH44" s="43">
        <f t="shared" si="6"/>
        <v>0</v>
      </c>
      <c r="AI44" s="45" t="str">
        <f t="shared" si="7"/>
        <v>Elec. : non / Chaleur : non</v>
      </c>
      <c r="AJ44" s="46" t="str">
        <f t="shared" si="0"/>
        <v/>
      </c>
      <c r="AL44" s="117" t="e">
        <f t="shared" si="8"/>
        <v>#N/A</v>
      </c>
    </row>
    <row r="45" spans="1:38">
      <c r="A45" s="16"/>
      <c r="B45" s="213" t="e">
        <f>VLOOKUP(A45,'1. Déclaration'!$C$72:$W$161,21,FALSE)</f>
        <v>#N/A</v>
      </c>
      <c r="C45" s="211"/>
      <c r="D45" s="217"/>
      <c r="E45" s="215"/>
      <c r="F45" s="217"/>
      <c r="G45" s="211"/>
      <c r="H45" s="217"/>
      <c r="I45" s="211"/>
      <c r="J45" s="217"/>
      <c r="K45" s="211"/>
      <c r="L45" s="217"/>
      <c r="M45" s="211"/>
      <c r="N45" s="217"/>
      <c r="O45" s="215"/>
      <c r="P45" s="217"/>
      <c r="Q45" s="215"/>
      <c r="R45" s="217"/>
      <c r="S45" s="113">
        <f t="shared" si="1"/>
        <v>0</v>
      </c>
      <c r="T45" s="13">
        <f>'0. Installation'!$B$5</f>
        <v>0</v>
      </c>
      <c r="U45" s="13">
        <f>'0. Installation'!$B$6</f>
        <v>0</v>
      </c>
      <c r="V45" s="39">
        <f>'0. Installation'!$B$7</f>
        <v>0</v>
      </c>
      <c r="W45" s="40">
        <f t="shared" si="2"/>
        <v>0</v>
      </c>
      <c r="X45" s="40">
        <f>IF(U45=0,0,
IF('0. Installation'!$B$2="Cogénération",
S45*V45/(V45+273.15)/(T45+V45/(V45+273.15)*U45),
S45/U45))</f>
        <v>0</v>
      </c>
      <c r="Y45" s="41">
        <f>'0. Installation'!$B$4</f>
        <v>0</v>
      </c>
      <c r="Z45" s="42">
        <f>IF('0. Installation'!$B$8="OUI",'Références GES'!$B$16,'Références GES'!$B$14)</f>
        <v>183</v>
      </c>
      <c r="AA45" s="43">
        <f t="shared" si="3"/>
        <v>0</v>
      </c>
      <c r="AB45" s="42">
        <f>'Références GES'!$B$15</f>
        <v>80</v>
      </c>
      <c r="AC45" s="43">
        <f t="shared" si="4"/>
        <v>0</v>
      </c>
      <c r="AD45" s="44"/>
      <c r="AE45" s="42">
        <f>'Références GES'!$B$14</f>
        <v>183</v>
      </c>
      <c r="AF45" s="43">
        <f t="shared" si="5"/>
        <v>0</v>
      </c>
      <c r="AG45" s="42">
        <f>'Références GES'!$B$15</f>
        <v>80</v>
      </c>
      <c r="AH45" s="43">
        <f t="shared" si="6"/>
        <v>0</v>
      </c>
      <c r="AI45" s="45" t="str">
        <f t="shared" si="7"/>
        <v>Elec. : non / Chaleur : non</v>
      </c>
      <c r="AJ45" s="46" t="str">
        <f t="shared" si="0"/>
        <v/>
      </c>
      <c r="AL45" s="117" t="e">
        <f t="shared" si="8"/>
        <v>#N/A</v>
      </c>
    </row>
    <row r="46" spans="1:38">
      <c r="A46" s="16"/>
      <c r="B46" s="213" t="e">
        <f>VLOOKUP(A46,'1. Déclaration'!$C$72:$W$161,21,FALSE)</f>
        <v>#N/A</v>
      </c>
      <c r="C46" s="211"/>
      <c r="D46" s="217"/>
      <c r="E46" s="215"/>
      <c r="F46" s="217"/>
      <c r="G46" s="211"/>
      <c r="H46" s="217"/>
      <c r="I46" s="211"/>
      <c r="J46" s="217"/>
      <c r="K46" s="211"/>
      <c r="L46" s="217"/>
      <c r="M46" s="211"/>
      <c r="N46" s="217"/>
      <c r="O46" s="215"/>
      <c r="P46" s="217"/>
      <c r="Q46" s="215"/>
      <c r="R46" s="217"/>
      <c r="S46" s="113">
        <f t="shared" si="1"/>
        <v>0</v>
      </c>
      <c r="T46" s="13">
        <f>'0. Installation'!$B$5</f>
        <v>0</v>
      </c>
      <c r="U46" s="13">
        <f>'0. Installation'!$B$6</f>
        <v>0</v>
      </c>
      <c r="V46" s="39">
        <f>'0. Installation'!$B$7</f>
        <v>0</v>
      </c>
      <c r="W46" s="40">
        <f t="shared" si="2"/>
        <v>0</v>
      </c>
      <c r="X46" s="40">
        <f>IF(U46=0,0,
IF('0. Installation'!$B$2="Cogénération",
S46*V46/(V46+273.15)/(T46+V46/(V46+273.15)*U46),
S46/U46))</f>
        <v>0</v>
      </c>
      <c r="Y46" s="41">
        <f>'0. Installation'!$B$4</f>
        <v>0</v>
      </c>
      <c r="Z46" s="42">
        <f>IF('0. Installation'!$B$8="OUI",'Références GES'!$B$16,'Références GES'!$B$14)</f>
        <v>183</v>
      </c>
      <c r="AA46" s="43">
        <f t="shared" si="3"/>
        <v>0</v>
      </c>
      <c r="AB46" s="42">
        <f>'Références GES'!$B$15</f>
        <v>80</v>
      </c>
      <c r="AC46" s="43">
        <f t="shared" si="4"/>
        <v>0</v>
      </c>
      <c r="AD46" s="44"/>
      <c r="AE46" s="42">
        <f>'Références GES'!$B$14</f>
        <v>183</v>
      </c>
      <c r="AF46" s="43">
        <f t="shared" si="5"/>
        <v>0</v>
      </c>
      <c r="AG46" s="42">
        <f>'Références GES'!$B$15</f>
        <v>80</v>
      </c>
      <c r="AH46" s="43">
        <f t="shared" si="6"/>
        <v>0</v>
      </c>
      <c r="AI46" s="45" t="str">
        <f t="shared" si="7"/>
        <v>Elec. : non / Chaleur : non</v>
      </c>
      <c r="AJ46" s="46" t="str">
        <f t="shared" si="0"/>
        <v/>
      </c>
      <c r="AL46" s="117" t="e">
        <f t="shared" si="8"/>
        <v>#N/A</v>
      </c>
    </row>
    <row r="47" spans="1:38">
      <c r="A47" s="16"/>
      <c r="B47" s="213" t="e">
        <f>VLOOKUP(A47,'1. Déclaration'!$C$72:$W$161,21,FALSE)</f>
        <v>#N/A</v>
      </c>
      <c r="C47" s="211"/>
      <c r="D47" s="217"/>
      <c r="E47" s="215"/>
      <c r="F47" s="217"/>
      <c r="G47" s="211"/>
      <c r="H47" s="217"/>
      <c r="I47" s="211"/>
      <c r="J47" s="217"/>
      <c r="K47" s="211"/>
      <c r="L47" s="217"/>
      <c r="M47" s="211"/>
      <c r="N47" s="217"/>
      <c r="O47" s="215"/>
      <c r="P47" s="217"/>
      <c r="Q47" s="215"/>
      <c r="R47" s="217"/>
      <c r="S47" s="113">
        <f t="shared" si="1"/>
        <v>0</v>
      </c>
      <c r="T47" s="13">
        <f>'0. Installation'!$B$5</f>
        <v>0</v>
      </c>
      <c r="U47" s="13">
        <f>'0. Installation'!$B$6</f>
        <v>0</v>
      </c>
      <c r="V47" s="39">
        <f>'0. Installation'!$B$7</f>
        <v>0</v>
      </c>
      <c r="W47" s="40">
        <f t="shared" si="2"/>
        <v>0</v>
      </c>
      <c r="X47" s="40">
        <f>IF(U47=0,0,
IF('0. Installation'!$B$2="Cogénération",
S47*V47/(V47+273.15)/(T47+V47/(V47+273.15)*U47),
S47/U47))</f>
        <v>0</v>
      </c>
      <c r="Y47" s="41">
        <f>'0. Installation'!$B$4</f>
        <v>0</v>
      </c>
      <c r="Z47" s="42">
        <f>IF('0. Installation'!$B$8="OUI",'Références GES'!$B$16,'Références GES'!$B$14)</f>
        <v>183</v>
      </c>
      <c r="AA47" s="43">
        <f t="shared" si="3"/>
        <v>0</v>
      </c>
      <c r="AB47" s="42">
        <f>'Références GES'!$B$15</f>
        <v>80</v>
      </c>
      <c r="AC47" s="43">
        <f t="shared" si="4"/>
        <v>0</v>
      </c>
      <c r="AD47" s="44"/>
      <c r="AE47" s="42">
        <f>'Références GES'!$B$14</f>
        <v>183</v>
      </c>
      <c r="AF47" s="43">
        <f t="shared" si="5"/>
        <v>0</v>
      </c>
      <c r="AG47" s="42">
        <f>'Références GES'!$B$15</f>
        <v>80</v>
      </c>
      <c r="AH47" s="43">
        <f t="shared" si="6"/>
        <v>0</v>
      </c>
      <c r="AI47" s="45" t="str">
        <f t="shared" si="7"/>
        <v>Elec. : non / Chaleur : non</v>
      </c>
      <c r="AJ47" s="46" t="str">
        <f t="shared" si="0"/>
        <v/>
      </c>
      <c r="AL47" s="117" t="e">
        <f t="shared" si="8"/>
        <v>#N/A</v>
      </c>
    </row>
    <row r="48" spans="1:38">
      <c r="A48" s="16"/>
      <c r="B48" s="213" t="e">
        <f>VLOOKUP(A48,'1. Déclaration'!$C$72:$W$161,21,FALSE)</f>
        <v>#N/A</v>
      </c>
      <c r="C48" s="211"/>
      <c r="D48" s="217"/>
      <c r="E48" s="215"/>
      <c r="F48" s="217"/>
      <c r="G48" s="211"/>
      <c r="H48" s="217"/>
      <c r="I48" s="211"/>
      <c r="J48" s="217"/>
      <c r="K48" s="211"/>
      <c r="L48" s="217"/>
      <c r="M48" s="211"/>
      <c r="N48" s="217"/>
      <c r="O48" s="215"/>
      <c r="P48" s="217"/>
      <c r="Q48" s="215"/>
      <c r="R48" s="217"/>
      <c r="S48" s="113">
        <f t="shared" si="1"/>
        <v>0</v>
      </c>
      <c r="T48" s="13">
        <f>'0. Installation'!$B$5</f>
        <v>0</v>
      </c>
      <c r="U48" s="13">
        <f>'0. Installation'!$B$6</f>
        <v>0</v>
      </c>
      <c r="V48" s="39">
        <f>'0. Installation'!$B$7</f>
        <v>0</v>
      </c>
      <c r="W48" s="40">
        <f t="shared" si="2"/>
        <v>0</v>
      </c>
      <c r="X48" s="40">
        <f>IF(U48=0,0,
IF('0. Installation'!$B$2="Cogénération",
S48*V48/(V48+273.15)/(T48+V48/(V48+273.15)*U48),
S48/U48))</f>
        <v>0</v>
      </c>
      <c r="Y48" s="41">
        <f>'0. Installation'!$B$4</f>
        <v>0</v>
      </c>
      <c r="Z48" s="42">
        <f>IF('0. Installation'!$B$8="OUI",'Références GES'!$B$16,'Références GES'!$B$14)</f>
        <v>183</v>
      </c>
      <c r="AA48" s="43">
        <f t="shared" si="3"/>
        <v>0</v>
      </c>
      <c r="AB48" s="42">
        <f>'Références GES'!$B$15</f>
        <v>80</v>
      </c>
      <c r="AC48" s="43">
        <f t="shared" si="4"/>
        <v>0</v>
      </c>
      <c r="AD48" s="44"/>
      <c r="AE48" s="42">
        <f>'Références GES'!$B$14</f>
        <v>183</v>
      </c>
      <c r="AF48" s="43">
        <f t="shared" si="5"/>
        <v>0</v>
      </c>
      <c r="AG48" s="42">
        <f>'Références GES'!$B$15</f>
        <v>80</v>
      </c>
      <c r="AH48" s="43">
        <f t="shared" si="6"/>
        <v>0</v>
      </c>
      <c r="AI48" s="45" t="str">
        <f t="shared" si="7"/>
        <v>Elec. : non / Chaleur : non</v>
      </c>
      <c r="AJ48" s="46" t="str">
        <f t="shared" si="0"/>
        <v/>
      </c>
      <c r="AL48" s="117" t="e">
        <f t="shared" si="8"/>
        <v>#N/A</v>
      </c>
    </row>
    <row r="49" spans="1:38">
      <c r="A49" s="16"/>
      <c r="B49" s="213" t="e">
        <f>VLOOKUP(A49,'1. Déclaration'!$C$72:$W$161,21,FALSE)</f>
        <v>#N/A</v>
      </c>
      <c r="C49" s="211"/>
      <c r="D49" s="217"/>
      <c r="E49" s="215"/>
      <c r="F49" s="217"/>
      <c r="G49" s="211"/>
      <c r="H49" s="217"/>
      <c r="I49" s="211"/>
      <c r="J49" s="217"/>
      <c r="K49" s="211"/>
      <c r="L49" s="217"/>
      <c r="M49" s="211"/>
      <c r="N49" s="217"/>
      <c r="O49" s="215"/>
      <c r="P49" s="217"/>
      <c r="Q49" s="215"/>
      <c r="R49" s="217"/>
      <c r="S49" s="113">
        <f t="shared" si="1"/>
        <v>0</v>
      </c>
      <c r="T49" s="13">
        <f>'0. Installation'!$B$5</f>
        <v>0</v>
      </c>
      <c r="U49" s="13">
        <f>'0. Installation'!$B$6</f>
        <v>0</v>
      </c>
      <c r="V49" s="39">
        <f>'0. Installation'!$B$7</f>
        <v>0</v>
      </c>
      <c r="W49" s="40">
        <f t="shared" si="2"/>
        <v>0</v>
      </c>
      <c r="X49" s="40">
        <f>IF(U49=0,0,
IF('0. Installation'!$B$2="Cogénération",
S49*V49/(V49+273.15)/(T49+V49/(V49+273.15)*U49),
S49/U49))</f>
        <v>0</v>
      </c>
      <c r="Y49" s="41">
        <f>'0. Installation'!$B$4</f>
        <v>0</v>
      </c>
      <c r="Z49" s="42">
        <f>IF('0. Installation'!$B$8="OUI",'Références GES'!$B$16,'Références GES'!$B$14)</f>
        <v>183</v>
      </c>
      <c r="AA49" s="43">
        <f t="shared" si="3"/>
        <v>0</v>
      </c>
      <c r="AB49" s="42">
        <f>'Références GES'!$B$15</f>
        <v>80</v>
      </c>
      <c r="AC49" s="43">
        <f t="shared" si="4"/>
        <v>0</v>
      </c>
      <c r="AD49" s="44"/>
      <c r="AE49" s="42">
        <f>'Références GES'!$B$14</f>
        <v>183</v>
      </c>
      <c r="AF49" s="43">
        <f t="shared" si="5"/>
        <v>0</v>
      </c>
      <c r="AG49" s="42">
        <f>'Références GES'!$B$15</f>
        <v>80</v>
      </c>
      <c r="AH49" s="43">
        <f t="shared" si="6"/>
        <v>0</v>
      </c>
      <c r="AI49" s="45" t="str">
        <f t="shared" si="7"/>
        <v>Elec. : non / Chaleur : non</v>
      </c>
      <c r="AJ49" s="46" t="str">
        <f t="shared" si="0"/>
        <v/>
      </c>
      <c r="AL49" s="117" t="e">
        <f t="shared" si="8"/>
        <v>#N/A</v>
      </c>
    </row>
    <row r="50" spans="1:38">
      <c r="A50" s="16"/>
      <c r="B50" s="213" t="e">
        <f>VLOOKUP(A50,'1. Déclaration'!$C$72:$W$161,21,FALSE)</f>
        <v>#N/A</v>
      </c>
      <c r="C50" s="211"/>
      <c r="D50" s="217"/>
      <c r="E50" s="215"/>
      <c r="F50" s="217"/>
      <c r="G50" s="211"/>
      <c r="H50" s="217"/>
      <c r="I50" s="211"/>
      <c r="J50" s="217"/>
      <c r="K50" s="211"/>
      <c r="L50" s="217"/>
      <c r="M50" s="211"/>
      <c r="N50" s="217"/>
      <c r="O50" s="215"/>
      <c r="P50" s="217"/>
      <c r="Q50" s="215"/>
      <c r="R50" s="217"/>
      <c r="S50" s="113">
        <f t="shared" si="1"/>
        <v>0</v>
      </c>
      <c r="T50" s="13">
        <f>'0. Installation'!$B$5</f>
        <v>0</v>
      </c>
      <c r="U50" s="13">
        <f>'0. Installation'!$B$6</f>
        <v>0</v>
      </c>
      <c r="V50" s="39">
        <f>'0. Installation'!$B$7</f>
        <v>0</v>
      </c>
      <c r="W50" s="40">
        <f t="shared" si="2"/>
        <v>0</v>
      </c>
      <c r="X50" s="40">
        <f>IF(U50=0,0,
IF('0. Installation'!$B$2="Cogénération",
S50*V50/(V50+273.15)/(T50+V50/(V50+273.15)*U50),
S50/U50))</f>
        <v>0</v>
      </c>
      <c r="Y50" s="41">
        <f>'0. Installation'!$B$4</f>
        <v>0</v>
      </c>
      <c r="Z50" s="42">
        <f>IF('0. Installation'!$B$8="OUI",'Références GES'!$B$16,'Références GES'!$B$14)</f>
        <v>183</v>
      </c>
      <c r="AA50" s="43">
        <f t="shared" si="3"/>
        <v>0</v>
      </c>
      <c r="AB50" s="42">
        <f>'Références GES'!$B$15</f>
        <v>80</v>
      </c>
      <c r="AC50" s="43">
        <f t="shared" si="4"/>
        <v>0</v>
      </c>
      <c r="AD50" s="44"/>
      <c r="AE50" s="42">
        <f>'Références GES'!$B$14</f>
        <v>183</v>
      </c>
      <c r="AF50" s="43">
        <f t="shared" si="5"/>
        <v>0</v>
      </c>
      <c r="AG50" s="42">
        <f>'Références GES'!$B$15</f>
        <v>80</v>
      </c>
      <c r="AH50" s="43">
        <f t="shared" si="6"/>
        <v>0</v>
      </c>
      <c r="AI50" s="45" t="str">
        <f t="shared" si="7"/>
        <v>Elec. : non / Chaleur : non</v>
      </c>
      <c r="AJ50" s="46" t="str">
        <f t="shared" si="0"/>
        <v/>
      </c>
      <c r="AL50" s="117" t="e">
        <f t="shared" si="8"/>
        <v>#N/A</v>
      </c>
    </row>
    <row r="51" spans="1:38">
      <c r="A51" s="16"/>
      <c r="B51" s="213" t="e">
        <f>VLOOKUP(A51,'1. Déclaration'!$C$72:$W$161,21,FALSE)</f>
        <v>#N/A</v>
      </c>
      <c r="C51" s="211"/>
      <c r="D51" s="217"/>
      <c r="E51" s="215"/>
      <c r="F51" s="217"/>
      <c r="G51" s="211"/>
      <c r="H51" s="217"/>
      <c r="I51" s="211"/>
      <c r="J51" s="217"/>
      <c r="K51" s="211"/>
      <c r="L51" s="217"/>
      <c r="M51" s="211"/>
      <c r="N51" s="217"/>
      <c r="O51" s="215"/>
      <c r="P51" s="217"/>
      <c r="Q51" s="215"/>
      <c r="R51" s="217"/>
      <c r="S51" s="113">
        <f t="shared" si="1"/>
        <v>0</v>
      </c>
      <c r="T51" s="13">
        <f>'0. Installation'!$B$5</f>
        <v>0</v>
      </c>
      <c r="U51" s="13">
        <f>'0. Installation'!$B$6</f>
        <v>0</v>
      </c>
      <c r="V51" s="39">
        <f>'0. Installation'!$B$7</f>
        <v>0</v>
      </c>
      <c r="W51" s="40">
        <f t="shared" si="2"/>
        <v>0</v>
      </c>
      <c r="X51" s="40">
        <f>IF(U51=0,0,
IF('0. Installation'!$B$2="Cogénération",
S51*V51/(V51+273.15)/(T51+V51/(V51+273.15)*U51),
S51/U51))</f>
        <v>0</v>
      </c>
      <c r="Y51" s="41">
        <f>'0. Installation'!$B$4</f>
        <v>0</v>
      </c>
      <c r="Z51" s="42">
        <f>IF('0. Installation'!$B$8="OUI",'Références GES'!$B$16,'Références GES'!$B$14)</f>
        <v>183</v>
      </c>
      <c r="AA51" s="43">
        <f t="shared" si="3"/>
        <v>0</v>
      </c>
      <c r="AB51" s="42">
        <f>'Références GES'!$B$15</f>
        <v>80</v>
      </c>
      <c r="AC51" s="43">
        <f t="shared" si="4"/>
        <v>0</v>
      </c>
      <c r="AD51" s="44"/>
      <c r="AE51" s="42">
        <f>'Références GES'!$B$14</f>
        <v>183</v>
      </c>
      <c r="AF51" s="43">
        <f t="shared" si="5"/>
        <v>0</v>
      </c>
      <c r="AG51" s="42">
        <f>'Références GES'!$B$15</f>
        <v>80</v>
      </c>
      <c r="AH51" s="43">
        <f t="shared" si="6"/>
        <v>0</v>
      </c>
      <c r="AI51" s="45" t="str">
        <f t="shared" si="7"/>
        <v>Elec. : non / Chaleur : non</v>
      </c>
      <c r="AJ51" s="46" t="str">
        <f t="shared" si="0"/>
        <v/>
      </c>
      <c r="AL51" s="117" t="e">
        <f t="shared" si="8"/>
        <v>#N/A</v>
      </c>
    </row>
    <row r="52" spans="1:38">
      <c r="A52" s="16"/>
      <c r="B52" s="213" t="e">
        <f>VLOOKUP(A52,'1. Déclaration'!$C$72:$W$161,21,FALSE)</f>
        <v>#N/A</v>
      </c>
      <c r="C52" s="211"/>
      <c r="D52" s="217"/>
      <c r="E52" s="215"/>
      <c r="F52" s="217"/>
      <c r="G52" s="211"/>
      <c r="H52" s="217"/>
      <c r="I52" s="211"/>
      <c r="J52" s="217"/>
      <c r="K52" s="211"/>
      <c r="L52" s="217"/>
      <c r="M52" s="211"/>
      <c r="N52" s="217"/>
      <c r="O52" s="215"/>
      <c r="P52" s="217"/>
      <c r="Q52" s="215"/>
      <c r="R52" s="217"/>
      <c r="S52" s="113">
        <f t="shared" si="1"/>
        <v>0</v>
      </c>
      <c r="T52" s="13">
        <f>'0. Installation'!$B$5</f>
        <v>0</v>
      </c>
      <c r="U52" s="13">
        <f>'0. Installation'!$B$6</f>
        <v>0</v>
      </c>
      <c r="V52" s="39">
        <f>'0. Installation'!$B$7</f>
        <v>0</v>
      </c>
      <c r="W52" s="40">
        <f t="shared" si="2"/>
        <v>0</v>
      </c>
      <c r="X52" s="40">
        <f>IF(U52=0,0,
IF('0. Installation'!$B$2="Cogénération",
S52*V52/(V52+273.15)/(T52+V52/(V52+273.15)*U52),
S52/U52))</f>
        <v>0</v>
      </c>
      <c r="Y52" s="41">
        <f>'0. Installation'!$B$4</f>
        <v>0</v>
      </c>
      <c r="Z52" s="42">
        <f>IF('0. Installation'!$B$8="OUI",'Références GES'!$B$16,'Références GES'!$B$14)</f>
        <v>183</v>
      </c>
      <c r="AA52" s="43">
        <f t="shared" si="3"/>
        <v>0</v>
      </c>
      <c r="AB52" s="42">
        <f>'Références GES'!$B$15</f>
        <v>80</v>
      </c>
      <c r="AC52" s="43">
        <f t="shared" si="4"/>
        <v>0</v>
      </c>
      <c r="AD52" s="44"/>
      <c r="AE52" s="42">
        <f>'Références GES'!$B$14</f>
        <v>183</v>
      </c>
      <c r="AF52" s="43">
        <f t="shared" si="5"/>
        <v>0</v>
      </c>
      <c r="AG52" s="42">
        <f>'Références GES'!$B$15</f>
        <v>80</v>
      </c>
      <c r="AH52" s="43">
        <f t="shared" si="6"/>
        <v>0</v>
      </c>
      <c r="AI52" s="45" t="str">
        <f t="shared" si="7"/>
        <v>Elec. : non / Chaleur : non</v>
      </c>
      <c r="AJ52" s="46" t="str">
        <f t="shared" si="0"/>
        <v/>
      </c>
      <c r="AL52" s="117" t="e">
        <f t="shared" si="8"/>
        <v>#N/A</v>
      </c>
    </row>
    <row r="53" spans="1:38">
      <c r="A53" s="16"/>
      <c r="B53" s="213" t="e">
        <f>VLOOKUP(A53,'1. Déclaration'!$C$72:$W$161,21,FALSE)</f>
        <v>#N/A</v>
      </c>
      <c r="C53" s="211"/>
      <c r="D53" s="217"/>
      <c r="E53" s="215"/>
      <c r="F53" s="217"/>
      <c r="G53" s="211"/>
      <c r="H53" s="217"/>
      <c r="I53" s="211"/>
      <c r="J53" s="217"/>
      <c r="K53" s="211"/>
      <c r="L53" s="217"/>
      <c r="M53" s="211"/>
      <c r="N53" s="217"/>
      <c r="O53" s="215"/>
      <c r="P53" s="217"/>
      <c r="Q53" s="215"/>
      <c r="R53" s="217"/>
      <c r="S53" s="113">
        <f t="shared" si="1"/>
        <v>0</v>
      </c>
      <c r="T53" s="13">
        <f>'0. Installation'!$B$5</f>
        <v>0</v>
      </c>
      <c r="U53" s="13">
        <f>'0. Installation'!$B$6</f>
        <v>0</v>
      </c>
      <c r="V53" s="39">
        <f>'0. Installation'!$B$7</f>
        <v>0</v>
      </c>
      <c r="W53" s="40">
        <f t="shared" si="2"/>
        <v>0</v>
      </c>
      <c r="X53" s="40">
        <f>IF(U53=0,0,
IF('0. Installation'!$B$2="Cogénération",
S53*V53/(V53+273.15)/(T53+V53/(V53+273.15)*U53),
S53/U53))</f>
        <v>0</v>
      </c>
      <c r="Y53" s="41">
        <f>'0. Installation'!$B$4</f>
        <v>0</v>
      </c>
      <c r="Z53" s="42">
        <f>IF('0. Installation'!$B$8="OUI",'Références GES'!$B$16,'Références GES'!$B$14)</f>
        <v>183</v>
      </c>
      <c r="AA53" s="43">
        <f t="shared" si="3"/>
        <v>0</v>
      </c>
      <c r="AB53" s="42">
        <f>'Références GES'!$B$15</f>
        <v>80</v>
      </c>
      <c r="AC53" s="43">
        <f t="shared" si="4"/>
        <v>0</v>
      </c>
      <c r="AD53" s="44"/>
      <c r="AE53" s="42">
        <f>'Références GES'!$B$14</f>
        <v>183</v>
      </c>
      <c r="AF53" s="43">
        <f t="shared" si="5"/>
        <v>0</v>
      </c>
      <c r="AG53" s="42">
        <f>'Références GES'!$B$15</f>
        <v>80</v>
      </c>
      <c r="AH53" s="43">
        <f t="shared" si="6"/>
        <v>0</v>
      </c>
      <c r="AI53" s="45" t="str">
        <f t="shared" si="7"/>
        <v>Elec. : non / Chaleur : non</v>
      </c>
      <c r="AJ53" s="46" t="str">
        <f t="shared" si="0"/>
        <v/>
      </c>
      <c r="AL53" s="117" t="e">
        <f t="shared" si="8"/>
        <v>#N/A</v>
      </c>
    </row>
    <row r="54" spans="1:38">
      <c r="A54" s="16"/>
      <c r="B54" s="213" t="e">
        <f>VLOOKUP(A54,'1. Déclaration'!$C$72:$W$161,21,FALSE)</f>
        <v>#N/A</v>
      </c>
      <c r="C54" s="211"/>
      <c r="D54" s="217"/>
      <c r="E54" s="215"/>
      <c r="F54" s="217"/>
      <c r="G54" s="211"/>
      <c r="H54" s="217"/>
      <c r="I54" s="211"/>
      <c r="J54" s="217"/>
      <c r="K54" s="211"/>
      <c r="L54" s="217"/>
      <c r="M54" s="211"/>
      <c r="N54" s="217"/>
      <c r="O54" s="215"/>
      <c r="P54" s="217"/>
      <c r="Q54" s="215"/>
      <c r="R54" s="217"/>
      <c r="S54" s="113">
        <f t="shared" si="1"/>
        <v>0</v>
      </c>
      <c r="T54" s="13">
        <f>'0. Installation'!$B$5</f>
        <v>0</v>
      </c>
      <c r="U54" s="13">
        <f>'0. Installation'!$B$6</f>
        <v>0</v>
      </c>
      <c r="V54" s="39">
        <f>'0. Installation'!$B$7</f>
        <v>0</v>
      </c>
      <c r="W54" s="40">
        <f t="shared" si="2"/>
        <v>0</v>
      </c>
      <c r="X54" s="40">
        <f>IF(U54=0,0,
IF('0. Installation'!$B$2="Cogénération",
S54*V54/(V54+273.15)/(T54+V54/(V54+273.15)*U54),
S54/U54))</f>
        <v>0</v>
      </c>
      <c r="Y54" s="41">
        <f>'0. Installation'!$B$4</f>
        <v>0</v>
      </c>
      <c r="Z54" s="42">
        <f>IF('0. Installation'!$B$8="OUI",'Références GES'!$B$16,'Références GES'!$B$14)</f>
        <v>183</v>
      </c>
      <c r="AA54" s="43">
        <f t="shared" si="3"/>
        <v>0</v>
      </c>
      <c r="AB54" s="42">
        <f>'Références GES'!$B$15</f>
        <v>80</v>
      </c>
      <c r="AC54" s="43">
        <f t="shared" si="4"/>
        <v>0</v>
      </c>
      <c r="AD54" s="44"/>
      <c r="AE54" s="42">
        <f>'Références GES'!$B$14</f>
        <v>183</v>
      </c>
      <c r="AF54" s="43">
        <f t="shared" si="5"/>
        <v>0</v>
      </c>
      <c r="AG54" s="42">
        <f>'Références GES'!$B$15</f>
        <v>80</v>
      </c>
      <c r="AH54" s="43">
        <f t="shared" si="6"/>
        <v>0</v>
      </c>
      <c r="AI54" s="45" t="str">
        <f t="shared" si="7"/>
        <v>Elec. : non / Chaleur : non</v>
      </c>
      <c r="AJ54" s="46" t="str">
        <f t="shared" si="0"/>
        <v/>
      </c>
      <c r="AL54" s="117" t="e">
        <f t="shared" si="8"/>
        <v>#N/A</v>
      </c>
    </row>
    <row r="55" spans="1:38">
      <c r="A55" s="16"/>
      <c r="B55" s="213" t="e">
        <f>VLOOKUP(A55,'1. Déclaration'!$C$72:$W$161,21,FALSE)</f>
        <v>#N/A</v>
      </c>
      <c r="C55" s="211"/>
      <c r="D55" s="217"/>
      <c r="E55" s="215"/>
      <c r="F55" s="217"/>
      <c r="G55" s="211"/>
      <c r="H55" s="217"/>
      <c r="I55" s="211"/>
      <c r="J55" s="217"/>
      <c r="K55" s="211"/>
      <c r="L55" s="217"/>
      <c r="M55" s="211"/>
      <c r="N55" s="217"/>
      <c r="O55" s="215"/>
      <c r="P55" s="217"/>
      <c r="Q55" s="215"/>
      <c r="R55" s="217"/>
      <c r="S55" s="113">
        <f t="shared" si="1"/>
        <v>0</v>
      </c>
      <c r="T55" s="13">
        <f>'0. Installation'!$B$5</f>
        <v>0</v>
      </c>
      <c r="U55" s="13">
        <f>'0. Installation'!$B$6</f>
        <v>0</v>
      </c>
      <c r="V55" s="39">
        <f>'0. Installation'!$B$7</f>
        <v>0</v>
      </c>
      <c r="W55" s="40">
        <f t="shared" si="2"/>
        <v>0</v>
      </c>
      <c r="X55" s="40">
        <f>IF(U55=0,0,
IF('0. Installation'!$B$2="Cogénération",
S55*V55/(V55+273.15)/(T55+V55/(V55+273.15)*U55),
S55/U55))</f>
        <v>0</v>
      </c>
      <c r="Y55" s="41">
        <f>'0. Installation'!$B$4</f>
        <v>0</v>
      </c>
      <c r="Z55" s="42">
        <f>IF('0. Installation'!$B$8="OUI",'Références GES'!$B$16,'Références GES'!$B$14)</f>
        <v>183</v>
      </c>
      <c r="AA55" s="43">
        <f t="shared" si="3"/>
        <v>0</v>
      </c>
      <c r="AB55" s="42">
        <f>'Références GES'!$B$15</f>
        <v>80</v>
      </c>
      <c r="AC55" s="43">
        <f t="shared" si="4"/>
        <v>0</v>
      </c>
      <c r="AD55" s="44"/>
      <c r="AE55" s="42">
        <f>'Références GES'!$B$14</f>
        <v>183</v>
      </c>
      <c r="AF55" s="43">
        <f t="shared" si="5"/>
        <v>0</v>
      </c>
      <c r="AG55" s="42">
        <f>'Références GES'!$B$15</f>
        <v>80</v>
      </c>
      <c r="AH55" s="43">
        <f t="shared" si="6"/>
        <v>0</v>
      </c>
      <c r="AI55" s="45" t="str">
        <f t="shared" si="7"/>
        <v>Elec. : non / Chaleur : non</v>
      </c>
      <c r="AJ55" s="46" t="str">
        <f t="shared" si="0"/>
        <v/>
      </c>
      <c r="AL55" s="117" t="e">
        <f t="shared" si="8"/>
        <v>#N/A</v>
      </c>
    </row>
    <row r="56" spans="1:38">
      <c r="A56" s="16"/>
      <c r="B56" s="213" t="e">
        <f>VLOOKUP(A56,'1. Déclaration'!$C$72:$W$161,21,FALSE)</f>
        <v>#N/A</v>
      </c>
      <c r="C56" s="211"/>
      <c r="D56" s="217"/>
      <c r="E56" s="215"/>
      <c r="F56" s="217"/>
      <c r="G56" s="211"/>
      <c r="H56" s="217"/>
      <c r="I56" s="211"/>
      <c r="J56" s="217"/>
      <c r="K56" s="211"/>
      <c r="L56" s="217"/>
      <c r="M56" s="211"/>
      <c r="N56" s="217"/>
      <c r="O56" s="215"/>
      <c r="P56" s="217"/>
      <c r="Q56" s="215"/>
      <c r="R56" s="217"/>
      <c r="S56" s="113">
        <f t="shared" si="1"/>
        <v>0</v>
      </c>
      <c r="T56" s="13">
        <f>'0. Installation'!$B$5</f>
        <v>0</v>
      </c>
      <c r="U56" s="13">
        <f>'0. Installation'!$B$6</f>
        <v>0</v>
      </c>
      <c r="V56" s="39">
        <f>'0. Installation'!$B$7</f>
        <v>0</v>
      </c>
      <c r="W56" s="40">
        <f t="shared" si="2"/>
        <v>0</v>
      </c>
      <c r="X56" s="40">
        <f>IF(U56=0,0,
IF('0. Installation'!$B$2="Cogénération",
S56*V56/(V56+273.15)/(T56+V56/(V56+273.15)*U56),
S56/U56))</f>
        <v>0</v>
      </c>
      <c r="Y56" s="41">
        <f>'0. Installation'!$B$4</f>
        <v>0</v>
      </c>
      <c r="Z56" s="42">
        <f>IF('0. Installation'!$B$8="OUI",'Références GES'!$B$16,'Références GES'!$B$14)</f>
        <v>183</v>
      </c>
      <c r="AA56" s="43">
        <f t="shared" si="3"/>
        <v>0</v>
      </c>
      <c r="AB56" s="42">
        <f>'Références GES'!$B$15</f>
        <v>80</v>
      </c>
      <c r="AC56" s="43">
        <f t="shared" si="4"/>
        <v>0</v>
      </c>
      <c r="AD56" s="44"/>
      <c r="AE56" s="42">
        <f>'Références GES'!$B$14</f>
        <v>183</v>
      </c>
      <c r="AF56" s="43">
        <f t="shared" si="5"/>
        <v>0</v>
      </c>
      <c r="AG56" s="42">
        <f>'Références GES'!$B$15</f>
        <v>80</v>
      </c>
      <c r="AH56" s="43">
        <f t="shared" si="6"/>
        <v>0</v>
      </c>
      <c r="AI56" s="45" t="str">
        <f t="shared" si="7"/>
        <v>Elec. : non / Chaleur : non</v>
      </c>
      <c r="AJ56" s="46" t="str">
        <f t="shared" si="0"/>
        <v/>
      </c>
      <c r="AL56" s="117" t="e">
        <f t="shared" si="8"/>
        <v>#N/A</v>
      </c>
    </row>
    <row r="57" spans="1:38">
      <c r="A57" s="16"/>
      <c r="B57" s="213" t="e">
        <f>VLOOKUP(A57,'1. Déclaration'!$C$72:$W$161,21,FALSE)</f>
        <v>#N/A</v>
      </c>
      <c r="C57" s="211"/>
      <c r="D57" s="217"/>
      <c r="E57" s="215"/>
      <c r="F57" s="217"/>
      <c r="G57" s="211"/>
      <c r="H57" s="217"/>
      <c r="I57" s="211"/>
      <c r="J57" s="217"/>
      <c r="K57" s="211"/>
      <c r="L57" s="217"/>
      <c r="M57" s="211"/>
      <c r="N57" s="217"/>
      <c r="O57" s="215"/>
      <c r="P57" s="217"/>
      <c r="Q57" s="215"/>
      <c r="R57" s="217"/>
      <c r="S57" s="113">
        <f t="shared" si="1"/>
        <v>0</v>
      </c>
      <c r="T57" s="13">
        <f>'0. Installation'!$B$5</f>
        <v>0</v>
      </c>
      <c r="U57" s="13">
        <f>'0. Installation'!$B$6</f>
        <v>0</v>
      </c>
      <c r="V57" s="39">
        <f>'0. Installation'!$B$7</f>
        <v>0</v>
      </c>
      <c r="W57" s="40">
        <f t="shared" si="2"/>
        <v>0</v>
      </c>
      <c r="X57" s="40">
        <f>IF(U57=0,0,
IF('0. Installation'!$B$2="Cogénération",
S57*V57/(V57+273.15)/(T57+V57/(V57+273.15)*U57),
S57/U57))</f>
        <v>0</v>
      </c>
      <c r="Y57" s="41">
        <f>'0. Installation'!$B$4</f>
        <v>0</v>
      </c>
      <c r="Z57" s="42">
        <f>IF('0. Installation'!$B$8="OUI",'Références GES'!$B$16,'Références GES'!$B$14)</f>
        <v>183</v>
      </c>
      <c r="AA57" s="43">
        <f t="shared" si="3"/>
        <v>0</v>
      </c>
      <c r="AB57" s="42">
        <f>'Références GES'!$B$15</f>
        <v>80</v>
      </c>
      <c r="AC57" s="43">
        <f t="shared" si="4"/>
        <v>0</v>
      </c>
      <c r="AD57" s="44"/>
      <c r="AE57" s="42">
        <f>'Références GES'!$B$14</f>
        <v>183</v>
      </c>
      <c r="AF57" s="43">
        <f t="shared" si="5"/>
        <v>0</v>
      </c>
      <c r="AG57" s="42">
        <f>'Références GES'!$B$15</f>
        <v>80</v>
      </c>
      <c r="AH57" s="43">
        <f t="shared" si="6"/>
        <v>0</v>
      </c>
      <c r="AI57" s="45" t="str">
        <f t="shared" si="7"/>
        <v>Elec. : non / Chaleur : non</v>
      </c>
      <c r="AJ57" s="46" t="str">
        <f t="shared" si="0"/>
        <v/>
      </c>
      <c r="AL57" s="117" t="e">
        <f t="shared" si="8"/>
        <v>#N/A</v>
      </c>
    </row>
    <row r="58" spans="1:38">
      <c r="A58" s="16"/>
      <c r="B58" s="213" t="e">
        <f>VLOOKUP(A58,'1. Déclaration'!$C$72:$W$161,21,FALSE)</f>
        <v>#N/A</v>
      </c>
      <c r="C58" s="211"/>
      <c r="D58" s="217"/>
      <c r="E58" s="215"/>
      <c r="F58" s="217"/>
      <c r="G58" s="211"/>
      <c r="H58" s="217"/>
      <c r="I58" s="211"/>
      <c r="J58" s="217"/>
      <c r="K58" s="211"/>
      <c r="L58" s="217"/>
      <c r="M58" s="211"/>
      <c r="N58" s="217"/>
      <c r="O58" s="215"/>
      <c r="P58" s="217"/>
      <c r="Q58" s="215"/>
      <c r="R58" s="217"/>
      <c r="S58" s="113">
        <f t="shared" si="1"/>
        <v>0</v>
      </c>
      <c r="T58" s="13">
        <f>'0. Installation'!$B$5</f>
        <v>0</v>
      </c>
      <c r="U58" s="13">
        <f>'0. Installation'!$B$6</f>
        <v>0</v>
      </c>
      <c r="V58" s="39">
        <f>'0. Installation'!$B$7</f>
        <v>0</v>
      </c>
      <c r="W58" s="40">
        <f t="shared" si="2"/>
        <v>0</v>
      </c>
      <c r="X58" s="40">
        <f>IF(U58=0,0,
IF('0. Installation'!$B$2="Cogénération",
S58*V58/(V58+273.15)/(T58+V58/(V58+273.15)*U58),
S58/U58))</f>
        <v>0</v>
      </c>
      <c r="Y58" s="41">
        <f>'0. Installation'!$B$4</f>
        <v>0</v>
      </c>
      <c r="Z58" s="42">
        <f>IF('0. Installation'!$B$8="OUI",'Références GES'!$B$16,'Références GES'!$B$14)</f>
        <v>183</v>
      </c>
      <c r="AA58" s="43">
        <f t="shared" si="3"/>
        <v>0</v>
      </c>
      <c r="AB58" s="42">
        <f>'Références GES'!$B$15</f>
        <v>80</v>
      </c>
      <c r="AC58" s="43">
        <f t="shared" si="4"/>
        <v>0</v>
      </c>
      <c r="AD58" s="44"/>
      <c r="AE58" s="42">
        <f>'Références GES'!$B$14</f>
        <v>183</v>
      </c>
      <c r="AF58" s="43">
        <f t="shared" si="5"/>
        <v>0</v>
      </c>
      <c r="AG58" s="42">
        <f>'Références GES'!$B$15</f>
        <v>80</v>
      </c>
      <c r="AH58" s="43">
        <f t="shared" si="6"/>
        <v>0</v>
      </c>
      <c r="AI58" s="45" t="str">
        <f t="shared" si="7"/>
        <v>Elec. : non / Chaleur : non</v>
      </c>
      <c r="AJ58" s="46" t="str">
        <f t="shared" si="0"/>
        <v/>
      </c>
      <c r="AL58" s="117" t="e">
        <f t="shared" si="8"/>
        <v>#N/A</v>
      </c>
    </row>
    <row r="59" spans="1:38">
      <c r="A59" s="16"/>
      <c r="B59" s="213" t="e">
        <f>VLOOKUP(A59,'1. Déclaration'!$C$72:$W$161,21,FALSE)</f>
        <v>#N/A</v>
      </c>
      <c r="C59" s="211"/>
      <c r="D59" s="217"/>
      <c r="E59" s="215"/>
      <c r="F59" s="217"/>
      <c r="G59" s="211"/>
      <c r="H59" s="217"/>
      <c r="I59" s="211"/>
      <c r="J59" s="217"/>
      <c r="K59" s="211"/>
      <c r="L59" s="217"/>
      <c r="M59" s="211"/>
      <c r="N59" s="217"/>
      <c r="O59" s="215"/>
      <c r="P59" s="217"/>
      <c r="Q59" s="215"/>
      <c r="R59" s="217"/>
      <c r="S59" s="113">
        <f t="shared" si="1"/>
        <v>0</v>
      </c>
      <c r="T59" s="13">
        <f>'0. Installation'!$B$5</f>
        <v>0</v>
      </c>
      <c r="U59" s="13">
        <f>'0. Installation'!$B$6</f>
        <v>0</v>
      </c>
      <c r="V59" s="39">
        <f>'0. Installation'!$B$7</f>
        <v>0</v>
      </c>
      <c r="W59" s="40">
        <f t="shared" si="2"/>
        <v>0</v>
      </c>
      <c r="X59" s="40">
        <f>IF(U59=0,0,
IF('0. Installation'!$B$2="Cogénération",
S59*V59/(V59+273.15)/(T59+V59/(V59+273.15)*U59),
S59/U59))</f>
        <v>0</v>
      </c>
      <c r="Y59" s="41">
        <f>'0. Installation'!$B$4</f>
        <v>0</v>
      </c>
      <c r="Z59" s="42">
        <f>IF('0. Installation'!$B$8="OUI",'Références GES'!$B$16,'Références GES'!$B$14)</f>
        <v>183</v>
      </c>
      <c r="AA59" s="43">
        <f t="shared" si="3"/>
        <v>0</v>
      </c>
      <c r="AB59" s="42">
        <f>'Références GES'!$B$15</f>
        <v>80</v>
      </c>
      <c r="AC59" s="43">
        <f t="shared" si="4"/>
        <v>0</v>
      </c>
      <c r="AD59" s="44"/>
      <c r="AE59" s="42">
        <f>'Références GES'!$B$14</f>
        <v>183</v>
      </c>
      <c r="AF59" s="43">
        <f t="shared" si="5"/>
        <v>0</v>
      </c>
      <c r="AG59" s="42">
        <f>'Références GES'!$B$15</f>
        <v>80</v>
      </c>
      <c r="AH59" s="43">
        <f t="shared" si="6"/>
        <v>0</v>
      </c>
      <c r="AI59" s="45" t="str">
        <f t="shared" si="7"/>
        <v>Elec. : non / Chaleur : non</v>
      </c>
      <c r="AJ59" s="46" t="str">
        <f t="shared" si="0"/>
        <v/>
      </c>
      <c r="AL59" s="117" t="e">
        <f t="shared" si="8"/>
        <v>#N/A</v>
      </c>
    </row>
    <row r="60" spans="1:38">
      <c r="A60" s="16"/>
      <c r="B60" s="213" t="e">
        <f>VLOOKUP(A60,'1. Déclaration'!$C$72:$W$161,21,FALSE)</f>
        <v>#N/A</v>
      </c>
      <c r="C60" s="211"/>
      <c r="D60" s="217"/>
      <c r="E60" s="215"/>
      <c r="F60" s="217"/>
      <c r="G60" s="211"/>
      <c r="H60" s="217"/>
      <c r="I60" s="211"/>
      <c r="J60" s="217"/>
      <c r="K60" s="211"/>
      <c r="L60" s="217"/>
      <c r="M60" s="211"/>
      <c r="N60" s="217"/>
      <c r="O60" s="215"/>
      <c r="P60" s="217"/>
      <c r="Q60" s="215"/>
      <c r="R60" s="217"/>
      <c r="S60" s="113">
        <f t="shared" si="1"/>
        <v>0</v>
      </c>
      <c r="T60" s="13">
        <f>'0. Installation'!$B$5</f>
        <v>0</v>
      </c>
      <c r="U60" s="13">
        <f>'0. Installation'!$B$6</f>
        <v>0</v>
      </c>
      <c r="V60" s="39">
        <f>'0. Installation'!$B$7</f>
        <v>0</v>
      </c>
      <c r="W60" s="40">
        <f t="shared" si="2"/>
        <v>0</v>
      </c>
      <c r="X60" s="40">
        <f>IF(U60=0,0,
IF('0. Installation'!$B$2="Cogénération",
S60*V60/(V60+273.15)/(T60+V60/(V60+273.15)*U60),
S60/U60))</f>
        <v>0</v>
      </c>
      <c r="Y60" s="41">
        <f>'0. Installation'!$B$4</f>
        <v>0</v>
      </c>
      <c r="Z60" s="42">
        <f>IF('0. Installation'!$B$8="OUI",'Références GES'!$B$16,'Références GES'!$B$14)</f>
        <v>183</v>
      </c>
      <c r="AA60" s="43">
        <f t="shared" si="3"/>
        <v>0</v>
      </c>
      <c r="AB60" s="42">
        <f>'Références GES'!$B$15</f>
        <v>80</v>
      </c>
      <c r="AC60" s="43">
        <f t="shared" si="4"/>
        <v>0</v>
      </c>
      <c r="AD60" s="44"/>
      <c r="AE60" s="42">
        <f>'Références GES'!$B$14</f>
        <v>183</v>
      </c>
      <c r="AF60" s="43">
        <f t="shared" si="5"/>
        <v>0</v>
      </c>
      <c r="AG60" s="42">
        <f>'Références GES'!$B$15</f>
        <v>80</v>
      </c>
      <c r="AH60" s="43">
        <f t="shared" si="6"/>
        <v>0</v>
      </c>
      <c r="AI60" s="45" t="str">
        <f t="shared" si="7"/>
        <v>Elec. : non / Chaleur : non</v>
      </c>
      <c r="AJ60" s="46" t="str">
        <f t="shared" si="0"/>
        <v/>
      </c>
      <c r="AL60" s="117" t="e">
        <f t="shared" si="8"/>
        <v>#N/A</v>
      </c>
    </row>
    <row r="61" spans="1:38">
      <c r="A61" s="16"/>
      <c r="B61" s="213" t="e">
        <f>VLOOKUP(A61,'1. Déclaration'!$C$72:$W$161,21,FALSE)</f>
        <v>#N/A</v>
      </c>
      <c r="C61" s="211"/>
      <c r="D61" s="217"/>
      <c r="E61" s="215"/>
      <c r="F61" s="217"/>
      <c r="G61" s="211"/>
      <c r="H61" s="217"/>
      <c r="I61" s="211"/>
      <c r="J61" s="217"/>
      <c r="K61" s="211"/>
      <c r="L61" s="217"/>
      <c r="M61" s="211"/>
      <c r="N61" s="217"/>
      <c r="O61" s="215"/>
      <c r="P61" s="217"/>
      <c r="Q61" s="215"/>
      <c r="R61" s="217"/>
      <c r="S61" s="113">
        <f t="shared" si="1"/>
        <v>0</v>
      </c>
      <c r="T61" s="13">
        <f>'0. Installation'!$B$5</f>
        <v>0</v>
      </c>
      <c r="U61" s="13">
        <f>'0. Installation'!$B$6</f>
        <v>0</v>
      </c>
      <c r="V61" s="39">
        <f>'0. Installation'!$B$7</f>
        <v>0</v>
      </c>
      <c r="W61" s="40">
        <f t="shared" si="2"/>
        <v>0</v>
      </c>
      <c r="X61" s="40">
        <f>IF(U61=0,0,
IF('0. Installation'!$B$2="Cogénération",
S61*V61/(V61+273.15)/(T61+V61/(V61+273.15)*U61),
S61/U61))</f>
        <v>0</v>
      </c>
      <c r="Y61" s="41">
        <f>'0. Installation'!$B$4</f>
        <v>0</v>
      </c>
      <c r="Z61" s="42">
        <f>IF('0. Installation'!$B$8="OUI",'Références GES'!$B$16,'Références GES'!$B$14)</f>
        <v>183</v>
      </c>
      <c r="AA61" s="43">
        <f t="shared" si="3"/>
        <v>0</v>
      </c>
      <c r="AB61" s="42">
        <f>'Références GES'!$B$15</f>
        <v>80</v>
      </c>
      <c r="AC61" s="43">
        <f t="shared" si="4"/>
        <v>0</v>
      </c>
      <c r="AD61" s="44"/>
      <c r="AE61" s="42">
        <f>'Références GES'!$B$14</f>
        <v>183</v>
      </c>
      <c r="AF61" s="43">
        <f t="shared" si="5"/>
        <v>0</v>
      </c>
      <c r="AG61" s="42">
        <f>'Références GES'!$B$15</f>
        <v>80</v>
      </c>
      <c r="AH61" s="43">
        <f t="shared" si="6"/>
        <v>0</v>
      </c>
      <c r="AI61" s="45" t="str">
        <f t="shared" si="7"/>
        <v>Elec. : non / Chaleur : non</v>
      </c>
      <c r="AJ61" s="46" t="str">
        <f t="shared" si="0"/>
        <v/>
      </c>
      <c r="AL61" s="117" t="e">
        <f t="shared" si="8"/>
        <v>#N/A</v>
      </c>
    </row>
    <row r="62" spans="1:38">
      <c r="A62" s="16"/>
      <c r="B62" s="213" t="e">
        <f>VLOOKUP(A62,'1. Déclaration'!$C$72:$W$161,21,FALSE)</f>
        <v>#N/A</v>
      </c>
      <c r="C62" s="211"/>
      <c r="D62" s="217"/>
      <c r="E62" s="215"/>
      <c r="F62" s="217"/>
      <c r="G62" s="211"/>
      <c r="H62" s="217"/>
      <c r="I62" s="211"/>
      <c r="J62" s="217"/>
      <c r="K62" s="211"/>
      <c r="L62" s="217"/>
      <c r="M62" s="211"/>
      <c r="N62" s="217"/>
      <c r="O62" s="215"/>
      <c r="P62" s="217"/>
      <c r="Q62" s="215"/>
      <c r="R62" s="217"/>
      <c r="S62" s="113">
        <f t="shared" si="1"/>
        <v>0</v>
      </c>
      <c r="T62" s="13">
        <f>'0. Installation'!$B$5</f>
        <v>0</v>
      </c>
      <c r="U62" s="13">
        <f>'0. Installation'!$B$6</f>
        <v>0</v>
      </c>
      <c r="V62" s="39">
        <f>'0. Installation'!$B$7</f>
        <v>0</v>
      </c>
      <c r="W62" s="40">
        <f t="shared" si="2"/>
        <v>0</v>
      </c>
      <c r="X62" s="40">
        <f>IF(U62=0,0,
IF('0. Installation'!$B$2="Cogénération",
S62*V62/(V62+273.15)/(T62+V62/(V62+273.15)*U62),
S62/U62))</f>
        <v>0</v>
      </c>
      <c r="Y62" s="41">
        <f>'0. Installation'!$B$4</f>
        <v>0</v>
      </c>
      <c r="Z62" s="42">
        <f>IF('0. Installation'!$B$8="OUI",'Références GES'!$B$16,'Références GES'!$B$14)</f>
        <v>183</v>
      </c>
      <c r="AA62" s="43">
        <f t="shared" si="3"/>
        <v>0</v>
      </c>
      <c r="AB62" s="42">
        <f>'Références GES'!$B$15</f>
        <v>80</v>
      </c>
      <c r="AC62" s="43">
        <f t="shared" si="4"/>
        <v>0</v>
      </c>
      <c r="AD62" s="44"/>
      <c r="AE62" s="42">
        <f>'Références GES'!$B$14</f>
        <v>183</v>
      </c>
      <c r="AF62" s="43">
        <f t="shared" si="5"/>
        <v>0</v>
      </c>
      <c r="AG62" s="42">
        <f>'Références GES'!$B$15</f>
        <v>80</v>
      </c>
      <c r="AH62" s="43">
        <f t="shared" si="6"/>
        <v>0</v>
      </c>
      <c r="AI62" s="45" t="str">
        <f t="shared" si="7"/>
        <v>Elec. : non / Chaleur : non</v>
      </c>
      <c r="AJ62" s="46" t="str">
        <f t="shared" si="0"/>
        <v/>
      </c>
      <c r="AL62" s="117" t="e">
        <f t="shared" si="8"/>
        <v>#N/A</v>
      </c>
    </row>
    <row r="63" spans="1:38">
      <c r="A63" s="16"/>
      <c r="B63" s="213" t="e">
        <f>VLOOKUP(A63,'1. Déclaration'!$C$72:$W$161,21,FALSE)</f>
        <v>#N/A</v>
      </c>
      <c r="C63" s="211"/>
      <c r="D63" s="217"/>
      <c r="E63" s="215"/>
      <c r="F63" s="217"/>
      <c r="G63" s="211"/>
      <c r="H63" s="217"/>
      <c r="I63" s="211"/>
      <c r="J63" s="217"/>
      <c r="K63" s="211"/>
      <c r="L63" s="217"/>
      <c r="M63" s="211"/>
      <c r="N63" s="217"/>
      <c r="O63" s="215"/>
      <c r="P63" s="217"/>
      <c r="Q63" s="215"/>
      <c r="R63" s="217"/>
      <c r="S63" s="113">
        <f t="shared" si="1"/>
        <v>0</v>
      </c>
      <c r="T63" s="13">
        <f>'0. Installation'!$B$5</f>
        <v>0</v>
      </c>
      <c r="U63" s="13">
        <f>'0. Installation'!$B$6</f>
        <v>0</v>
      </c>
      <c r="V63" s="39">
        <f>'0. Installation'!$B$7</f>
        <v>0</v>
      </c>
      <c r="W63" s="40">
        <f t="shared" si="2"/>
        <v>0</v>
      </c>
      <c r="X63" s="40">
        <f>IF(U63=0,0,
IF('0. Installation'!$B$2="Cogénération",
S63*V63/(V63+273.15)/(T63+V63/(V63+273.15)*U63),
S63/U63))</f>
        <v>0</v>
      </c>
      <c r="Y63" s="41">
        <f>'0. Installation'!$B$4</f>
        <v>0</v>
      </c>
      <c r="Z63" s="42">
        <f>IF('0. Installation'!$B$8="OUI",'Références GES'!$B$16,'Références GES'!$B$14)</f>
        <v>183</v>
      </c>
      <c r="AA63" s="43">
        <f t="shared" si="3"/>
        <v>0</v>
      </c>
      <c r="AB63" s="42">
        <f>'Références GES'!$B$15</f>
        <v>80</v>
      </c>
      <c r="AC63" s="43">
        <f t="shared" si="4"/>
        <v>0</v>
      </c>
      <c r="AD63" s="44"/>
      <c r="AE63" s="42">
        <f>'Références GES'!$B$14</f>
        <v>183</v>
      </c>
      <c r="AF63" s="43">
        <f t="shared" si="5"/>
        <v>0</v>
      </c>
      <c r="AG63" s="42">
        <f>'Références GES'!$B$15</f>
        <v>80</v>
      </c>
      <c r="AH63" s="43">
        <f t="shared" si="6"/>
        <v>0</v>
      </c>
      <c r="AI63" s="45" t="str">
        <f t="shared" si="7"/>
        <v>Elec. : non / Chaleur : non</v>
      </c>
      <c r="AJ63" s="46" t="str">
        <f t="shared" si="0"/>
        <v/>
      </c>
      <c r="AL63" s="117" t="e">
        <f t="shared" si="8"/>
        <v>#N/A</v>
      </c>
    </row>
    <row r="64" spans="1:38">
      <c r="A64" s="16"/>
      <c r="B64" s="213" t="e">
        <f>VLOOKUP(A64,'1. Déclaration'!$C$72:$W$161,21,FALSE)</f>
        <v>#N/A</v>
      </c>
      <c r="C64" s="211"/>
      <c r="D64" s="217"/>
      <c r="E64" s="215"/>
      <c r="F64" s="217"/>
      <c r="G64" s="211"/>
      <c r="H64" s="217"/>
      <c r="I64" s="211"/>
      <c r="J64" s="217"/>
      <c r="K64" s="211"/>
      <c r="L64" s="217"/>
      <c r="M64" s="211"/>
      <c r="N64" s="217"/>
      <c r="O64" s="215"/>
      <c r="P64" s="217"/>
      <c r="Q64" s="215"/>
      <c r="R64" s="217"/>
      <c r="S64" s="113">
        <f t="shared" si="1"/>
        <v>0</v>
      </c>
      <c r="T64" s="13">
        <f>'0. Installation'!$B$5</f>
        <v>0</v>
      </c>
      <c r="U64" s="13">
        <f>'0. Installation'!$B$6</f>
        <v>0</v>
      </c>
      <c r="V64" s="39">
        <f>'0. Installation'!$B$7</f>
        <v>0</v>
      </c>
      <c r="W64" s="40">
        <f t="shared" si="2"/>
        <v>0</v>
      </c>
      <c r="X64" s="40">
        <f>IF(U64=0,0,
IF('0. Installation'!$B$2="Cogénération",
S64*V64/(V64+273.15)/(T64+V64/(V64+273.15)*U64),
S64/U64))</f>
        <v>0</v>
      </c>
      <c r="Y64" s="41">
        <f>'0. Installation'!$B$4</f>
        <v>0</v>
      </c>
      <c r="Z64" s="42">
        <f>IF('0. Installation'!$B$8="OUI",'Références GES'!$B$16,'Références GES'!$B$14)</f>
        <v>183</v>
      </c>
      <c r="AA64" s="43">
        <f t="shared" si="3"/>
        <v>0</v>
      </c>
      <c r="AB64" s="42">
        <f>'Références GES'!$B$15</f>
        <v>80</v>
      </c>
      <c r="AC64" s="43">
        <f t="shared" si="4"/>
        <v>0</v>
      </c>
      <c r="AD64" s="44"/>
      <c r="AE64" s="42">
        <f>'Références GES'!$B$14</f>
        <v>183</v>
      </c>
      <c r="AF64" s="43">
        <f t="shared" si="5"/>
        <v>0</v>
      </c>
      <c r="AG64" s="42">
        <f>'Références GES'!$B$15</f>
        <v>80</v>
      </c>
      <c r="AH64" s="43">
        <f t="shared" si="6"/>
        <v>0</v>
      </c>
      <c r="AI64" s="45" t="str">
        <f t="shared" si="7"/>
        <v>Elec. : non / Chaleur : non</v>
      </c>
      <c r="AJ64" s="46" t="str">
        <f t="shared" si="0"/>
        <v/>
      </c>
      <c r="AL64" s="117" t="e">
        <f t="shared" si="8"/>
        <v>#N/A</v>
      </c>
    </row>
    <row r="65" spans="1:38">
      <c r="A65" s="16"/>
      <c r="B65" s="213" t="e">
        <f>VLOOKUP(A65,'1. Déclaration'!$C$72:$W$161,21,FALSE)</f>
        <v>#N/A</v>
      </c>
      <c r="C65" s="211"/>
      <c r="D65" s="217"/>
      <c r="E65" s="215"/>
      <c r="F65" s="217"/>
      <c r="G65" s="211"/>
      <c r="H65" s="217"/>
      <c r="I65" s="211"/>
      <c r="J65" s="217"/>
      <c r="K65" s="211"/>
      <c r="L65" s="217"/>
      <c r="M65" s="211"/>
      <c r="N65" s="217"/>
      <c r="O65" s="215"/>
      <c r="P65" s="217"/>
      <c r="Q65" s="215"/>
      <c r="R65" s="217"/>
      <c r="S65" s="113">
        <f t="shared" si="1"/>
        <v>0</v>
      </c>
      <c r="T65" s="13">
        <f>'0. Installation'!$B$5</f>
        <v>0</v>
      </c>
      <c r="U65" s="13">
        <f>'0. Installation'!$B$6</f>
        <v>0</v>
      </c>
      <c r="V65" s="39">
        <f>'0. Installation'!$B$7</f>
        <v>0</v>
      </c>
      <c r="W65" s="40">
        <f t="shared" si="2"/>
        <v>0</v>
      </c>
      <c r="X65" s="40">
        <f>IF(U65=0,0,
IF('0. Installation'!$B$2="Cogénération",
S65*V65/(V65+273.15)/(T65+V65/(V65+273.15)*U65),
S65/U65))</f>
        <v>0</v>
      </c>
      <c r="Y65" s="41">
        <f>'0. Installation'!$B$4</f>
        <v>0</v>
      </c>
      <c r="Z65" s="42">
        <f>IF('0. Installation'!$B$8="OUI",'Références GES'!$B$16,'Références GES'!$B$14)</f>
        <v>183</v>
      </c>
      <c r="AA65" s="43">
        <f t="shared" si="3"/>
        <v>0</v>
      </c>
      <c r="AB65" s="42">
        <f>'Références GES'!$B$15</f>
        <v>80</v>
      </c>
      <c r="AC65" s="43">
        <f t="shared" si="4"/>
        <v>0</v>
      </c>
      <c r="AD65" s="44"/>
      <c r="AE65" s="42">
        <f>'Références GES'!$B$14</f>
        <v>183</v>
      </c>
      <c r="AF65" s="43">
        <f t="shared" si="5"/>
        <v>0</v>
      </c>
      <c r="AG65" s="42">
        <f>'Références GES'!$B$15</f>
        <v>80</v>
      </c>
      <c r="AH65" s="43">
        <f t="shared" si="6"/>
        <v>0</v>
      </c>
      <c r="AI65" s="45" t="str">
        <f t="shared" si="7"/>
        <v>Elec. : non / Chaleur : non</v>
      </c>
      <c r="AJ65" s="46" t="str">
        <f t="shared" si="0"/>
        <v/>
      </c>
      <c r="AL65" s="117" t="e">
        <f t="shared" si="8"/>
        <v>#N/A</v>
      </c>
    </row>
    <row r="66" spans="1:38">
      <c r="A66" s="16"/>
      <c r="B66" s="213" t="e">
        <f>VLOOKUP(A66,'1. Déclaration'!$C$72:$W$161,21,FALSE)</f>
        <v>#N/A</v>
      </c>
      <c r="C66" s="211"/>
      <c r="D66" s="217"/>
      <c r="E66" s="215"/>
      <c r="F66" s="217"/>
      <c r="G66" s="211"/>
      <c r="H66" s="217"/>
      <c r="I66" s="211"/>
      <c r="J66" s="217"/>
      <c r="K66" s="211"/>
      <c r="L66" s="217"/>
      <c r="M66" s="211"/>
      <c r="N66" s="217"/>
      <c r="O66" s="215"/>
      <c r="P66" s="217"/>
      <c r="Q66" s="215"/>
      <c r="R66" s="217"/>
      <c r="S66" s="113">
        <f t="shared" si="1"/>
        <v>0</v>
      </c>
      <c r="T66" s="13">
        <f>'0. Installation'!$B$5</f>
        <v>0</v>
      </c>
      <c r="U66" s="13">
        <f>'0. Installation'!$B$6</f>
        <v>0</v>
      </c>
      <c r="V66" s="39">
        <f>'0. Installation'!$B$7</f>
        <v>0</v>
      </c>
      <c r="W66" s="40">
        <f t="shared" si="2"/>
        <v>0</v>
      </c>
      <c r="X66" s="40">
        <f>IF(U66=0,0,
IF('0. Installation'!$B$2="Cogénération",
S66*V66/(V66+273.15)/(T66+V66/(V66+273.15)*U66),
S66/U66))</f>
        <v>0</v>
      </c>
      <c r="Y66" s="41">
        <f>'0. Installation'!$B$4</f>
        <v>0</v>
      </c>
      <c r="Z66" s="42">
        <f>IF('0. Installation'!$B$8="OUI",'Références GES'!$B$16,'Références GES'!$B$14)</f>
        <v>183</v>
      </c>
      <c r="AA66" s="43">
        <f t="shared" si="3"/>
        <v>0</v>
      </c>
      <c r="AB66" s="42">
        <f>'Références GES'!$B$15</f>
        <v>80</v>
      </c>
      <c r="AC66" s="43">
        <f t="shared" si="4"/>
        <v>0</v>
      </c>
      <c r="AD66" s="44"/>
      <c r="AE66" s="42">
        <f>'Références GES'!$B$14</f>
        <v>183</v>
      </c>
      <c r="AF66" s="43">
        <f t="shared" si="5"/>
        <v>0</v>
      </c>
      <c r="AG66" s="42">
        <f>'Références GES'!$B$15</f>
        <v>80</v>
      </c>
      <c r="AH66" s="43">
        <f t="shared" si="6"/>
        <v>0</v>
      </c>
      <c r="AI66" s="45" t="str">
        <f t="shared" si="7"/>
        <v>Elec. : non / Chaleur : non</v>
      </c>
      <c r="AJ66" s="46" t="str">
        <f t="shared" si="0"/>
        <v/>
      </c>
      <c r="AL66" s="117" t="e">
        <f t="shared" si="8"/>
        <v>#N/A</v>
      </c>
    </row>
    <row r="67" spans="1:38">
      <c r="A67" s="16"/>
      <c r="B67" s="213" t="e">
        <f>VLOOKUP(A67,'1. Déclaration'!$C$72:$W$161,21,FALSE)</f>
        <v>#N/A</v>
      </c>
      <c r="C67" s="211"/>
      <c r="D67" s="217"/>
      <c r="E67" s="215"/>
      <c r="F67" s="217"/>
      <c r="G67" s="211"/>
      <c r="H67" s="217"/>
      <c r="I67" s="211"/>
      <c r="J67" s="217"/>
      <c r="K67" s="211"/>
      <c r="L67" s="217"/>
      <c r="M67" s="211"/>
      <c r="N67" s="217"/>
      <c r="O67" s="215"/>
      <c r="P67" s="217"/>
      <c r="Q67" s="215"/>
      <c r="R67" s="217"/>
      <c r="S67" s="113">
        <f t="shared" si="1"/>
        <v>0</v>
      </c>
      <c r="T67" s="13">
        <f>'0. Installation'!$B$5</f>
        <v>0</v>
      </c>
      <c r="U67" s="13">
        <f>'0. Installation'!$B$6</f>
        <v>0</v>
      </c>
      <c r="V67" s="39">
        <f>'0. Installation'!$B$7</f>
        <v>0</v>
      </c>
      <c r="W67" s="40">
        <f t="shared" si="2"/>
        <v>0</v>
      </c>
      <c r="X67" s="40">
        <f>IF(U67=0,0,
IF('0. Installation'!$B$2="Cogénération",
S67*V67/(V67+273.15)/(T67+V67/(V67+273.15)*U67),
S67/U67))</f>
        <v>0</v>
      </c>
      <c r="Y67" s="41">
        <f>'0. Installation'!$B$4</f>
        <v>0</v>
      </c>
      <c r="Z67" s="42">
        <f>IF('0. Installation'!$B$8="OUI",'Références GES'!$B$16,'Références GES'!$B$14)</f>
        <v>183</v>
      </c>
      <c r="AA67" s="43">
        <f t="shared" si="3"/>
        <v>0</v>
      </c>
      <c r="AB67" s="42">
        <f>'Références GES'!$B$15</f>
        <v>80</v>
      </c>
      <c r="AC67" s="43">
        <f t="shared" si="4"/>
        <v>0</v>
      </c>
      <c r="AD67" s="44"/>
      <c r="AE67" s="42">
        <f>'Références GES'!$B$14</f>
        <v>183</v>
      </c>
      <c r="AF67" s="43">
        <f t="shared" si="5"/>
        <v>0</v>
      </c>
      <c r="AG67" s="42">
        <f>'Références GES'!$B$15</f>
        <v>80</v>
      </c>
      <c r="AH67" s="43">
        <f t="shared" si="6"/>
        <v>0</v>
      </c>
      <c r="AI67" s="45" t="str">
        <f t="shared" si="7"/>
        <v>Elec. : non / Chaleur : non</v>
      </c>
      <c r="AJ67" s="46" t="str">
        <f t="shared" si="0"/>
        <v/>
      </c>
      <c r="AL67" s="117" t="e">
        <f t="shared" si="8"/>
        <v>#N/A</v>
      </c>
    </row>
    <row r="68" spans="1:38">
      <c r="A68" s="16"/>
      <c r="B68" s="213" t="e">
        <f>VLOOKUP(A68,'1. Déclaration'!$C$72:$W$161,21,FALSE)</f>
        <v>#N/A</v>
      </c>
      <c r="C68" s="211"/>
      <c r="D68" s="217"/>
      <c r="E68" s="215"/>
      <c r="F68" s="217"/>
      <c r="G68" s="211"/>
      <c r="H68" s="217"/>
      <c r="I68" s="211"/>
      <c r="J68" s="217"/>
      <c r="K68" s="211"/>
      <c r="L68" s="217"/>
      <c r="M68" s="211"/>
      <c r="N68" s="217"/>
      <c r="O68" s="215"/>
      <c r="P68" s="217"/>
      <c r="Q68" s="215"/>
      <c r="R68" s="217"/>
      <c r="S68" s="113">
        <f t="shared" si="1"/>
        <v>0</v>
      </c>
      <c r="T68" s="13">
        <f>'0. Installation'!$B$5</f>
        <v>0</v>
      </c>
      <c r="U68" s="13">
        <f>'0. Installation'!$B$6</f>
        <v>0</v>
      </c>
      <c r="V68" s="39">
        <f>'0. Installation'!$B$7</f>
        <v>0</v>
      </c>
      <c r="W68" s="40">
        <f t="shared" si="2"/>
        <v>0</v>
      </c>
      <c r="X68" s="40">
        <f>IF(U68=0,0,
IF('0. Installation'!$B$2="Cogénération",
S68*V68/(V68+273.15)/(T68+V68/(V68+273.15)*U68),
S68/U68))</f>
        <v>0</v>
      </c>
      <c r="Y68" s="41">
        <f>'0. Installation'!$B$4</f>
        <v>0</v>
      </c>
      <c r="Z68" s="42">
        <f>IF('0. Installation'!$B$8="OUI",'Références GES'!$B$16,'Références GES'!$B$14)</f>
        <v>183</v>
      </c>
      <c r="AA68" s="43">
        <f t="shared" si="3"/>
        <v>0</v>
      </c>
      <c r="AB68" s="42">
        <f>'Références GES'!$B$15</f>
        <v>80</v>
      </c>
      <c r="AC68" s="43">
        <f t="shared" si="4"/>
        <v>0</v>
      </c>
      <c r="AD68" s="44"/>
      <c r="AE68" s="42">
        <f>'Références GES'!$B$14</f>
        <v>183</v>
      </c>
      <c r="AF68" s="43">
        <f t="shared" si="5"/>
        <v>0</v>
      </c>
      <c r="AG68" s="42">
        <f>'Références GES'!$B$15</f>
        <v>80</v>
      </c>
      <c r="AH68" s="43">
        <f t="shared" si="6"/>
        <v>0</v>
      </c>
      <c r="AI68" s="45" t="str">
        <f t="shared" si="7"/>
        <v>Elec. : non / Chaleur : non</v>
      </c>
      <c r="AJ68" s="46" t="str">
        <f t="shared" ref="AJ68:AJ79" si="9">IF(AND(A68&lt;&gt;"",S68=0),"Aucun calcul GES n'a été renseigné pour ce lot : à compléter","")</f>
        <v/>
      </c>
      <c r="AL68" s="117" t="e">
        <f t="shared" si="8"/>
        <v>#N/A</v>
      </c>
    </row>
    <row r="69" spans="1:38">
      <c r="A69" s="16"/>
      <c r="B69" s="213" t="e">
        <f>VLOOKUP(A69,'1. Déclaration'!$C$72:$W$161,21,FALSE)</f>
        <v>#N/A</v>
      </c>
      <c r="C69" s="211"/>
      <c r="D69" s="217"/>
      <c r="E69" s="215"/>
      <c r="F69" s="217"/>
      <c r="G69" s="211"/>
      <c r="H69" s="217"/>
      <c r="I69" s="211"/>
      <c r="J69" s="217"/>
      <c r="K69" s="211"/>
      <c r="L69" s="217"/>
      <c r="M69" s="211"/>
      <c r="N69" s="217"/>
      <c r="O69" s="215"/>
      <c r="P69" s="217"/>
      <c r="Q69" s="215"/>
      <c r="R69" s="217"/>
      <c r="S69" s="113">
        <f t="shared" ref="S69:S79" si="10">SUM(C69:R69)</f>
        <v>0</v>
      </c>
      <c r="T69" s="13">
        <f>'0. Installation'!$B$5</f>
        <v>0</v>
      </c>
      <c r="U69" s="13">
        <f>'0. Installation'!$B$6</f>
        <v>0</v>
      </c>
      <c r="V69" s="39">
        <f>'0. Installation'!$B$7</f>
        <v>0</v>
      </c>
      <c r="W69" s="40">
        <f t="shared" ref="W69:W79" si="11">IF(T69=0,0,
S69/T69*T69/(T69+U69*V69/(V69+273.15)))</f>
        <v>0</v>
      </c>
      <c r="X69" s="40">
        <f>IF(U69=0,0,
IF('0. Installation'!$B$2="Cogénération",
S69*V69/(V69+273.15)/(T69+V69/(V69+273.15)*U69),
S69/U69))</f>
        <v>0</v>
      </c>
      <c r="Y69" s="41">
        <f>'0. Installation'!$B$4</f>
        <v>0</v>
      </c>
      <c r="Z69" s="42">
        <f>IF('0. Installation'!$B$8="OUI",'Références GES'!$B$16,'Références GES'!$B$14)</f>
        <v>183</v>
      </c>
      <c r="AA69" s="43">
        <f t="shared" ref="AA69:AA79" si="12">IF($W69=0,0,($Z69-$W69)/$Z69)</f>
        <v>0</v>
      </c>
      <c r="AB69" s="42">
        <f>'Références GES'!$B$15</f>
        <v>80</v>
      </c>
      <c r="AC69" s="43">
        <f t="shared" ref="AC69:AC79" si="13">IF($X69=0,0,($AB69-$X69)/$AB69)</f>
        <v>0</v>
      </c>
      <c r="AD69" s="44"/>
      <c r="AE69" s="42">
        <f>'Références GES'!$B$14</f>
        <v>183</v>
      </c>
      <c r="AF69" s="43">
        <f t="shared" ref="AF69:AF79" si="14">IF($W69=0,0,($AE69-$W69)/$AE69)</f>
        <v>0</v>
      </c>
      <c r="AG69" s="42">
        <f>'Références GES'!$B$15</f>
        <v>80</v>
      </c>
      <c r="AH69" s="43">
        <f t="shared" ref="AH69:AH79" si="15">IF($X69=0,0,($AG69-$X69)/$AG69)</f>
        <v>0</v>
      </c>
      <c r="AI69" s="45" t="str">
        <f t="shared" ref="AI69:AI79" si="16">IF(AD69="Avant le 6 octobre 2015",IF(AF69&gt;=0.5,"Elec. : oui","Elec. : non"),IF(AD69="Entre le 6 octobre 2015 et le 31 décembre 2020",IF(AF69&gt;=0.6,"Elec. : oui","Elec. : non"),IF(AF69&gt;=0.65,"Elec. : oui","Elec. : non")))
&amp;" / "&amp;
IF(AD69="Avant le 6 octobre 2015",IF(AH69&gt;=0.5,"Chaleur : oui","Chaleur : non"),IF(AD69="Entre le 6 octobre 2015 et le 31 décembre 2020",IF(AH69&gt;=0.6,"Chaleur : oui","Chaleur : non"),IF(AH69&gt;=0.65,"Chaleur : oui","Chaleur : non")))</f>
        <v>Elec. : non / Chaleur : non</v>
      </c>
      <c r="AJ69" s="46" t="str">
        <f t="shared" si="9"/>
        <v/>
      </c>
      <c r="AL69" s="117" t="e">
        <f t="shared" ref="AL69:AL79" si="17">IF(AND(
OR(B69="Plaquettes bocagères ou agroforestières : 1B_PFA",B69="Plaquettes bocagères / bois de verger : 1B_PFA (V)",B69="Plaquettes paysagères ligneuses résidelles : 1C_PFA",B69="Bois SSD sortis du statut de déchet 3A_BFVBD",B69="Déchets de bois non dangereux 2910-B ICPE 3B_BFVBD",B69="Déchets de bois non dangereux 2771 ICPE 3C_BFVBD",B69="Liqueur noire",B69="Boue papetière"),
SUM(C69,E69,G69,I69,K69,M69,O69,Q69)&gt;0),
1,0)</f>
        <v>#N/A</v>
      </c>
    </row>
    <row r="70" spans="1:38">
      <c r="A70" s="16"/>
      <c r="B70" s="213" t="e">
        <f>VLOOKUP(A70,'1. Déclaration'!$C$72:$W$161,21,FALSE)</f>
        <v>#N/A</v>
      </c>
      <c r="C70" s="211"/>
      <c r="D70" s="217"/>
      <c r="E70" s="215"/>
      <c r="F70" s="217"/>
      <c r="G70" s="211"/>
      <c r="H70" s="217"/>
      <c r="I70" s="211"/>
      <c r="J70" s="217"/>
      <c r="K70" s="211"/>
      <c r="L70" s="217"/>
      <c r="M70" s="211"/>
      <c r="N70" s="217"/>
      <c r="O70" s="215"/>
      <c r="P70" s="217"/>
      <c r="Q70" s="215"/>
      <c r="R70" s="217"/>
      <c r="S70" s="113">
        <f t="shared" si="10"/>
        <v>0</v>
      </c>
      <c r="T70" s="13">
        <f>'0. Installation'!$B$5</f>
        <v>0</v>
      </c>
      <c r="U70" s="13">
        <f>'0. Installation'!$B$6</f>
        <v>0</v>
      </c>
      <c r="V70" s="39">
        <f>'0. Installation'!$B$7</f>
        <v>0</v>
      </c>
      <c r="W70" s="40">
        <f t="shared" si="11"/>
        <v>0</v>
      </c>
      <c r="X70" s="40">
        <f>IF(U70=0,0,
IF('0. Installation'!$B$2="Cogénération",
S70*V70/(V70+273.15)/(T70+V70/(V70+273.15)*U70),
S70/U70))</f>
        <v>0</v>
      </c>
      <c r="Y70" s="41">
        <f>'0. Installation'!$B$4</f>
        <v>0</v>
      </c>
      <c r="Z70" s="42">
        <f>IF('0. Installation'!$B$8="OUI",'Références GES'!$B$16,'Références GES'!$B$14)</f>
        <v>183</v>
      </c>
      <c r="AA70" s="43">
        <f t="shared" si="12"/>
        <v>0</v>
      </c>
      <c r="AB70" s="42">
        <f>'Références GES'!$B$15</f>
        <v>80</v>
      </c>
      <c r="AC70" s="43">
        <f t="shared" si="13"/>
        <v>0</v>
      </c>
      <c r="AD70" s="44"/>
      <c r="AE70" s="42">
        <f>'Références GES'!$B$14</f>
        <v>183</v>
      </c>
      <c r="AF70" s="43">
        <f t="shared" si="14"/>
        <v>0</v>
      </c>
      <c r="AG70" s="42">
        <f>'Références GES'!$B$15</f>
        <v>80</v>
      </c>
      <c r="AH70" s="43">
        <f t="shared" si="15"/>
        <v>0</v>
      </c>
      <c r="AI70" s="45" t="str">
        <f t="shared" si="16"/>
        <v>Elec. : non / Chaleur : non</v>
      </c>
      <c r="AJ70" s="46" t="str">
        <f t="shared" si="9"/>
        <v/>
      </c>
      <c r="AL70" s="117" t="e">
        <f t="shared" si="17"/>
        <v>#N/A</v>
      </c>
    </row>
    <row r="71" spans="1:38">
      <c r="A71" s="16"/>
      <c r="B71" s="213" t="e">
        <f>VLOOKUP(A71,'1. Déclaration'!$C$72:$W$161,21,FALSE)</f>
        <v>#N/A</v>
      </c>
      <c r="C71" s="211"/>
      <c r="D71" s="217"/>
      <c r="E71" s="215"/>
      <c r="F71" s="217"/>
      <c r="G71" s="211"/>
      <c r="H71" s="217"/>
      <c r="I71" s="211"/>
      <c r="J71" s="217"/>
      <c r="K71" s="211"/>
      <c r="L71" s="217"/>
      <c r="M71" s="211"/>
      <c r="N71" s="217"/>
      <c r="O71" s="215"/>
      <c r="P71" s="217"/>
      <c r="Q71" s="215"/>
      <c r="R71" s="217"/>
      <c r="S71" s="113">
        <f t="shared" si="10"/>
        <v>0</v>
      </c>
      <c r="T71" s="13">
        <f>'0. Installation'!$B$5</f>
        <v>0</v>
      </c>
      <c r="U71" s="13">
        <f>'0. Installation'!$B$6</f>
        <v>0</v>
      </c>
      <c r="V71" s="39">
        <f>'0. Installation'!$B$7</f>
        <v>0</v>
      </c>
      <c r="W71" s="40">
        <f t="shared" si="11"/>
        <v>0</v>
      </c>
      <c r="X71" s="40">
        <f>IF(U71=0,0,
IF('0. Installation'!$B$2="Cogénération",
S71*V71/(V71+273.15)/(T71+V71/(V71+273.15)*U71),
S71/U71))</f>
        <v>0</v>
      </c>
      <c r="Y71" s="41">
        <f>'0. Installation'!$B$4</f>
        <v>0</v>
      </c>
      <c r="Z71" s="42">
        <f>IF('0. Installation'!$B$8="OUI",'Références GES'!$B$16,'Références GES'!$B$14)</f>
        <v>183</v>
      </c>
      <c r="AA71" s="43">
        <f t="shared" si="12"/>
        <v>0</v>
      </c>
      <c r="AB71" s="42">
        <f>'Références GES'!$B$15</f>
        <v>80</v>
      </c>
      <c r="AC71" s="43">
        <f t="shared" si="13"/>
        <v>0</v>
      </c>
      <c r="AD71" s="44"/>
      <c r="AE71" s="42">
        <f>'Références GES'!$B$14</f>
        <v>183</v>
      </c>
      <c r="AF71" s="43">
        <f t="shared" si="14"/>
        <v>0</v>
      </c>
      <c r="AG71" s="42">
        <f>'Références GES'!$B$15</f>
        <v>80</v>
      </c>
      <c r="AH71" s="43">
        <f t="shared" si="15"/>
        <v>0</v>
      </c>
      <c r="AI71" s="45" t="str">
        <f t="shared" si="16"/>
        <v>Elec. : non / Chaleur : non</v>
      </c>
      <c r="AJ71" s="46" t="str">
        <f t="shared" si="9"/>
        <v/>
      </c>
      <c r="AL71" s="117" t="e">
        <f t="shared" si="17"/>
        <v>#N/A</v>
      </c>
    </row>
    <row r="72" spans="1:38">
      <c r="A72" s="16"/>
      <c r="B72" s="213" t="e">
        <f>VLOOKUP(A72,'1. Déclaration'!$C$72:$W$161,21,FALSE)</f>
        <v>#N/A</v>
      </c>
      <c r="C72" s="211"/>
      <c r="D72" s="217"/>
      <c r="E72" s="215"/>
      <c r="F72" s="217"/>
      <c r="G72" s="211"/>
      <c r="H72" s="217"/>
      <c r="I72" s="211"/>
      <c r="J72" s="217"/>
      <c r="K72" s="211"/>
      <c r="L72" s="217"/>
      <c r="M72" s="211"/>
      <c r="N72" s="217"/>
      <c r="O72" s="215"/>
      <c r="P72" s="217"/>
      <c r="Q72" s="215"/>
      <c r="R72" s="217"/>
      <c r="S72" s="113">
        <f t="shared" si="10"/>
        <v>0</v>
      </c>
      <c r="T72" s="13">
        <f>'0. Installation'!$B$5</f>
        <v>0</v>
      </c>
      <c r="U72" s="13">
        <f>'0. Installation'!$B$6</f>
        <v>0</v>
      </c>
      <c r="V72" s="39">
        <f>'0. Installation'!$B$7</f>
        <v>0</v>
      </c>
      <c r="W72" s="40">
        <f t="shared" si="11"/>
        <v>0</v>
      </c>
      <c r="X72" s="40">
        <f>IF(U72=0,0,
IF('0. Installation'!$B$2="Cogénération",
S72*V72/(V72+273.15)/(T72+V72/(V72+273.15)*U72),
S72/U72))</f>
        <v>0</v>
      </c>
      <c r="Y72" s="41">
        <f>'0. Installation'!$B$4</f>
        <v>0</v>
      </c>
      <c r="Z72" s="42">
        <f>IF('0. Installation'!$B$8="OUI",'Références GES'!$B$16,'Références GES'!$B$14)</f>
        <v>183</v>
      </c>
      <c r="AA72" s="43">
        <f t="shared" si="12"/>
        <v>0</v>
      </c>
      <c r="AB72" s="42">
        <f>'Références GES'!$B$15</f>
        <v>80</v>
      </c>
      <c r="AC72" s="43">
        <f t="shared" si="13"/>
        <v>0</v>
      </c>
      <c r="AD72" s="44"/>
      <c r="AE72" s="42">
        <f>'Références GES'!$B$14</f>
        <v>183</v>
      </c>
      <c r="AF72" s="43">
        <f t="shared" si="14"/>
        <v>0</v>
      </c>
      <c r="AG72" s="42">
        <f>'Références GES'!$B$15</f>
        <v>80</v>
      </c>
      <c r="AH72" s="43">
        <f t="shared" si="15"/>
        <v>0</v>
      </c>
      <c r="AI72" s="45" t="str">
        <f t="shared" si="16"/>
        <v>Elec. : non / Chaleur : non</v>
      </c>
      <c r="AJ72" s="46" t="str">
        <f t="shared" si="9"/>
        <v/>
      </c>
      <c r="AL72" s="117" t="e">
        <f t="shared" si="17"/>
        <v>#N/A</v>
      </c>
    </row>
    <row r="73" spans="1:38">
      <c r="A73" s="16"/>
      <c r="B73" s="213" t="e">
        <f>VLOOKUP(A73,'1. Déclaration'!$C$72:$W$161,21,FALSE)</f>
        <v>#N/A</v>
      </c>
      <c r="C73" s="211"/>
      <c r="D73" s="217"/>
      <c r="E73" s="215"/>
      <c r="F73" s="217"/>
      <c r="G73" s="211"/>
      <c r="H73" s="217"/>
      <c r="I73" s="211"/>
      <c r="J73" s="217"/>
      <c r="K73" s="211"/>
      <c r="L73" s="217"/>
      <c r="M73" s="211"/>
      <c r="N73" s="217"/>
      <c r="O73" s="215"/>
      <c r="P73" s="217"/>
      <c r="Q73" s="215"/>
      <c r="R73" s="217"/>
      <c r="S73" s="113">
        <f t="shared" si="10"/>
        <v>0</v>
      </c>
      <c r="T73" s="13">
        <f>'0. Installation'!$B$5</f>
        <v>0</v>
      </c>
      <c r="U73" s="13">
        <f>'0. Installation'!$B$6</f>
        <v>0</v>
      </c>
      <c r="V73" s="39">
        <f>'0. Installation'!$B$7</f>
        <v>0</v>
      </c>
      <c r="W73" s="40">
        <f t="shared" si="11"/>
        <v>0</v>
      </c>
      <c r="X73" s="40">
        <f>IF(U73=0,0,
IF('0. Installation'!$B$2="Cogénération",
S73*V73/(V73+273.15)/(T73+V73/(V73+273.15)*U73),
S73/U73))</f>
        <v>0</v>
      </c>
      <c r="Y73" s="41">
        <f>'0. Installation'!$B$4</f>
        <v>0</v>
      </c>
      <c r="Z73" s="42">
        <f>IF('0. Installation'!$B$8="OUI",'Références GES'!$B$16,'Références GES'!$B$14)</f>
        <v>183</v>
      </c>
      <c r="AA73" s="43">
        <f t="shared" si="12"/>
        <v>0</v>
      </c>
      <c r="AB73" s="42">
        <f>'Références GES'!$B$15</f>
        <v>80</v>
      </c>
      <c r="AC73" s="43">
        <f t="shared" si="13"/>
        <v>0</v>
      </c>
      <c r="AD73" s="44"/>
      <c r="AE73" s="42">
        <f>'Références GES'!$B$14</f>
        <v>183</v>
      </c>
      <c r="AF73" s="43">
        <f t="shared" si="14"/>
        <v>0</v>
      </c>
      <c r="AG73" s="42">
        <f>'Références GES'!$B$15</f>
        <v>80</v>
      </c>
      <c r="AH73" s="43">
        <f t="shared" si="15"/>
        <v>0</v>
      </c>
      <c r="AI73" s="45" t="str">
        <f t="shared" si="16"/>
        <v>Elec. : non / Chaleur : non</v>
      </c>
      <c r="AJ73" s="46" t="str">
        <f t="shared" si="9"/>
        <v/>
      </c>
      <c r="AL73" s="117" t="e">
        <f t="shared" si="17"/>
        <v>#N/A</v>
      </c>
    </row>
    <row r="74" spans="1:38">
      <c r="A74" s="16"/>
      <c r="B74" s="213" t="e">
        <f>VLOOKUP(A74,'1. Déclaration'!$C$72:$W$161,21,FALSE)</f>
        <v>#N/A</v>
      </c>
      <c r="C74" s="211"/>
      <c r="D74" s="217"/>
      <c r="E74" s="215"/>
      <c r="F74" s="217"/>
      <c r="G74" s="211"/>
      <c r="H74" s="217"/>
      <c r="I74" s="211"/>
      <c r="J74" s="217"/>
      <c r="K74" s="211"/>
      <c r="L74" s="217"/>
      <c r="M74" s="211"/>
      <c r="N74" s="217"/>
      <c r="O74" s="215"/>
      <c r="P74" s="217"/>
      <c r="Q74" s="215"/>
      <c r="R74" s="217"/>
      <c r="S74" s="113">
        <f t="shared" si="10"/>
        <v>0</v>
      </c>
      <c r="T74" s="13">
        <f>'0. Installation'!$B$5</f>
        <v>0</v>
      </c>
      <c r="U74" s="13">
        <f>'0. Installation'!$B$6</f>
        <v>0</v>
      </c>
      <c r="V74" s="39">
        <f>'0. Installation'!$B$7</f>
        <v>0</v>
      </c>
      <c r="W74" s="40">
        <f t="shared" si="11"/>
        <v>0</v>
      </c>
      <c r="X74" s="40">
        <f>IF(U74=0,0,
IF('0. Installation'!$B$2="Cogénération",
S74*V74/(V74+273.15)/(T74+V74/(V74+273.15)*U74),
S74/U74))</f>
        <v>0</v>
      </c>
      <c r="Y74" s="41">
        <f>'0. Installation'!$B$4</f>
        <v>0</v>
      </c>
      <c r="Z74" s="42">
        <f>IF('0. Installation'!$B$8="OUI",'Références GES'!$B$16,'Références GES'!$B$14)</f>
        <v>183</v>
      </c>
      <c r="AA74" s="43">
        <f t="shared" si="12"/>
        <v>0</v>
      </c>
      <c r="AB74" s="42">
        <f>'Références GES'!$B$15</f>
        <v>80</v>
      </c>
      <c r="AC74" s="43">
        <f t="shared" si="13"/>
        <v>0</v>
      </c>
      <c r="AD74" s="44"/>
      <c r="AE74" s="42">
        <f>'Références GES'!$B$14</f>
        <v>183</v>
      </c>
      <c r="AF74" s="43">
        <f t="shared" si="14"/>
        <v>0</v>
      </c>
      <c r="AG74" s="42">
        <f>'Références GES'!$B$15</f>
        <v>80</v>
      </c>
      <c r="AH74" s="43">
        <f t="shared" si="15"/>
        <v>0</v>
      </c>
      <c r="AI74" s="45" t="str">
        <f t="shared" si="16"/>
        <v>Elec. : non / Chaleur : non</v>
      </c>
      <c r="AJ74" s="46" t="str">
        <f t="shared" si="9"/>
        <v/>
      </c>
      <c r="AL74" s="117" t="e">
        <f t="shared" si="17"/>
        <v>#N/A</v>
      </c>
    </row>
    <row r="75" spans="1:38">
      <c r="A75" s="16"/>
      <c r="B75" s="213" t="e">
        <f>VLOOKUP(A75,'1. Déclaration'!$C$72:$W$161,21,FALSE)</f>
        <v>#N/A</v>
      </c>
      <c r="C75" s="211"/>
      <c r="D75" s="217"/>
      <c r="E75" s="215"/>
      <c r="F75" s="217"/>
      <c r="G75" s="211"/>
      <c r="H75" s="217"/>
      <c r="I75" s="211"/>
      <c r="J75" s="217"/>
      <c r="K75" s="211"/>
      <c r="L75" s="217"/>
      <c r="M75" s="211"/>
      <c r="N75" s="217"/>
      <c r="O75" s="215"/>
      <c r="P75" s="217"/>
      <c r="Q75" s="215"/>
      <c r="R75" s="217"/>
      <c r="S75" s="113">
        <f t="shared" si="10"/>
        <v>0</v>
      </c>
      <c r="T75" s="13">
        <f>'0. Installation'!$B$5</f>
        <v>0</v>
      </c>
      <c r="U75" s="13">
        <f>'0. Installation'!$B$6</f>
        <v>0</v>
      </c>
      <c r="V75" s="39">
        <f>'0. Installation'!$B$7</f>
        <v>0</v>
      </c>
      <c r="W75" s="40">
        <f t="shared" si="11"/>
        <v>0</v>
      </c>
      <c r="X75" s="40">
        <f>IF(U75=0,0,
IF('0. Installation'!$B$2="Cogénération",
S75*V75/(V75+273.15)/(T75+V75/(V75+273.15)*U75),
S75/U75))</f>
        <v>0</v>
      </c>
      <c r="Y75" s="41">
        <f>'0. Installation'!$B$4</f>
        <v>0</v>
      </c>
      <c r="Z75" s="42">
        <f>IF('0. Installation'!$B$8="OUI",'Références GES'!$B$16,'Références GES'!$B$14)</f>
        <v>183</v>
      </c>
      <c r="AA75" s="43">
        <f t="shared" si="12"/>
        <v>0</v>
      </c>
      <c r="AB75" s="42">
        <f>'Références GES'!$B$15</f>
        <v>80</v>
      </c>
      <c r="AC75" s="43">
        <f t="shared" si="13"/>
        <v>0</v>
      </c>
      <c r="AD75" s="44"/>
      <c r="AE75" s="42">
        <f>'Références GES'!$B$14</f>
        <v>183</v>
      </c>
      <c r="AF75" s="43">
        <f t="shared" si="14"/>
        <v>0</v>
      </c>
      <c r="AG75" s="42">
        <f>'Références GES'!$B$15</f>
        <v>80</v>
      </c>
      <c r="AH75" s="43">
        <f t="shared" si="15"/>
        <v>0</v>
      </c>
      <c r="AI75" s="45" t="str">
        <f t="shared" si="16"/>
        <v>Elec. : non / Chaleur : non</v>
      </c>
      <c r="AJ75" s="46" t="str">
        <f t="shared" si="9"/>
        <v/>
      </c>
      <c r="AL75" s="117" t="e">
        <f t="shared" si="17"/>
        <v>#N/A</v>
      </c>
    </row>
    <row r="76" spans="1:38">
      <c r="A76" s="16"/>
      <c r="B76" s="213" t="e">
        <f>VLOOKUP(A76,'1. Déclaration'!$C$72:$W$161,21,FALSE)</f>
        <v>#N/A</v>
      </c>
      <c r="C76" s="211"/>
      <c r="D76" s="217"/>
      <c r="E76" s="215"/>
      <c r="F76" s="217"/>
      <c r="G76" s="211"/>
      <c r="H76" s="217"/>
      <c r="I76" s="211"/>
      <c r="J76" s="217"/>
      <c r="K76" s="211"/>
      <c r="L76" s="217"/>
      <c r="M76" s="211"/>
      <c r="N76" s="217"/>
      <c r="O76" s="215"/>
      <c r="P76" s="217"/>
      <c r="Q76" s="215"/>
      <c r="R76" s="217"/>
      <c r="S76" s="113">
        <f t="shared" si="10"/>
        <v>0</v>
      </c>
      <c r="T76" s="13">
        <f>'0. Installation'!$B$5</f>
        <v>0</v>
      </c>
      <c r="U76" s="13">
        <f>'0. Installation'!$B$6</f>
        <v>0</v>
      </c>
      <c r="V76" s="39">
        <f>'0. Installation'!$B$7</f>
        <v>0</v>
      </c>
      <c r="W76" s="40">
        <f t="shared" si="11"/>
        <v>0</v>
      </c>
      <c r="X76" s="40">
        <f>IF(U76=0,0,
IF('0. Installation'!$B$2="Cogénération",
S76*V76/(V76+273.15)/(T76+V76/(V76+273.15)*U76),
S76/U76))</f>
        <v>0</v>
      </c>
      <c r="Y76" s="41">
        <f>'0. Installation'!$B$4</f>
        <v>0</v>
      </c>
      <c r="Z76" s="42">
        <f>IF('0. Installation'!$B$8="OUI",'Références GES'!$B$16,'Références GES'!$B$14)</f>
        <v>183</v>
      </c>
      <c r="AA76" s="43">
        <f t="shared" si="12"/>
        <v>0</v>
      </c>
      <c r="AB76" s="42">
        <f>'Références GES'!$B$15</f>
        <v>80</v>
      </c>
      <c r="AC76" s="43">
        <f t="shared" si="13"/>
        <v>0</v>
      </c>
      <c r="AD76" s="44"/>
      <c r="AE76" s="42">
        <f>'Références GES'!$B$14</f>
        <v>183</v>
      </c>
      <c r="AF76" s="43">
        <f t="shared" si="14"/>
        <v>0</v>
      </c>
      <c r="AG76" s="42">
        <f>'Références GES'!$B$15</f>
        <v>80</v>
      </c>
      <c r="AH76" s="43">
        <f t="shared" si="15"/>
        <v>0</v>
      </c>
      <c r="AI76" s="45" t="str">
        <f t="shared" si="16"/>
        <v>Elec. : non / Chaleur : non</v>
      </c>
      <c r="AJ76" s="46" t="str">
        <f t="shared" si="9"/>
        <v/>
      </c>
      <c r="AL76" s="117" t="e">
        <f t="shared" si="17"/>
        <v>#N/A</v>
      </c>
    </row>
    <row r="77" spans="1:38">
      <c r="A77" s="16"/>
      <c r="B77" s="213" t="e">
        <f>VLOOKUP(A77,'1. Déclaration'!$C$72:$W$161,21,FALSE)</f>
        <v>#N/A</v>
      </c>
      <c r="C77" s="211"/>
      <c r="D77" s="217"/>
      <c r="E77" s="215"/>
      <c r="F77" s="217"/>
      <c r="G77" s="211"/>
      <c r="H77" s="217"/>
      <c r="I77" s="211"/>
      <c r="J77" s="217"/>
      <c r="K77" s="211"/>
      <c r="L77" s="217"/>
      <c r="M77" s="211"/>
      <c r="N77" s="217"/>
      <c r="O77" s="215"/>
      <c r="P77" s="217"/>
      <c r="Q77" s="215"/>
      <c r="R77" s="217"/>
      <c r="S77" s="113">
        <f t="shared" si="10"/>
        <v>0</v>
      </c>
      <c r="T77" s="13">
        <f>'0. Installation'!$B$5</f>
        <v>0</v>
      </c>
      <c r="U77" s="13">
        <f>'0. Installation'!$B$6</f>
        <v>0</v>
      </c>
      <c r="V77" s="39">
        <f>'0. Installation'!$B$7</f>
        <v>0</v>
      </c>
      <c r="W77" s="40">
        <f t="shared" si="11"/>
        <v>0</v>
      </c>
      <c r="X77" s="40">
        <f>IF(U77=0,0,
IF('0. Installation'!$B$2="Cogénération",
S77*V77/(V77+273.15)/(T77+V77/(V77+273.15)*U77),
S77/U77))</f>
        <v>0</v>
      </c>
      <c r="Y77" s="41">
        <f>'0. Installation'!$B$4</f>
        <v>0</v>
      </c>
      <c r="Z77" s="42">
        <f>IF('0. Installation'!$B$8="OUI",'Références GES'!$B$16,'Références GES'!$B$14)</f>
        <v>183</v>
      </c>
      <c r="AA77" s="43">
        <f t="shared" si="12"/>
        <v>0</v>
      </c>
      <c r="AB77" s="42">
        <f>'Références GES'!$B$15</f>
        <v>80</v>
      </c>
      <c r="AC77" s="43">
        <f t="shared" si="13"/>
        <v>0</v>
      </c>
      <c r="AD77" s="44"/>
      <c r="AE77" s="42">
        <f>'Références GES'!$B$14</f>
        <v>183</v>
      </c>
      <c r="AF77" s="43">
        <f t="shared" si="14"/>
        <v>0</v>
      </c>
      <c r="AG77" s="42">
        <f>'Références GES'!$B$15</f>
        <v>80</v>
      </c>
      <c r="AH77" s="43">
        <f t="shared" si="15"/>
        <v>0</v>
      </c>
      <c r="AI77" s="45" t="str">
        <f t="shared" si="16"/>
        <v>Elec. : non / Chaleur : non</v>
      </c>
      <c r="AJ77" s="46" t="str">
        <f t="shared" si="9"/>
        <v/>
      </c>
      <c r="AL77" s="117" t="e">
        <f t="shared" si="17"/>
        <v>#N/A</v>
      </c>
    </row>
    <row r="78" spans="1:38">
      <c r="A78" s="16"/>
      <c r="B78" s="213" t="e">
        <f>VLOOKUP(A78,'1. Déclaration'!$C$72:$W$161,21,FALSE)</f>
        <v>#N/A</v>
      </c>
      <c r="C78" s="211"/>
      <c r="D78" s="217"/>
      <c r="E78" s="215"/>
      <c r="F78" s="217"/>
      <c r="G78" s="211"/>
      <c r="H78" s="217"/>
      <c r="I78" s="211"/>
      <c r="J78" s="217"/>
      <c r="K78" s="211"/>
      <c r="L78" s="217"/>
      <c r="M78" s="211"/>
      <c r="N78" s="217"/>
      <c r="O78" s="215"/>
      <c r="P78" s="217"/>
      <c r="Q78" s="215"/>
      <c r="R78" s="217"/>
      <c r="S78" s="113">
        <f t="shared" si="10"/>
        <v>0</v>
      </c>
      <c r="T78" s="13">
        <f>'0. Installation'!$B$5</f>
        <v>0</v>
      </c>
      <c r="U78" s="13">
        <f>'0. Installation'!$B$6</f>
        <v>0</v>
      </c>
      <c r="V78" s="39">
        <f>'0. Installation'!$B$7</f>
        <v>0</v>
      </c>
      <c r="W78" s="40">
        <f t="shared" si="11"/>
        <v>0</v>
      </c>
      <c r="X78" s="40">
        <f>IF(U78=0,0,
IF('0. Installation'!$B$2="Cogénération",
S78*V78/(V78+273.15)/(T78+V78/(V78+273.15)*U78),
S78/U78))</f>
        <v>0</v>
      </c>
      <c r="Y78" s="41">
        <f>'0. Installation'!$B$4</f>
        <v>0</v>
      </c>
      <c r="Z78" s="42">
        <f>IF('0. Installation'!$B$8="OUI",'Références GES'!$B$16,'Références GES'!$B$14)</f>
        <v>183</v>
      </c>
      <c r="AA78" s="43">
        <f t="shared" si="12"/>
        <v>0</v>
      </c>
      <c r="AB78" s="42">
        <f>'Références GES'!$B$15</f>
        <v>80</v>
      </c>
      <c r="AC78" s="43">
        <f t="shared" si="13"/>
        <v>0</v>
      </c>
      <c r="AD78" s="44"/>
      <c r="AE78" s="42">
        <f>'Références GES'!$B$14</f>
        <v>183</v>
      </c>
      <c r="AF78" s="43">
        <f t="shared" si="14"/>
        <v>0</v>
      </c>
      <c r="AG78" s="42">
        <f>'Références GES'!$B$15</f>
        <v>80</v>
      </c>
      <c r="AH78" s="43">
        <f t="shared" si="15"/>
        <v>0</v>
      </c>
      <c r="AI78" s="45" t="str">
        <f t="shared" si="16"/>
        <v>Elec. : non / Chaleur : non</v>
      </c>
      <c r="AJ78" s="46" t="str">
        <f t="shared" si="9"/>
        <v/>
      </c>
      <c r="AL78" s="117" t="e">
        <f t="shared" si="17"/>
        <v>#N/A</v>
      </c>
    </row>
    <row r="79" spans="1:38">
      <c r="A79" s="16"/>
      <c r="B79" s="213" t="e">
        <f>VLOOKUP(A79,'1. Déclaration'!$C$72:$W$161,21,FALSE)</f>
        <v>#N/A</v>
      </c>
      <c r="C79" s="211"/>
      <c r="D79" s="217"/>
      <c r="E79" s="215"/>
      <c r="F79" s="217"/>
      <c r="G79" s="211"/>
      <c r="H79" s="217"/>
      <c r="I79" s="211"/>
      <c r="J79" s="217"/>
      <c r="K79" s="211"/>
      <c r="L79" s="217"/>
      <c r="M79" s="211"/>
      <c r="N79" s="217"/>
      <c r="O79" s="215"/>
      <c r="P79" s="217"/>
      <c r="Q79" s="215"/>
      <c r="R79" s="217"/>
      <c r="S79" s="113">
        <f t="shared" si="10"/>
        <v>0</v>
      </c>
      <c r="T79" s="13">
        <f>'0. Installation'!$B$5</f>
        <v>0</v>
      </c>
      <c r="U79" s="13">
        <f>'0. Installation'!$B$6</f>
        <v>0</v>
      </c>
      <c r="V79" s="39">
        <f>'0. Installation'!$B$7</f>
        <v>0</v>
      </c>
      <c r="W79" s="40">
        <f t="shared" si="11"/>
        <v>0</v>
      </c>
      <c r="X79" s="40">
        <f>IF(U79=0,0,
IF('0. Installation'!$B$2="Cogénération",
S79*V79/(V79+273.15)/(T79+V79/(V79+273.15)*U79),
S79/U79))</f>
        <v>0</v>
      </c>
      <c r="Y79" s="41">
        <f>'0. Installation'!$B$4</f>
        <v>0</v>
      </c>
      <c r="Z79" s="42">
        <f>IF('0. Installation'!$B$8="OUI",'Références GES'!$B$16,'Références GES'!$B$14)</f>
        <v>183</v>
      </c>
      <c r="AA79" s="43">
        <f t="shared" si="12"/>
        <v>0</v>
      </c>
      <c r="AB79" s="42">
        <f>'Références GES'!$B$15</f>
        <v>80</v>
      </c>
      <c r="AC79" s="43">
        <f t="shared" si="13"/>
        <v>0</v>
      </c>
      <c r="AD79" s="44"/>
      <c r="AE79" s="42">
        <f>'Références GES'!$B$14</f>
        <v>183</v>
      </c>
      <c r="AF79" s="43">
        <f t="shared" si="14"/>
        <v>0</v>
      </c>
      <c r="AG79" s="42">
        <f>'Références GES'!$B$15</f>
        <v>80</v>
      </c>
      <c r="AH79" s="43">
        <f t="shared" si="15"/>
        <v>0</v>
      </c>
      <c r="AI79" s="45" t="str">
        <f t="shared" si="16"/>
        <v>Elec. : non / Chaleur : non</v>
      </c>
      <c r="AJ79" s="46" t="str">
        <f t="shared" si="9"/>
        <v/>
      </c>
      <c r="AL79" s="117" t="e">
        <f t="shared" si="17"/>
        <v>#N/A</v>
      </c>
    </row>
    <row r="80" spans="1:38" ht="43.2">
      <c r="A80" s="220" t="s">
        <v>228</v>
      </c>
      <c r="B80" s="213" t="e">
        <f>VLOOKUP(A80,'1. Déclaration'!$C$72:$W$161,21,FALSE)</f>
        <v>#N/A</v>
      </c>
      <c r="C80" s="213">
        <f>COUNTIFS('2. Détail calcul GES'!C4:C79,"&lt;&gt;",'2. Détail calcul GES'!D4:D79,"&lt;&gt;")+COUNTIFS('2. Détail calcul GES'!E4:E79,"&lt;&gt;",'2. Détail calcul GES'!F4:F79,"&lt;&gt;")+COUNTIFS('2. Détail calcul GES'!G4:G79,"&lt;&gt;",'2. Détail calcul GES'!H4:H79,"&lt;&gt;")
+COUNTIFS('2. Détail calcul GES'!I4:I79,"&lt;&gt;",'2. Détail calcul GES'!J4:J79,"&lt;&gt;")+COUNTIFS('2. Détail calcul GES'!K4:K79,"&lt;&gt;",'2. Détail calcul GES'!L4:L79,"&lt;&gt;")+COUNTIFS('2. Détail calcul GES'!M4:M79,"&lt;&gt;",'2. Détail calcul GES'!N4:N79,"&lt;&gt;")</f>
        <v>0</v>
      </c>
    </row>
  </sheetData>
  <mergeCells count="11">
    <mergeCell ref="C1:X1"/>
    <mergeCell ref="Y1:AC1"/>
    <mergeCell ref="AD1:AI1"/>
    <mergeCell ref="Q2:R2"/>
    <mergeCell ref="C2:D2"/>
    <mergeCell ref="E2:F2"/>
    <mergeCell ref="G2:H2"/>
    <mergeCell ref="I2:J2"/>
    <mergeCell ref="K2:L2"/>
    <mergeCell ref="M2:N2"/>
    <mergeCell ref="O2:P2"/>
  </mergeCells>
  <phoneticPr fontId="43" type="noConversion"/>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7ED2684-3714-4D3E-8447-FA874CEB09A9}">
          <x14:formula1>
            <xm:f>Listes!$I$2:$I$5</xm:f>
          </x14:formula1>
          <xm:sqref>AD4:AD79</xm:sqref>
        </x14:dataValidation>
        <x14:dataValidation type="list" allowBlank="1" showInputMessage="1" showErrorMessage="1" xr:uid="{908FB4B3-A3EB-44EA-9F16-B283212A3087}">
          <x14:formula1>
            <xm:f>Listes!$I$6</xm:f>
          </x14:formula1>
          <xm:sqref>E4:E79 O4:O79 Q4:Q79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88323-9E4A-4112-90D9-35A8BB1F30DF}">
  <dimension ref="A1:B6"/>
  <sheetViews>
    <sheetView workbookViewId="0">
      <selection activeCell="A5" sqref="A5"/>
    </sheetView>
  </sheetViews>
  <sheetFormatPr baseColWidth="10" defaultRowHeight="14.4"/>
  <cols>
    <col min="1" max="1" width="139.5546875" customWidth="1"/>
    <col min="2" max="2" width="18" customWidth="1"/>
  </cols>
  <sheetData>
    <row r="1" spans="1:2" ht="40.5" customHeight="1">
      <c r="A1" s="335" t="s">
        <v>351</v>
      </c>
      <c r="B1" s="335"/>
    </row>
    <row r="3" spans="1:2">
      <c r="A3" s="31" t="s">
        <v>350</v>
      </c>
      <c r="B3" s="47" t="s">
        <v>172</v>
      </c>
    </row>
    <row r="4" spans="1:2" ht="105.75" customHeight="1">
      <c r="A4" s="48" t="s">
        <v>414</v>
      </c>
      <c r="B4" s="49"/>
    </row>
    <row r="5" spans="1:2">
      <c r="A5" s="31" t="s">
        <v>349</v>
      </c>
      <c r="B5" s="50"/>
    </row>
    <row r="6" spans="1:2" ht="120" customHeight="1">
      <c r="A6" s="48" t="s">
        <v>412</v>
      </c>
      <c r="B6" s="49"/>
    </row>
  </sheetData>
  <mergeCells count="1">
    <mergeCell ref="A1:B1"/>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E6CED06-B3F7-4872-A323-99B761C9040B}">
          <x14:formula1>
            <xm:f>Listes!$A$12:$A$13</xm:f>
          </x14:formula1>
          <xm:sqref>B4 B6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7FF03-A8D2-4641-B646-735F4DE9745B}">
  <dimension ref="A1:B18"/>
  <sheetViews>
    <sheetView tabSelected="1" workbookViewId="0">
      <selection activeCell="A6" sqref="A6"/>
    </sheetView>
  </sheetViews>
  <sheetFormatPr baseColWidth="10" defaultRowHeight="14.4"/>
  <cols>
    <col min="1" max="1" width="139.5546875" customWidth="1"/>
    <col min="2" max="2" width="18" customWidth="1"/>
  </cols>
  <sheetData>
    <row r="1" spans="1:2" ht="56.25" customHeight="1">
      <c r="A1" s="335" t="s">
        <v>413</v>
      </c>
      <c r="B1" s="335"/>
    </row>
    <row r="2" spans="1:2" ht="115.2" customHeight="1">
      <c r="A2" s="336" t="s">
        <v>376</v>
      </c>
      <c r="B2" s="337"/>
    </row>
    <row r="3" spans="1:2">
      <c r="A3" s="31" t="s">
        <v>171</v>
      </c>
      <c r="B3" s="47" t="s">
        <v>172</v>
      </c>
    </row>
    <row r="4" spans="1:2" ht="76.5" customHeight="1">
      <c r="A4" s="48" t="str">
        <f>IF(OR(
SUM('1. Déclaration'!E$10:E$13)&gt;0,
COUNTIFS('2. Détail calcul GES'!$B$4:$B$79,"Plaquettes bocagères ou agroforestières : 1B_PFA",'2. Détail calcul GES'!$AL$4:$AL$79,1)&gt;0),
Listes!O$19,Listes!O$20)</f>
        <v>Sans objet : combustible non utilisé d'après l'onglet "Déclaration", ou utilisé sans se référer aux valeurs représentatives de la filière bois énergie</v>
      </c>
      <c r="B4" s="49"/>
    </row>
    <row r="5" spans="1:2" ht="12" customHeight="1">
      <c r="A5" s="31" t="s">
        <v>352</v>
      </c>
    </row>
    <row r="6" spans="1:2" ht="76.5" customHeight="1">
      <c r="A6" s="48" t="str">
        <f>IF(OR(
SUM('1. Déclaration'!E$14:E$17)&gt;0,
COUNTIFS('2. Détail calcul GES'!$B$4:$B$79,"Plaquettes bocagères / bois de verger : 1B_PFA (V)",'2. Détail calcul GES'!$AL$4:$AL$79,1)&gt;0),
Listes!O$19,Listes!O$20)</f>
        <v>Sans objet : combustible non utilisé d'après l'onglet "Déclaration", ou utilisé sans se référer aux valeurs représentatives de la filière bois énergie</v>
      </c>
      <c r="B6" s="49"/>
    </row>
    <row r="7" spans="1:2">
      <c r="A7" s="31" t="s">
        <v>289</v>
      </c>
      <c r="B7" s="50"/>
    </row>
    <row r="8" spans="1:2" ht="81" customHeight="1">
      <c r="A8" s="48" t="str">
        <f>IF(OR(
SUM('1. Déclaration'!E$18:E$21)&gt;0,
COUNTIFS('2. Détail calcul GES'!$B$4:$B$79,"Plaquettes paysagères ligneuses résidelles : 1C_PFA",'2. Détail calcul GES'!$AL$4:$AL$79,1)&gt;0),
Listes!O$19,Listes!O$20)</f>
        <v>Sans objet : combustible non utilisé d'après l'onglet "Déclaration", ou utilisé sans se référer aux valeurs représentatives de la filière bois énergie</v>
      </c>
      <c r="B8" s="49"/>
    </row>
    <row r="9" spans="1:2">
      <c r="A9" s="31" t="s">
        <v>173</v>
      </c>
      <c r="B9" s="50"/>
    </row>
    <row r="10" spans="1:2" ht="82.5" customHeight="1">
      <c r="A10" s="48" t="str">
        <f>IF(OR(
SUM('1. Déclaration'!E$30:E$33)&gt;0,
COUNTIFS('2. Détail calcul GES'!$B$4:$B$79,"Bois SSD sortis du statut de déchet 3A_BFVBD",'2. Détail calcul GES'!$AL$4:$AL$79,1)&gt;0),
Listes!O$19,Listes!O$20)</f>
        <v>Sans objet : combustible non utilisé d'après l'onglet "Déclaration", ou utilisé sans se référer aux valeurs représentatives de la filière bois énergie</v>
      </c>
      <c r="B10" s="49"/>
    </row>
    <row r="11" spans="1:2">
      <c r="A11" s="31" t="s">
        <v>174</v>
      </c>
      <c r="B11" s="50"/>
    </row>
    <row r="12" spans="1:2" ht="86.25" customHeight="1">
      <c r="A12" s="48" t="str">
        <f>IF(OR(
SUM('1. Déclaration'!E$34:E$37)&gt;0,
COUNTIFS('2. Détail calcul GES'!$B$4:$B$79,"Déchets de bois non dangereux 2910-B ICPE 3B_BFVBD",'2. Détail calcul GES'!$AL$4:$AL$79,1)&gt;0),
Listes!O$19,Listes!O$20)</f>
        <v>Sans objet : combustible non utilisé d'après l'onglet "Déclaration", ou utilisé sans se référer aux valeurs représentatives de la filière bois énergie</v>
      </c>
      <c r="B12" s="49"/>
    </row>
    <row r="13" spans="1:2">
      <c r="A13" s="31" t="s">
        <v>175</v>
      </c>
      <c r="B13" s="50"/>
    </row>
    <row r="14" spans="1:2" ht="75.75" customHeight="1">
      <c r="A14" s="48" t="str">
        <f>IF(OR(
SUM('1. Déclaration'!E$38:E$41)&gt;0,
COUNTIFS('2. Détail calcul GES'!$B$4:$B$79,"Déchets de bois non dangereux 2771 ICPE 3C_BFVBD",'2. Détail calcul GES'!$AL$4:$AL$79,1)&gt;0),
Listes!O$19,Listes!O$20)</f>
        <v>Sans objet : combustible non utilisé d'après l'onglet "Déclaration", ou utilisé sans se référer aux valeurs représentatives de la filière bois énergie</v>
      </c>
      <c r="B14" s="49"/>
    </row>
    <row r="15" spans="1:2">
      <c r="A15" s="31" t="s">
        <v>176</v>
      </c>
      <c r="B15" s="50"/>
    </row>
    <row r="16" spans="1:2" ht="84" customHeight="1">
      <c r="A16" s="48" t="str">
        <f>IF(OR(
'1. Déclaration'!E$66&gt;0,
COUNTIFS('2. Détail calcul GES'!$B$4:$B$79,"Liqueur noire",'2. Détail calcul GES'!$AL$4:$AL$79,1)&gt;0),
Listes!O$19,Listes!O$20)</f>
        <v>Sans objet : combustible non utilisé d'après l'onglet "Déclaration", ou utilisé sans se référer aux valeurs représentatives de la filière bois énergie</v>
      </c>
      <c r="B16" s="49"/>
    </row>
    <row r="17" spans="1:2">
      <c r="A17" s="31" t="s">
        <v>177</v>
      </c>
      <c r="B17" s="50"/>
    </row>
    <row r="18" spans="1:2" ht="80.25" customHeight="1">
      <c r="A18" s="48" t="str">
        <f>IF(OR(
'1. Déclaration'!E$67&gt;0,
COUNTIFS('2. Détail calcul GES'!$B$4:$B$79,"Boue papetière",'2. Détail calcul GES'!$AL$4:$AL$79,1)&gt;0),
Listes!O$19,Listes!O$20)</f>
        <v>Sans objet : combustible non utilisé d'après l'onglet "Déclaration", ou utilisé sans se référer aux valeurs représentatives de la filière bois énergie</v>
      </c>
      <c r="B18" s="49"/>
    </row>
  </sheetData>
  <mergeCells count="2">
    <mergeCell ref="A1:B1"/>
    <mergeCell ref="A2:B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6FC6596-B50F-47DC-9814-1654F821C453}">
          <x14:formula1>
            <xm:f>Listes!$A$12:$A$13</xm:f>
          </x14:formula1>
          <xm:sqref>B4:B6 B8 B10 B12 B14 B16 B18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BEACB-DA17-4937-AF16-AD0EC95ADA7A}">
  <dimension ref="A1:B9"/>
  <sheetViews>
    <sheetView workbookViewId="0">
      <selection activeCell="B6" sqref="B6"/>
    </sheetView>
  </sheetViews>
  <sheetFormatPr baseColWidth="10" defaultRowHeight="14.4"/>
  <cols>
    <col min="1" max="1" width="151" customWidth="1"/>
    <col min="2" max="2" width="21" customWidth="1"/>
  </cols>
  <sheetData>
    <row r="1" spans="1:2" ht="28.5" customHeight="1">
      <c r="A1" s="335" t="s">
        <v>178</v>
      </c>
      <c r="B1" s="335" t="s">
        <v>223</v>
      </c>
    </row>
    <row r="2" spans="1:2" ht="92.25" customHeight="1">
      <c r="A2" s="285" t="s">
        <v>361</v>
      </c>
    </row>
    <row r="3" spans="1:2">
      <c r="A3" s="1"/>
    </row>
    <row r="4" spans="1:2" ht="28.8">
      <c r="A4" s="1" t="s">
        <v>179</v>
      </c>
    </row>
    <row r="5" spans="1:2">
      <c r="A5" s="1"/>
    </row>
    <row r="6" spans="1:2">
      <c r="A6" s="1" t="s">
        <v>180</v>
      </c>
      <c r="B6" s="49"/>
    </row>
    <row r="7" spans="1:2" ht="57.6">
      <c r="A7" s="1" t="s">
        <v>181</v>
      </c>
      <c r="B7" s="49"/>
    </row>
    <row r="8" spans="1:2" ht="28.8">
      <c r="A8" s="1" t="s">
        <v>182</v>
      </c>
      <c r="B8" s="49"/>
    </row>
    <row r="9" spans="1:2">
      <c r="A9" s="1" t="s">
        <v>183</v>
      </c>
      <c r="B9" s="49"/>
    </row>
  </sheetData>
  <mergeCells count="1">
    <mergeCell ref="A1:B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B124695-7839-4F87-8000-6A47638EE36E}">
          <x14:formula1>
            <xm:f>Listes!$A$13:$A$14</xm:f>
          </x14:formula1>
          <xm:sqref>B6:B9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DCB1C-2A7F-47B5-B483-D4B7EFFEE810}">
  <dimension ref="A1:C7"/>
  <sheetViews>
    <sheetView workbookViewId="0">
      <selection activeCell="B6" sqref="B6"/>
    </sheetView>
  </sheetViews>
  <sheetFormatPr baseColWidth="10" defaultRowHeight="14.4"/>
  <cols>
    <col min="1" max="1" width="42.44140625" style="1" customWidth="1"/>
    <col min="2" max="2" width="20" customWidth="1"/>
    <col min="3" max="3" width="145.109375" style="1" customWidth="1"/>
  </cols>
  <sheetData>
    <row r="1" spans="1:3">
      <c r="A1" s="286" t="s">
        <v>365</v>
      </c>
      <c r="B1" s="47" t="s">
        <v>366</v>
      </c>
      <c r="C1" s="286" t="s">
        <v>233</v>
      </c>
    </row>
    <row r="2" spans="1:3">
      <c r="A2" s="1" t="s">
        <v>232</v>
      </c>
      <c r="B2" s="33" t="str">
        <f>IF(
OR(AND('0. Installation'!$B$4&gt;DATE(2021,1,1),'1. Déclaration'!E127+'1. Déclaration'!E162&gt;0),'1. Déclaration'!$B$163&gt;0),
IF(AND('0. Installation'!$B$5=0,'0. Installation'!$B$6=0),"OUI","NON"),
"NON")</f>
        <v>NON</v>
      </c>
      <c r="C2" s="1" t="str">
        <f>IF(OR('0. Installation'!$B$4&gt;DATE(2021,1,1),'1. Déclaration'!$B$163&gt;0),
IF(AND('0. Installation'!$B$5=0,'0. Installation'!$B$6=0),"Il manque au moins un rendement énergétique renseigné dans l'onglet 1. Déclaration","Un rendement énergétique au moins a bien été renseigné"),
"")</f>
        <v/>
      </c>
    </row>
    <row r="3" spans="1:3">
      <c r="A3" s="1" t="s">
        <v>279</v>
      </c>
      <c r="B3" s="33" t="str">
        <f>IF(OR(AND('0. Installation'!$B$2="Cogénération",'0. Installation'!$B$7="",'0. Installation'!$B$4&gt;DATE(2021,1,1),'1. Déclaration'!E127+'1. Déclaration'!E162&gt;0,),AND('0. Installation'!$B$2="Cogénération",'0. Installation'!$B$7="",'1. Déclaration'!$B$163&gt;0)),
"OUI","NON")</f>
        <v>NON</v>
      </c>
      <c r="C3" s="1" t="str">
        <f>IF(OR(AND('0. Installation'!$B$2="Cogénération",'0. Installation'!$B$7="",'0. Installation'!$B$4&gt;DATE(2021,1,1),'1. Déclaration'!E127+'1. Déclaration'!E162&gt;0,),AND('0. Installation'!$B$2="Cogénération",'0. Installation'!$B$7="",'1. Déclaration'!$B$163&gt;0)),
"Votre installation de cogénération doit renseigner une température utile dans l'onglet 1. Déclaration",
"")</f>
        <v/>
      </c>
    </row>
    <row r="4" spans="1:3">
      <c r="A4" s="287" t="s">
        <v>363</v>
      </c>
      <c r="B4" s="33" t="str">
        <f>IF('0. Installation'!$B$4&lt;DATE(2021,1,1),
IF('1. Déclaration'!$C$163&gt;0,
"OUI","NON"),
IF('1. Déclaration'!B92+'1. Déclaration'!B127+'1. Déclaration'!B162&gt;0,"OUI",
"NON"))</f>
        <v>NON</v>
      </c>
      <c r="C4" s="1" t="str">
        <f>IF('0. Installation'!$B$4&lt;DATE(2021,1,1),
IF('1. Déclaration'!$C$163&gt;0,
"Sur "&amp;'1. Déclaration'!$B$163&amp;" lot(s) de bioliquides déclaré(s), "&amp;'1. Déclaration'!$C$163&amp;" lot(s) ne présente(nt) pas de calcul GES",""),
IF('1. Déclaration'!B127+'1. Déclaration'!B162&gt;0,"Sur les "&amp;60-COUNTBLANK('1. Déclaration'!C97:C126)-COUNTBLANK('1. Déclaration'!C132:C161)&amp;" lots déclarés dans l'onglet 1, "&amp;'1. Déclaration'!B127+'1. Déclaration'!B162&amp;" ne fait (font) pas l'objet d'un calcul GES réel approprié dans l'onglet 2",""))</f>
        <v/>
      </c>
    </row>
    <row r="5" spans="1:3">
      <c r="A5" s="288" t="s">
        <v>362</v>
      </c>
      <c r="B5" s="33" t="str">
        <f>IF('1. Déclaration'!$U$162&gt;0,"OUI","NON")</f>
        <v>NON</v>
      </c>
      <c r="C5" s="1" t="str">
        <f>IF('Contrôle global'!B5="OUI",'1. Déclaration'!U162&amp;" lignes comportent un problème sur l'atteinte des seuils de gaz à effet de serre compte-tenu de la nature de votre installation (électricité et/ou chaleur) déclarée dans l'onglet 0","")</f>
        <v/>
      </c>
    </row>
    <row r="6" spans="1:3" ht="28.8">
      <c r="A6" s="287" t="s">
        <v>364</v>
      </c>
      <c r="B6" s="33" t="str">
        <f>IF('2. Détail calcul GES'!C80&gt;0,"OUI","NON")</f>
        <v>NON</v>
      </c>
      <c r="C6" s="1" t="str">
        <f>IF(B6="OUI","Dans l'onglet 2, au moins "&amp;'2. Détail calcul GES'!C80&amp;" terme(s), contien(nen)t à la fois une valeur réel et une valeur par défaut. Vous devez choisir l'une ou l'autre.","")</f>
        <v/>
      </c>
    </row>
    <row r="7" spans="1:3">
      <c r="B7" s="33"/>
    </row>
  </sheetData>
  <conditionalFormatting sqref="B2">
    <cfRule type="cellIs" dxfId="11" priority="11" operator="equal">
      <formula>"OUI"</formula>
    </cfRule>
  </conditionalFormatting>
  <conditionalFormatting sqref="B2:B3 B7:B21">
    <cfRule type="cellIs" dxfId="10" priority="10" operator="equal">
      <formula>"NON"</formula>
    </cfRule>
  </conditionalFormatting>
  <conditionalFormatting sqref="B3">
    <cfRule type="cellIs" dxfId="9" priority="9" operator="equal">
      <formula>"OUI"</formula>
    </cfRule>
  </conditionalFormatting>
  <conditionalFormatting sqref="B4">
    <cfRule type="cellIs" dxfId="8" priority="8" operator="equal">
      <formula>"OUI"</formula>
    </cfRule>
  </conditionalFormatting>
  <conditionalFormatting sqref="B4">
    <cfRule type="cellIs" dxfId="7" priority="7" operator="equal">
      <formula>"NON"</formula>
    </cfRule>
  </conditionalFormatting>
  <conditionalFormatting sqref="B6">
    <cfRule type="cellIs" dxfId="6" priority="6" operator="equal">
      <formula>"OUI"</formula>
    </cfRule>
  </conditionalFormatting>
  <conditionalFormatting sqref="B6">
    <cfRule type="cellIs" dxfId="5" priority="5" operator="equal">
      <formula>"NON"</formula>
    </cfRule>
  </conditionalFormatting>
  <conditionalFormatting sqref="B5">
    <cfRule type="cellIs" dxfId="4" priority="4" operator="equal">
      <formula>"OUI"</formula>
    </cfRule>
  </conditionalFormatting>
  <conditionalFormatting sqref="B5">
    <cfRule type="cellIs" dxfId="3" priority="3" operator="equal">
      <formula>"NON"</formula>
    </cfRule>
  </conditionalFormatting>
  <conditionalFormatting sqref="B7">
    <cfRule type="containsText" dxfId="2" priority="1" operator="containsText" text="NON">
      <formula>NOT(ISERROR(SEARCH("NON",B7)))</formula>
    </cfRule>
    <cfRule type="containsText" dxfId="1" priority="2" operator="containsText" text="OUI">
      <formula>NOT(ISERROR(SEARCH("OUI",B7)))</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32C11-31E7-4D43-8D38-EE41B9FBDE9D}">
  <dimension ref="A1:Q184"/>
  <sheetViews>
    <sheetView topLeftCell="C7" zoomScale="70" zoomScaleNormal="70" workbookViewId="0">
      <selection activeCell="I25" sqref="I25"/>
    </sheetView>
  </sheetViews>
  <sheetFormatPr baseColWidth="10" defaultRowHeight="14.4"/>
  <cols>
    <col min="1" max="1" width="57.33203125" customWidth="1"/>
    <col min="2" max="2" width="79.109375" customWidth="1"/>
    <col min="3" max="3" width="15.44140625" customWidth="1"/>
    <col min="4" max="4" width="19.109375" customWidth="1"/>
    <col min="5" max="5" width="41.5546875" customWidth="1"/>
    <col min="6" max="8" width="18" customWidth="1"/>
    <col min="9" max="10" width="7.88671875" customWidth="1"/>
    <col min="13" max="13" width="15" customWidth="1"/>
    <col min="14" max="14" width="19.88671875" customWidth="1"/>
    <col min="15" max="15" width="16.88671875" customWidth="1"/>
    <col min="16" max="16" width="22" customWidth="1"/>
    <col min="17" max="17" width="22.6640625" customWidth="1"/>
  </cols>
  <sheetData>
    <row r="1" spans="1:12">
      <c r="A1" s="51" t="s">
        <v>184</v>
      </c>
      <c r="B1" s="51" t="s">
        <v>185</v>
      </c>
      <c r="K1" s="52"/>
      <c r="L1" s="52"/>
    </row>
    <row r="2" spans="1:12" ht="43.2">
      <c r="A2" s="53" t="s">
        <v>186</v>
      </c>
      <c r="B2" s="53" t="s">
        <v>187</v>
      </c>
      <c r="K2" s="52"/>
      <c r="L2" s="52"/>
    </row>
    <row r="3" spans="1:12" ht="28.8">
      <c r="A3" s="53" t="s">
        <v>188</v>
      </c>
      <c r="B3" s="53" t="s">
        <v>189</v>
      </c>
      <c r="K3" s="52"/>
      <c r="L3" s="52"/>
    </row>
    <row r="4" spans="1:12">
      <c r="A4" s="53" t="s">
        <v>190</v>
      </c>
      <c r="B4" s="2"/>
      <c r="K4" s="52"/>
      <c r="L4" s="52"/>
    </row>
    <row r="5" spans="1:12">
      <c r="K5" s="52"/>
      <c r="L5" s="52"/>
    </row>
    <row r="6" spans="1:12">
      <c r="A6" s="54" t="s">
        <v>340</v>
      </c>
      <c r="B6" s="54" t="s">
        <v>185</v>
      </c>
      <c r="K6" s="52"/>
      <c r="L6" s="52"/>
    </row>
    <row r="7" spans="1:12">
      <c r="A7" s="16" t="s">
        <v>191</v>
      </c>
      <c r="B7" s="16" t="s">
        <v>192</v>
      </c>
      <c r="K7" s="52"/>
      <c r="L7" s="52"/>
    </row>
    <row r="8" spans="1:12">
      <c r="A8" s="16" t="s">
        <v>193</v>
      </c>
      <c r="B8" s="16" t="s">
        <v>192</v>
      </c>
      <c r="K8" s="52"/>
      <c r="L8" s="52"/>
    </row>
    <row r="9" spans="1:12">
      <c r="A9" s="16" t="s">
        <v>194</v>
      </c>
      <c r="B9" s="16" t="s">
        <v>192</v>
      </c>
      <c r="K9" s="52"/>
      <c r="L9" s="52"/>
    </row>
    <row r="10" spans="1:12">
      <c r="A10" s="16" t="s">
        <v>195</v>
      </c>
      <c r="B10" s="16" t="s">
        <v>196</v>
      </c>
      <c r="K10" s="52"/>
      <c r="L10" s="52"/>
    </row>
    <row r="11" spans="1:12">
      <c r="A11" s="16" t="s">
        <v>197</v>
      </c>
      <c r="B11" s="16" t="s">
        <v>196</v>
      </c>
      <c r="K11" s="52"/>
      <c r="L11" s="52"/>
    </row>
    <row r="12" spans="1:12" ht="15" thickBot="1">
      <c r="K12" s="52"/>
      <c r="L12" s="52"/>
    </row>
    <row r="13" spans="1:12">
      <c r="A13" s="55" t="s">
        <v>0</v>
      </c>
      <c r="B13" s="55" t="s">
        <v>198</v>
      </c>
      <c r="H13" s="56" t="s">
        <v>163</v>
      </c>
      <c r="I13" s="57"/>
      <c r="J13" s="57"/>
      <c r="K13" s="58"/>
      <c r="L13" s="59">
        <f>'0. Installation'!B5</f>
        <v>0</v>
      </c>
    </row>
    <row r="14" spans="1:12">
      <c r="A14" s="60" t="s">
        <v>199</v>
      </c>
      <c r="B14" s="61">
        <v>183</v>
      </c>
      <c r="H14" s="62" t="s">
        <v>164</v>
      </c>
      <c r="I14" s="63"/>
      <c r="J14" s="63"/>
      <c r="K14" s="64"/>
      <c r="L14" s="65">
        <f>'0. Installation'!B6</f>
        <v>0</v>
      </c>
    </row>
    <row r="15" spans="1:12">
      <c r="A15" s="60" t="s">
        <v>200</v>
      </c>
      <c r="B15" s="61">
        <v>80</v>
      </c>
      <c r="H15" s="62" t="s">
        <v>165</v>
      </c>
      <c r="I15" s="63"/>
      <c r="J15" s="63"/>
      <c r="K15" s="64"/>
      <c r="L15" s="101">
        <f>'0. Installation'!B7</f>
        <v>0</v>
      </c>
    </row>
    <row r="16" spans="1:12" ht="15" thickBot="1">
      <c r="A16" s="60" t="s">
        <v>201</v>
      </c>
      <c r="B16" s="61">
        <v>212</v>
      </c>
      <c r="H16" s="66" t="s">
        <v>202</v>
      </c>
      <c r="I16" s="67"/>
      <c r="J16" s="67"/>
      <c r="K16" s="68"/>
      <c r="L16" s="69">
        <f>'0. Installation'!B8</f>
        <v>0</v>
      </c>
    </row>
    <row r="17" spans="1:17" ht="15" thickBot="1">
      <c r="K17" s="52"/>
      <c r="L17" s="52"/>
    </row>
    <row r="18" spans="1:17" ht="45.75" customHeight="1" thickBot="1">
      <c r="A18" s="346" t="s">
        <v>267</v>
      </c>
      <c r="B18" s="347"/>
      <c r="C18" s="347"/>
      <c r="D18" s="347"/>
      <c r="E18" s="347"/>
      <c r="F18" s="347"/>
      <c r="G18" s="347"/>
      <c r="H18" s="347"/>
      <c r="I18" s="347"/>
      <c r="J18" s="347"/>
      <c r="K18" s="347"/>
      <c r="L18" s="347"/>
      <c r="M18" s="347"/>
      <c r="N18" s="347"/>
      <c r="O18" s="347"/>
      <c r="P18" s="347"/>
      <c r="Q18" s="348"/>
    </row>
    <row r="19" spans="1:17" ht="51" customHeight="1" thickBot="1">
      <c r="A19" s="191"/>
      <c r="B19" s="192"/>
      <c r="C19" s="154"/>
      <c r="D19" s="70"/>
      <c r="E19" s="71"/>
      <c r="F19" s="362" t="s">
        <v>284</v>
      </c>
      <c r="G19" s="363"/>
      <c r="H19" s="364" t="s">
        <v>285</v>
      </c>
      <c r="I19" s="365"/>
      <c r="J19" s="365"/>
      <c r="K19" s="365"/>
      <c r="L19" s="366"/>
      <c r="M19" s="349" t="s">
        <v>286</v>
      </c>
      <c r="N19" s="349"/>
      <c r="O19" s="349"/>
      <c r="P19" s="349"/>
      <c r="Q19" s="350"/>
    </row>
    <row r="20" spans="1:17" ht="42.75" customHeight="1" thickBot="1">
      <c r="A20" s="351" t="s">
        <v>203</v>
      </c>
      <c r="B20" s="352"/>
      <c r="C20" s="155"/>
      <c r="D20" s="129" t="s">
        <v>205</v>
      </c>
      <c r="E20" s="130" t="s">
        <v>206</v>
      </c>
      <c r="F20" s="131" t="s">
        <v>207</v>
      </c>
      <c r="G20" s="131" t="s">
        <v>208</v>
      </c>
      <c r="H20" s="132" t="s">
        <v>209</v>
      </c>
      <c r="I20" s="132" t="s">
        <v>210</v>
      </c>
      <c r="J20" s="132" t="s">
        <v>166</v>
      </c>
      <c r="K20" s="133" t="s">
        <v>207</v>
      </c>
      <c r="L20" s="133" t="s">
        <v>208</v>
      </c>
      <c r="M20" s="131" t="s">
        <v>211</v>
      </c>
      <c r="N20" s="131" t="s">
        <v>212</v>
      </c>
      <c r="O20" s="131" t="s">
        <v>213</v>
      </c>
      <c r="P20" s="131" t="s">
        <v>214</v>
      </c>
      <c r="Q20" s="131" t="s">
        <v>266</v>
      </c>
    </row>
    <row r="21" spans="1:17" ht="14.25" customHeight="1">
      <c r="A21" s="367" t="s">
        <v>31</v>
      </c>
      <c r="B21" s="370" t="s">
        <v>260</v>
      </c>
      <c r="C21" s="72" t="s">
        <v>32</v>
      </c>
      <c r="D21" s="73" t="s">
        <v>33</v>
      </c>
      <c r="E21" s="73" t="str">
        <f>C21&amp;D21</f>
        <v>1A_PFA0-500km</v>
      </c>
      <c r="F21" s="74">
        <v>0.91</v>
      </c>
      <c r="G21" s="74">
        <v>0.87</v>
      </c>
      <c r="H21" s="75"/>
      <c r="I21" s="75"/>
      <c r="J21" s="75"/>
      <c r="K21" s="76"/>
      <c r="L21" s="77"/>
      <c r="M21" s="78">
        <v>0</v>
      </c>
      <c r="N21" s="78">
        <v>1.9</v>
      </c>
      <c r="O21" s="78">
        <v>3.6</v>
      </c>
      <c r="P21" s="78">
        <v>0.5</v>
      </c>
      <c r="Q21" s="173"/>
    </row>
    <row r="22" spans="1:17">
      <c r="A22" s="368"/>
      <c r="B22" s="371"/>
      <c r="C22" s="72" t="s">
        <v>32</v>
      </c>
      <c r="D22" s="73" t="s">
        <v>34</v>
      </c>
      <c r="E22" s="73" t="str">
        <f t="shared" ref="E22:E24" si="0">C22&amp;D22</f>
        <v>1A_PFA500-2 500km</v>
      </c>
      <c r="F22" s="74">
        <v>0.87</v>
      </c>
      <c r="G22" s="74">
        <v>0.81</v>
      </c>
      <c r="H22" s="75"/>
      <c r="I22" s="75"/>
      <c r="J22" s="75"/>
      <c r="K22" s="76"/>
      <c r="L22" s="77"/>
      <c r="M22" s="78">
        <v>0</v>
      </c>
      <c r="N22" s="78">
        <v>1.9</v>
      </c>
      <c r="O22" s="78">
        <v>6.2</v>
      </c>
      <c r="P22" s="78">
        <v>0.5</v>
      </c>
      <c r="Q22" s="173"/>
    </row>
    <row r="23" spans="1:17">
      <c r="A23" s="368"/>
      <c r="B23" s="371"/>
      <c r="C23" s="72" t="s">
        <v>32</v>
      </c>
      <c r="D23" s="73" t="s">
        <v>35</v>
      </c>
      <c r="E23" s="73" t="str">
        <f t="shared" si="0"/>
        <v>1A_PFA2 500-10 000km</v>
      </c>
      <c r="F23" s="74">
        <v>0.78</v>
      </c>
      <c r="G23" s="74">
        <v>0.67</v>
      </c>
      <c r="H23" s="75"/>
      <c r="I23" s="75"/>
      <c r="J23" s="75"/>
      <c r="K23" s="76"/>
      <c r="L23" s="77"/>
      <c r="M23" s="78">
        <v>0</v>
      </c>
      <c r="N23" s="78">
        <v>1.9</v>
      </c>
      <c r="O23" s="78">
        <v>12.6</v>
      </c>
      <c r="P23" s="78">
        <v>0.5</v>
      </c>
      <c r="Q23" s="173"/>
    </row>
    <row r="24" spans="1:17" ht="15" thickBot="1">
      <c r="A24" s="369"/>
      <c r="B24" s="372"/>
      <c r="C24" s="134" t="s">
        <v>32</v>
      </c>
      <c r="D24" s="79" t="s">
        <v>36</v>
      </c>
      <c r="E24" s="79" t="str">
        <f t="shared" si="0"/>
        <v>1A_PFAplus de 10 000km</v>
      </c>
      <c r="F24" s="80">
        <v>0.6</v>
      </c>
      <c r="G24" s="80">
        <v>0.41</v>
      </c>
      <c r="H24" s="81"/>
      <c r="I24" s="81"/>
      <c r="J24" s="81"/>
      <c r="K24" s="82"/>
      <c r="L24" s="83"/>
      <c r="M24" s="135">
        <v>0</v>
      </c>
      <c r="N24" s="135">
        <v>1.9</v>
      </c>
      <c r="O24" s="135">
        <v>24.6</v>
      </c>
      <c r="P24" s="135">
        <v>0.5</v>
      </c>
      <c r="Q24" s="174"/>
    </row>
    <row r="25" spans="1:17" ht="15" thickTop="1">
      <c r="A25" s="360" t="s">
        <v>256</v>
      </c>
      <c r="B25" s="84" t="s">
        <v>38</v>
      </c>
      <c r="C25" s="72" t="s">
        <v>39</v>
      </c>
      <c r="D25" s="73" t="s">
        <v>33</v>
      </c>
      <c r="E25" s="73" t="str">
        <f>C25&amp;D25</f>
        <v>1B_PFA0-500km</v>
      </c>
      <c r="F25" s="85"/>
      <c r="G25" s="85"/>
      <c r="H25" s="222">
        <v>6.5</v>
      </c>
      <c r="I25" s="222">
        <f>IF($L$14=0,0,
IF('0. Installation'!$B$2="Cogénération",
H25*$L$15/($L$15+273.15)/($L$13+$L$14*$L$15/($L$15+273.15)),H25/$L$14))</f>
        <v>0</v>
      </c>
      <c r="J25" s="222">
        <f>IF($L$13=0,0,H25/$L$13*$L$13/($L$13+$L$14*$L$15/($L$15+273.15)))</f>
        <v>0</v>
      </c>
      <c r="K25" s="87">
        <f>IF(I25=0,0,(80-I25)/80)</f>
        <v>0</v>
      </c>
      <c r="L25" s="87">
        <f>IF(J25=0,0,IF($L$16="OUI",(212-J25)/212,(183-J25)/183))</f>
        <v>0</v>
      </c>
      <c r="M25" s="230">
        <v>0</v>
      </c>
      <c r="N25" s="230">
        <v>1.6</v>
      </c>
      <c r="O25" s="230">
        <v>4.4000000000000004</v>
      </c>
      <c r="P25" s="230">
        <v>0.5</v>
      </c>
      <c r="Q25" s="173"/>
    </row>
    <row r="26" spans="1:17">
      <c r="A26" s="360"/>
      <c r="B26" s="88"/>
      <c r="C26" s="72" t="s">
        <v>39</v>
      </c>
      <c r="D26" s="73" t="s">
        <v>34</v>
      </c>
      <c r="E26" s="73" t="str">
        <f t="shared" ref="E26:E80" si="1">C26&amp;D26</f>
        <v>1B_PFA500-2 500km</v>
      </c>
      <c r="F26" s="85"/>
      <c r="G26" s="85"/>
      <c r="H26" s="222">
        <v>9.3000000000000007</v>
      </c>
      <c r="I26" s="222">
        <f>IF($L$14=0,0,
IF('0. Installation'!$B$2="Cogénération",
H26*$L$15/($L$15+273.15)/($L$13+$L$14*$L$15/($L$15+273.15)),H26/$L$14))</f>
        <v>0</v>
      </c>
      <c r="J26" s="222">
        <f t="shared" ref="J26:J36" si="2">IF($L$13=0,0,H26/$L$13*$L$13/($L$13+$L$14*$L$15/($L$15+273.15)))</f>
        <v>0</v>
      </c>
      <c r="K26" s="87">
        <f t="shared" ref="K26:K36" si="3">IF(I26=0,0,(80-I26)/80)</f>
        <v>0</v>
      </c>
      <c r="L26" s="87">
        <f t="shared" ref="L26:L36" si="4">IF(J26=0,0,IF($L$16="OUI",(212-J26)/212,(183-J26)/183))</f>
        <v>0</v>
      </c>
      <c r="M26" s="230">
        <v>0</v>
      </c>
      <c r="N26" s="230">
        <v>1.6</v>
      </c>
      <c r="O26" s="230">
        <v>7.2</v>
      </c>
      <c r="P26" s="230">
        <v>0.5</v>
      </c>
      <c r="Q26" s="173"/>
    </row>
    <row r="27" spans="1:17">
      <c r="A27" s="360"/>
      <c r="B27" s="88"/>
      <c r="C27" s="72" t="s">
        <v>39</v>
      </c>
      <c r="D27" s="73" t="s">
        <v>35</v>
      </c>
      <c r="E27" s="73" t="str">
        <f t="shared" si="1"/>
        <v>1B_PFA2 500-10 000km</v>
      </c>
      <c r="F27" s="85"/>
      <c r="G27" s="85"/>
      <c r="H27" s="222">
        <v>16.399999999999999</v>
      </c>
      <c r="I27" s="222">
        <f>IF($L$14=0,0,
IF('0. Installation'!$B$2="Cogénération",
H27*$L$15/($L$15+273.15)/($L$13+$L$14*$L$15/($L$15+273.15)),H27/$L$14))</f>
        <v>0</v>
      </c>
      <c r="J27" s="222">
        <f t="shared" si="2"/>
        <v>0</v>
      </c>
      <c r="K27" s="87">
        <f t="shared" si="3"/>
        <v>0</v>
      </c>
      <c r="L27" s="87">
        <f t="shared" si="4"/>
        <v>0</v>
      </c>
      <c r="M27" s="230">
        <v>0</v>
      </c>
      <c r="N27" s="230">
        <v>1.6</v>
      </c>
      <c r="O27" s="230">
        <v>14.3</v>
      </c>
      <c r="P27" s="230">
        <v>0.5</v>
      </c>
      <c r="Q27" s="173"/>
    </row>
    <row r="28" spans="1:17" ht="15" thickBot="1">
      <c r="A28" s="360"/>
      <c r="B28" s="89"/>
      <c r="C28" s="134" t="s">
        <v>39</v>
      </c>
      <c r="D28" s="79" t="s">
        <v>36</v>
      </c>
      <c r="E28" s="79" t="str">
        <f t="shared" si="1"/>
        <v>1B_PFAplus de 10 000km</v>
      </c>
      <c r="F28" s="90"/>
      <c r="G28" s="90"/>
      <c r="H28" s="223">
        <v>29.8</v>
      </c>
      <c r="I28" s="223">
        <f>IF($L$14=0,0,
IF('0. Installation'!$B$2="Cogénération",
H28*$L$15/($L$15+273.15)/($L$13+$L$14*$L$15/($L$15+273.15)),H28/$L$14))</f>
        <v>0</v>
      </c>
      <c r="J28" s="223">
        <f t="shared" si="2"/>
        <v>0</v>
      </c>
      <c r="K28" s="138">
        <f t="shared" ref="K28:K32" si="5">IF(I28=0,0,(80-I28)/80)</f>
        <v>0</v>
      </c>
      <c r="L28" s="138">
        <f t="shared" ref="L28:L32" si="6">IF(J28=0,0,IF($L$16="OUI",(212-J28)/212,(183-J28)/183))</f>
        <v>0</v>
      </c>
      <c r="M28" s="231">
        <v>0</v>
      </c>
      <c r="N28" s="231">
        <v>1.6</v>
      </c>
      <c r="O28" s="231">
        <v>27.7</v>
      </c>
      <c r="P28" s="231">
        <v>0.5</v>
      </c>
      <c r="Q28" s="174"/>
    </row>
    <row r="29" spans="1:17" ht="15" thickTop="1">
      <c r="A29" s="360"/>
      <c r="B29" s="279" t="s">
        <v>344</v>
      </c>
      <c r="C29" s="280" t="s">
        <v>345</v>
      </c>
      <c r="D29" s="281" t="s">
        <v>33</v>
      </c>
      <c r="E29" s="281" t="str">
        <f>C29&amp;D29</f>
        <v>1B_PFA(V)0-500km</v>
      </c>
      <c r="F29" s="85"/>
      <c r="G29" s="85"/>
      <c r="H29" s="222">
        <f>SUM(M29:P29)</f>
        <v>5.5</v>
      </c>
      <c r="I29" s="224">
        <f>IF($L$14=0,0,
IF('0. Installation'!$B$2="Cogénération",
H29*$L$15/($L$15+273.15)/($L$13+$L$14*$L$15/($L$15+273.15)),H29/$L$14))</f>
        <v>0</v>
      </c>
      <c r="J29" s="224">
        <f>IF($L$13=0,0,H29/$L$13*$L$13/($L$13+$L$14*$L$15/($L$15+273.15)))</f>
        <v>0</v>
      </c>
      <c r="K29" s="137">
        <f t="shared" si="5"/>
        <v>0</v>
      </c>
      <c r="L29" s="137">
        <f t="shared" si="6"/>
        <v>0</v>
      </c>
      <c r="M29" s="278">
        <v>0</v>
      </c>
      <c r="N29" s="278">
        <v>0.6</v>
      </c>
      <c r="O29" s="278">
        <v>4.4000000000000004</v>
      </c>
      <c r="P29" s="278">
        <v>0.5</v>
      </c>
      <c r="Q29" s="177"/>
    </row>
    <row r="30" spans="1:17">
      <c r="A30" s="360"/>
      <c r="B30" s="282"/>
      <c r="C30" s="280" t="s">
        <v>345</v>
      </c>
      <c r="D30" s="281" t="s">
        <v>34</v>
      </c>
      <c r="E30" s="281" t="str">
        <f t="shared" ref="E30:E32" si="7">C30&amp;D30</f>
        <v>1B_PFA(V)500-2 500km</v>
      </c>
      <c r="F30" s="85"/>
      <c r="G30" s="85"/>
      <c r="H30" s="222">
        <f t="shared" ref="H30:H32" si="8">SUM(M30:P30)</f>
        <v>8.3000000000000007</v>
      </c>
      <c r="I30" s="222">
        <f>IF($L$14=0,0,
IF('0. Installation'!$B$2="Cogénération",
H30*$L$15/($L$15+273.15)/($L$13+$L$14*$L$15/($L$15+273.15)),H30/$L$14))</f>
        <v>0</v>
      </c>
      <c r="J30" s="222">
        <f t="shared" si="2"/>
        <v>0</v>
      </c>
      <c r="K30" s="87">
        <f t="shared" si="5"/>
        <v>0</v>
      </c>
      <c r="L30" s="87">
        <f t="shared" si="6"/>
        <v>0</v>
      </c>
      <c r="M30" s="278">
        <v>0</v>
      </c>
      <c r="N30" s="278">
        <v>0.6</v>
      </c>
      <c r="O30" s="278">
        <v>7.2</v>
      </c>
      <c r="P30" s="278">
        <v>0.5</v>
      </c>
      <c r="Q30" s="177"/>
    </row>
    <row r="31" spans="1:17">
      <c r="A31" s="360"/>
      <c r="B31" s="282"/>
      <c r="C31" s="280" t="s">
        <v>345</v>
      </c>
      <c r="D31" s="281" t="s">
        <v>35</v>
      </c>
      <c r="E31" s="281" t="str">
        <f t="shared" si="7"/>
        <v>1B_PFA(V)2 500-10 000km</v>
      </c>
      <c r="F31" s="85"/>
      <c r="G31" s="85"/>
      <c r="H31" s="222">
        <f t="shared" si="8"/>
        <v>15.4</v>
      </c>
      <c r="I31" s="222">
        <f>IF($L$14=0,0,
IF('0. Installation'!$B$2="Cogénération",
H31*$L$15/($L$15+273.15)/($L$13+$L$14*$L$15/($L$15+273.15)),H31/$L$14))</f>
        <v>0</v>
      </c>
      <c r="J31" s="222">
        <f t="shared" si="2"/>
        <v>0</v>
      </c>
      <c r="K31" s="87">
        <f t="shared" si="5"/>
        <v>0</v>
      </c>
      <c r="L31" s="87">
        <f t="shared" si="6"/>
        <v>0</v>
      </c>
      <c r="M31" s="278">
        <v>0</v>
      </c>
      <c r="N31" s="278">
        <v>0.6</v>
      </c>
      <c r="O31" s="278">
        <v>14.3</v>
      </c>
      <c r="P31" s="278">
        <v>0.5</v>
      </c>
      <c r="Q31" s="177"/>
    </row>
    <row r="32" spans="1:17" ht="15" thickBot="1">
      <c r="A32" s="360"/>
      <c r="B32" s="282"/>
      <c r="C32" s="280" t="s">
        <v>345</v>
      </c>
      <c r="D32" s="283" t="s">
        <v>36</v>
      </c>
      <c r="E32" s="283" t="str">
        <f t="shared" si="7"/>
        <v>1B_PFA(V)plus de 10 000km</v>
      </c>
      <c r="F32" s="90"/>
      <c r="G32" s="90"/>
      <c r="H32" s="223">
        <f t="shared" si="8"/>
        <v>28.8</v>
      </c>
      <c r="I32" s="223">
        <f>IF($L$14=0,0,
IF('0. Installation'!$B$2="Cogénération",
H32*$L$15/($L$15+273.15)/($L$13+$L$14*$L$15/($L$15+273.15)),H32/$L$14))</f>
        <v>0</v>
      </c>
      <c r="J32" s="223">
        <f t="shared" si="2"/>
        <v>0</v>
      </c>
      <c r="K32" s="138">
        <f t="shared" si="5"/>
        <v>0</v>
      </c>
      <c r="L32" s="138">
        <f t="shared" si="6"/>
        <v>0</v>
      </c>
      <c r="M32" s="231">
        <v>0</v>
      </c>
      <c r="N32" s="231">
        <v>0.6</v>
      </c>
      <c r="O32" s="231">
        <v>27.7</v>
      </c>
      <c r="P32" s="231">
        <v>0.5</v>
      </c>
      <c r="Q32" s="174"/>
    </row>
    <row r="33" spans="1:17" ht="15" thickTop="1">
      <c r="A33" s="360"/>
      <c r="B33" s="91" t="s">
        <v>287</v>
      </c>
      <c r="C33" s="72" t="s">
        <v>40</v>
      </c>
      <c r="D33" s="73" t="s">
        <v>33</v>
      </c>
      <c r="E33" s="73" t="str">
        <f t="shared" si="1"/>
        <v>1C_PFA0-500km</v>
      </c>
      <c r="F33" s="85"/>
      <c r="G33" s="85"/>
      <c r="H33" s="224">
        <v>5.3</v>
      </c>
      <c r="I33" s="224">
        <f>IF($L$14=0,0,
IF('0. Installation'!$B$2="Cogénération",
H33*$L$15/($L$15+273.15)/($L$13+$L$14*$L$15/($L$15+273.15)),H33/$L$14))</f>
        <v>0</v>
      </c>
      <c r="J33" s="224">
        <f t="shared" si="2"/>
        <v>0</v>
      </c>
      <c r="K33" s="137">
        <f t="shared" si="3"/>
        <v>0</v>
      </c>
      <c r="L33" s="137">
        <f t="shared" si="4"/>
        <v>0</v>
      </c>
      <c r="M33" s="230">
        <v>0</v>
      </c>
      <c r="N33" s="230">
        <v>0.4</v>
      </c>
      <c r="O33" s="230">
        <v>4.4000000000000004</v>
      </c>
      <c r="P33" s="230">
        <v>0.5</v>
      </c>
      <c r="Q33" s="173"/>
    </row>
    <row r="34" spans="1:17">
      <c r="A34" s="360"/>
      <c r="B34" s="93"/>
      <c r="C34" s="72" t="s">
        <v>40</v>
      </c>
      <c r="D34" s="73" t="s">
        <v>34</v>
      </c>
      <c r="E34" s="73" t="str">
        <f t="shared" si="1"/>
        <v>1C_PFA500-2 500km</v>
      </c>
      <c r="F34" s="85"/>
      <c r="G34" s="85"/>
      <c r="H34" s="222">
        <v>8.1</v>
      </c>
      <c r="I34" s="222">
        <f>IF($L$14=0,0,
IF('0. Installation'!$B$2="Cogénération",
H34*$L$15/($L$15+273.15)/($L$13+$L$14*$L$15/($L$15+273.15)),H34/$L$14))</f>
        <v>0</v>
      </c>
      <c r="J34" s="222">
        <f t="shared" si="2"/>
        <v>0</v>
      </c>
      <c r="K34" s="87">
        <f t="shared" si="3"/>
        <v>0</v>
      </c>
      <c r="L34" s="87">
        <f t="shared" si="4"/>
        <v>0</v>
      </c>
      <c r="M34" s="230">
        <v>0</v>
      </c>
      <c r="N34" s="230">
        <v>0.4</v>
      </c>
      <c r="O34" s="230">
        <v>7.2</v>
      </c>
      <c r="P34" s="230">
        <v>0.5</v>
      </c>
      <c r="Q34" s="173"/>
    </row>
    <row r="35" spans="1:17">
      <c r="A35" s="360"/>
      <c r="B35" s="93"/>
      <c r="C35" s="72" t="s">
        <v>40</v>
      </c>
      <c r="D35" s="73" t="s">
        <v>35</v>
      </c>
      <c r="E35" s="73" t="str">
        <f t="shared" si="1"/>
        <v>1C_PFA2 500-10 000km</v>
      </c>
      <c r="F35" s="85"/>
      <c r="G35" s="85"/>
      <c r="H35" s="222">
        <v>15.3</v>
      </c>
      <c r="I35" s="222">
        <f>IF($L$14=0,0,
IF('0. Installation'!$B$2="Cogénération",
H35*$L$15/($L$15+273.15)/($L$13+$L$14*$L$15/($L$15+273.15)),H35/$L$14))</f>
        <v>0</v>
      </c>
      <c r="J35" s="222">
        <f t="shared" si="2"/>
        <v>0</v>
      </c>
      <c r="K35" s="87">
        <f t="shared" si="3"/>
        <v>0</v>
      </c>
      <c r="L35" s="87">
        <f t="shared" si="4"/>
        <v>0</v>
      </c>
      <c r="M35" s="230">
        <v>0</v>
      </c>
      <c r="N35" s="230">
        <v>0.4</v>
      </c>
      <c r="O35" s="230">
        <v>14.4</v>
      </c>
      <c r="P35" s="230">
        <v>0.5</v>
      </c>
      <c r="Q35" s="173"/>
    </row>
    <row r="36" spans="1:17" ht="15" thickBot="1">
      <c r="A36" s="361"/>
      <c r="B36" s="94"/>
      <c r="C36" s="134" t="s">
        <v>40</v>
      </c>
      <c r="D36" s="79" t="s">
        <v>36</v>
      </c>
      <c r="E36" s="79" t="str">
        <f t="shared" si="1"/>
        <v>1C_PFAplus de 10 000km</v>
      </c>
      <c r="F36" s="90"/>
      <c r="G36" s="90"/>
      <c r="H36" s="223">
        <v>28.6</v>
      </c>
      <c r="I36" s="222">
        <f>IF($L$14=0,0,
IF('0. Installation'!$B$2="Cogénération",
H36*$L$15/($L$15+273.15)/($L$13+$L$14*$L$15/($L$15+273.15)),H36/$L$14))</f>
        <v>0</v>
      </c>
      <c r="J36" s="223">
        <f t="shared" si="2"/>
        <v>0</v>
      </c>
      <c r="K36" s="138">
        <f t="shared" si="3"/>
        <v>0</v>
      </c>
      <c r="L36" s="138">
        <f t="shared" si="4"/>
        <v>0</v>
      </c>
      <c r="M36" s="231">
        <v>0</v>
      </c>
      <c r="N36" s="231">
        <v>0.4</v>
      </c>
      <c r="O36" s="231">
        <v>27.7</v>
      </c>
      <c r="P36" s="231">
        <v>0.5</v>
      </c>
      <c r="Q36" s="174"/>
    </row>
    <row r="37" spans="1:17" ht="15" thickTop="1">
      <c r="A37" s="360" t="s">
        <v>239</v>
      </c>
      <c r="B37" s="88" t="s">
        <v>42</v>
      </c>
      <c r="C37" s="72" t="s">
        <v>43</v>
      </c>
      <c r="D37" s="73" t="s">
        <v>33</v>
      </c>
      <c r="E37" s="73" t="str">
        <f t="shared" si="1"/>
        <v>2A-CIB0-500km</v>
      </c>
      <c r="F37" s="74">
        <v>0.93</v>
      </c>
      <c r="G37" s="74">
        <v>0.9</v>
      </c>
      <c r="H37" s="75"/>
      <c r="I37" s="75"/>
      <c r="J37" s="75"/>
      <c r="K37" s="76"/>
      <c r="L37" s="95"/>
      <c r="M37" s="78">
        <v>0</v>
      </c>
      <c r="N37" s="78">
        <v>0.4</v>
      </c>
      <c r="O37" s="78">
        <v>3.6</v>
      </c>
      <c r="P37" s="78">
        <v>0.5</v>
      </c>
      <c r="Q37" s="173"/>
    </row>
    <row r="38" spans="1:17">
      <c r="A38" s="360"/>
      <c r="B38" s="88"/>
      <c r="C38" s="72" t="s">
        <v>43</v>
      </c>
      <c r="D38" s="73" t="s">
        <v>34</v>
      </c>
      <c r="E38" s="73" t="str">
        <f t="shared" si="1"/>
        <v>2A-CIB500-2 500km</v>
      </c>
      <c r="F38" s="74">
        <v>0.9</v>
      </c>
      <c r="G38" s="74">
        <v>0.85</v>
      </c>
      <c r="H38" s="75"/>
      <c r="I38" s="75"/>
      <c r="J38" s="75"/>
      <c r="K38" s="76"/>
      <c r="L38" s="95"/>
      <c r="M38" s="78">
        <v>0</v>
      </c>
      <c r="N38" s="78">
        <v>0.4</v>
      </c>
      <c r="O38" s="78">
        <v>6.2</v>
      </c>
      <c r="P38" s="78">
        <v>0.5</v>
      </c>
      <c r="Q38" s="173"/>
    </row>
    <row r="39" spans="1:17">
      <c r="A39" s="360"/>
      <c r="B39" s="88"/>
      <c r="C39" s="72" t="s">
        <v>43</v>
      </c>
      <c r="D39" s="73" t="s">
        <v>35</v>
      </c>
      <c r="E39" s="73" t="str">
        <f t="shared" si="1"/>
        <v>2A-CIB2 500-10 000km</v>
      </c>
      <c r="F39" s="74">
        <v>0.8</v>
      </c>
      <c r="G39" s="74">
        <v>0.71</v>
      </c>
      <c r="H39" s="75"/>
      <c r="I39" s="75"/>
      <c r="J39" s="75"/>
      <c r="K39" s="76"/>
      <c r="L39" s="95"/>
      <c r="M39" s="78">
        <v>0</v>
      </c>
      <c r="N39" s="78">
        <v>0.4</v>
      </c>
      <c r="O39" s="78">
        <v>12.6</v>
      </c>
      <c r="P39" s="78">
        <v>0.5</v>
      </c>
      <c r="Q39" s="173"/>
    </row>
    <row r="40" spans="1:17" ht="15" thickBot="1">
      <c r="A40" s="360"/>
      <c r="B40" s="89"/>
      <c r="C40" s="134" t="s">
        <v>43</v>
      </c>
      <c r="D40" s="79" t="s">
        <v>36</v>
      </c>
      <c r="E40" s="79" t="str">
        <f t="shared" si="1"/>
        <v>2A-CIBplus de 10 000km</v>
      </c>
      <c r="F40" s="80">
        <v>0.63</v>
      </c>
      <c r="G40" s="80">
        <v>0.44</v>
      </c>
      <c r="H40" s="81"/>
      <c r="I40" s="81"/>
      <c r="J40" s="81"/>
      <c r="K40" s="82"/>
      <c r="L40" s="96"/>
      <c r="M40" s="135">
        <v>0</v>
      </c>
      <c r="N40" s="135">
        <v>0.4</v>
      </c>
      <c r="O40" s="135">
        <v>24.6</v>
      </c>
      <c r="P40" s="135">
        <v>0.5</v>
      </c>
      <c r="Q40" s="174"/>
    </row>
    <row r="41" spans="1:17" ht="15" thickTop="1">
      <c r="A41" s="360"/>
      <c r="B41" s="93" t="s">
        <v>44</v>
      </c>
      <c r="C41" s="72" t="s">
        <v>45</v>
      </c>
      <c r="D41" s="73" t="s">
        <v>33</v>
      </c>
      <c r="E41" s="73" t="str">
        <f t="shared" si="1"/>
        <v>2B-CIB0-500km</v>
      </c>
      <c r="F41" s="74">
        <v>0.93</v>
      </c>
      <c r="G41" s="74">
        <v>0.9</v>
      </c>
      <c r="H41" s="75"/>
      <c r="I41" s="75"/>
      <c r="J41" s="75"/>
      <c r="K41" s="76"/>
      <c r="L41" s="95"/>
      <c r="M41" s="78">
        <v>0</v>
      </c>
      <c r="N41" s="78">
        <v>0.4</v>
      </c>
      <c r="O41" s="78">
        <v>3.6</v>
      </c>
      <c r="P41" s="78">
        <v>0.5</v>
      </c>
      <c r="Q41" s="173"/>
    </row>
    <row r="42" spans="1:17">
      <c r="A42" s="360"/>
      <c r="B42" s="93"/>
      <c r="C42" s="72" t="s">
        <v>45</v>
      </c>
      <c r="D42" s="73" t="s">
        <v>34</v>
      </c>
      <c r="E42" s="73" t="str">
        <f t="shared" si="1"/>
        <v>2B-CIB500-2 500km</v>
      </c>
      <c r="F42" s="74">
        <v>0.9</v>
      </c>
      <c r="G42" s="74">
        <v>0.85</v>
      </c>
      <c r="H42" s="75"/>
      <c r="I42" s="75"/>
      <c r="J42" s="75"/>
      <c r="K42" s="76"/>
      <c r="L42" s="95"/>
      <c r="M42" s="78">
        <v>0</v>
      </c>
      <c r="N42" s="78">
        <v>0.4</v>
      </c>
      <c r="O42" s="78">
        <v>6.2</v>
      </c>
      <c r="P42" s="78">
        <v>0.5</v>
      </c>
      <c r="Q42" s="173"/>
    </row>
    <row r="43" spans="1:17">
      <c r="A43" s="360"/>
      <c r="B43" s="93"/>
      <c r="C43" s="72" t="s">
        <v>45</v>
      </c>
      <c r="D43" s="73" t="s">
        <v>35</v>
      </c>
      <c r="E43" s="73" t="str">
        <f t="shared" si="1"/>
        <v>2B-CIB2 500-10 000km</v>
      </c>
      <c r="F43" s="74">
        <v>0.8</v>
      </c>
      <c r="G43" s="74">
        <v>0.71</v>
      </c>
      <c r="H43" s="75"/>
      <c r="I43" s="75"/>
      <c r="J43" s="75"/>
      <c r="K43" s="76"/>
      <c r="L43" s="95"/>
      <c r="M43" s="78">
        <v>0</v>
      </c>
      <c r="N43" s="78">
        <v>0.4</v>
      </c>
      <c r="O43" s="78">
        <v>12.6</v>
      </c>
      <c r="P43" s="78">
        <v>0.5</v>
      </c>
      <c r="Q43" s="173"/>
    </row>
    <row r="44" spans="1:17" ht="15" thickBot="1">
      <c r="A44" s="361"/>
      <c r="B44" s="94"/>
      <c r="C44" s="139" t="s">
        <v>45</v>
      </c>
      <c r="D44" s="79" t="s">
        <v>36</v>
      </c>
      <c r="E44" s="79" t="str">
        <f t="shared" si="1"/>
        <v>2B-CIBplus de 10 000km</v>
      </c>
      <c r="F44" s="80">
        <v>0.63</v>
      </c>
      <c r="G44" s="80">
        <v>0.44</v>
      </c>
      <c r="H44" s="81"/>
      <c r="I44" s="81"/>
      <c r="J44" s="81"/>
      <c r="K44" s="82"/>
      <c r="L44" s="96"/>
      <c r="M44" s="135">
        <v>0</v>
      </c>
      <c r="N44" s="135">
        <v>0.4</v>
      </c>
      <c r="O44" s="135">
        <v>24.6</v>
      </c>
      <c r="P44" s="135">
        <v>0.5</v>
      </c>
      <c r="Q44" s="174"/>
    </row>
    <row r="45" spans="1:17" ht="15" thickTop="1">
      <c r="A45" s="368" t="s">
        <v>240</v>
      </c>
      <c r="B45" s="84" t="s">
        <v>215</v>
      </c>
      <c r="C45" s="72" t="s">
        <v>48</v>
      </c>
      <c r="D45" s="73" t="s">
        <v>33</v>
      </c>
      <c r="E45" s="73" t="str">
        <f t="shared" si="1"/>
        <v>3A_BFVBD0-500km</v>
      </c>
      <c r="F45" s="85"/>
      <c r="G45" s="97"/>
      <c r="H45" s="222">
        <v>4.8</v>
      </c>
      <c r="I45" s="222">
        <f>IF($L$14=0,0,
IF('0. Installation'!$B$2="Cogénération",
H45*$L$15/($L$15+273.15)/($L$13+$L$14*$L$15/($L$15+273.15)),H45/$L$14))</f>
        <v>0</v>
      </c>
      <c r="J45" s="222">
        <f t="shared" ref="J45:J56" si="9">IF($L$13=0,0,H45/$L$13*$L$13/($L$13+$L$14*$L$15/($L$15+273.15)))</f>
        <v>0</v>
      </c>
      <c r="K45" s="87">
        <f>IF(I45=0,0,(80-I45)/80)</f>
        <v>0</v>
      </c>
      <c r="L45" s="87">
        <f t="shared" ref="L45:L56" si="10">IF(J45=0,0,IF($L$16="OUI",(212-J45)/212,(183-J45)/183))</f>
        <v>0</v>
      </c>
      <c r="M45" s="225">
        <v>0</v>
      </c>
      <c r="N45" s="225">
        <v>0.8</v>
      </c>
      <c r="O45" s="225">
        <v>3.5</v>
      </c>
      <c r="P45" s="225">
        <v>0.5</v>
      </c>
      <c r="Q45" s="173"/>
    </row>
    <row r="46" spans="1:17">
      <c r="A46" s="368"/>
      <c r="B46" s="88"/>
      <c r="C46" s="72" t="s">
        <v>48</v>
      </c>
      <c r="D46" s="73" t="s">
        <v>34</v>
      </c>
      <c r="E46" s="73" t="str">
        <f t="shared" si="1"/>
        <v>3A_BFVBD500-2 500km</v>
      </c>
      <c r="F46" s="85"/>
      <c r="G46" s="97"/>
      <c r="H46" s="222">
        <v>7.1</v>
      </c>
      <c r="I46" s="222">
        <f>IF($L$14=0,0,
IF('0. Installation'!$B$2="Cogénération",
H46*$L$15/($L$15+273.15)/($L$13+$L$14*$L$15/($L$15+273.15)),H46/$L$14))</f>
        <v>0</v>
      </c>
      <c r="J46" s="222">
        <f t="shared" si="9"/>
        <v>0</v>
      </c>
      <c r="K46" s="87">
        <f t="shared" ref="K46:K56" si="11">IF(I46=0,0,(80-I46)/80)</f>
        <v>0</v>
      </c>
      <c r="L46" s="87">
        <f t="shared" si="10"/>
        <v>0</v>
      </c>
      <c r="M46" s="225">
        <v>0</v>
      </c>
      <c r="N46" s="225">
        <v>0.8</v>
      </c>
      <c r="O46" s="225">
        <v>5.7</v>
      </c>
      <c r="P46" s="225">
        <v>0.5</v>
      </c>
      <c r="Q46" s="173"/>
    </row>
    <row r="47" spans="1:17">
      <c r="A47" s="368"/>
      <c r="B47" s="88"/>
      <c r="C47" s="72" t="s">
        <v>48</v>
      </c>
      <c r="D47" s="73" t="s">
        <v>35</v>
      </c>
      <c r="E47" s="73" t="str">
        <f t="shared" si="1"/>
        <v>3A_BFVBD2 500-10 000km</v>
      </c>
      <c r="F47" s="85"/>
      <c r="G47" s="97"/>
      <c r="H47" s="222">
        <v>12.7</v>
      </c>
      <c r="I47" s="222">
        <f>IF($L$14=0,0,
IF('0. Installation'!$B$2="Cogénération",
H47*$L$15/($L$15+273.15)/($L$13+$L$14*$L$15/($L$15+273.15)),H47/$L$14))</f>
        <v>0</v>
      </c>
      <c r="J47" s="222">
        <f t="shared" si="9"/>
        <v>0</v>
      </c>
      <c r="K47" s="87">
        <f t="shared" si="11"/>
        <v>0</v>
      </c>
      <c r="L47" s="87">
        <f t="shared" si="10"/>
        <v>0</v>
      </c>
      <c r="M47" s="225">
        <v>0</v>
      </c>
      <c r="N47" s="225">
        <v>0.8</v>
      </c>
      <c r="O47" s="225">
        <v>11.4</v>
      </c>
      <c r="P47" s="225">
        <v>0.5</v>
      </c>
      <c r="Q47" s="173"/>
    </row>
    <row r="48" spans="1:17" ht="15" thickBot="1">
      <c r="A48" s="368"/>
      <c r="B48" s="89"/>
      <c r="C48" s="72" t="s">
        <v>48</v>
      </c>
      <c r="D48" s="79" t="s">
        <v>36</v>
      </c>
      <c r="E48" s="79" t="str">
        <f t="shared" si="1"/>
        <v>3A_BFVBDplus de 10 000km</v>
      </c>
      <c r="F48" s="90"/>
      <c r="G48" s="98"/>
      <c r="H48" s="223">
        <v>23.2</v>
      </c>
      <c r="I48" s="222">
        <f>IF($L$14=0,0,
IF('0. Installation'!$B$2="Cogénération",
H48*$L$15/($L$15+273.15)/($L$13+$L$14*$L$15/($L$15+273.15)),H48/$L$14))</f>
        <v>0</v>
      </c>
      <c r="J48" s="223">
        <f t="shared" si="9"/>
        <v>0</v>
      </c>
      <c r="K48" s="138">
        <f t="shared" si="11"/>
        <v>0</v>
      </c>
      <c r="L48" s="138">
        <f t="shared" si="10"/>
        <v>0</v>
      </c>
      <c r="M48" s="226">
        <v>0</v>
      </c>
      <c r="N48" s="226">
        <v>0.8</v>
      </c>
      <c r="O48" s="226">
        <v>21.9</v>
      </c>
      <c r="P48" s="226">
        <v>0.5</v>
      </c>
      <c r="Q48" s="174"/>
    </row>
    <row r="49" spans="1:17" ht="43.8" thickTop="1">
      <c r="A49" s="368"/>
      <c r="B49" s="93" t="s">
        <v>216</v>
      </c>
      <c r="C49" s="140" t="s">
        <v>49</v>
      </c>
      <c r="D49" s="92" t="s">
        <v>33</v>
      </c>
      <c r="E49" s="73" t="str">
        <f t="shared" si="1"/>
        <v>3B_BFVBD0-500km</v>
      </c>
      <c r="F49" s="85"/>
      <c r="G49" s="97"/>
      <c r="H49" s="224">
        <v>5.2</v>
      </c>
      <c r="I49" s="222">
        <f>IF($L$14=0,0,
IF('0. Installation'!$B$2="Cogénération",
H49*$L$15/($L$15+273.15)/($L$13+$L$14*$L$15/($L$15+273.15)),H49/$L$14))</f>
        <v>0</v>
      </c>
      <c r="J49" s="224">
        <f t="shared" si="9"/>
        <v>0</v>
      </c>
      <c r="K49" s="137">
        <f t="shared" si="11"/>
        <v>0</v>
      </c>
      <c r="L49" s="137">
        <f t="shared" si="10"/>
        <v>0</v>
      </c>
      <c r="M49" s="225">
        <v>0</v>
      </c>
      <c r="N49" s="225">
        <v>0.8</v>
      </c>
      <c r="O49" s="225">
        <v>3.8</v>
      </c>
      <c r="P49" s="225">
        <v>0.5</v>
      </c>
      <c r="Q49" s="173"/>
    </row>
    <row r="50" spans="1:17">
      <c r="A50" s="368"/>
      <c r="B50" s="93"/>
      <c r="C50" s="72" t="s">
        <v>49</v>
      </c>
      <c r="D50" s="73" t="s">
        <v>34</v>
      </c>
      <c r="E50" s="73" t="str">
        <f t="shared" si="1"/>
        <v>3B_BFVBD500-2 500km</v>
      </c>
      <c r="F50" s="85"/>
      <c r="G50" s="97"/>
      <c r="H50" s="222">
        <v>7.4</v>
      </c>
      <c r="I50" s="222">
        <f>IF($L$14=0,0,
IF('0. Installation'!$B$2="Cogénération",
H50*$L$15/($L$15+273.15)/($L$13+$L$14*$L$15/($L$15+273.15)),H50/$L$14))</f>
        <v>0</v>
      </c>
      <c r="J50" s="222">
        <f t="shared" si="9"/>
        <v>0</v>
      </c>
      <c r="K50" s="87">
        <f t="shared" si="11"/>
        <v>0</v>
      </c>
      <c r="L50" s="87">
        <f t="shared" si="10"/>
        <v>0</v>
      </c>
      <c r="M50" s="225">
        <v>0</v>
      </c>
      <c r="N50" s="225">
        <v>0.8</v>
      </c>
      <c r="O50" s="225">
        <v>6.1</v>
      </c>
      <c r="P50" s="225">
        <v>0.5</v>
      </c>
      <c r="Q50" s="173"/>
    </row>
    <row r="51" spans="1:17">
      <c r="A51" s="368"/>
      <c r="B51" s="93"/>
      <c r="C51" s="72" t="s">
        <v>49</v>
      </c>
      <c r="D51" s="73" t="s">
        <v>35</v>
      </c>
      <c r="E51" s="73" t="str">
        <f t="shared" si="1"/>
        <v>3B_BFVBD2 500-10 000km</v>
      </c>
      <c r="F51" s="85"/>
      <c r="G51" s="97"/>
      <c r="H51" s="222">
        <v>13</v>
      </c>
      <c r="I51" s="222">
        <f>IF($L$14=0,0,
IF('0. Installation'!$B$2="Cogénération",
H51*$L$15/($L$15+273.15)/($L$13+$L$14*$L$15/($L$15+273.15)),H51/$L$14))</f>
        <v>0</v>
      </c>
      <c r="J51" s="222">
        <f t="shared" si="9"/>
        <v>0</v>
      </c>
      <c r="K51" s="87">
        <f t="shared" si="11"/>
        <v>0</v>
      </c>
      <c r="L51" s="87">
        <f t="shared" si="10"/>
        <v>0</v>
      </c>
      <c r="M51" s="225">
        <v>0</v>
      </c>
      <c r="N51" s="225">
        <v>0.8</v>
      </c>
      <c r="O51" s="225">
        <v>11.7</v>
      </c>
      <c r="P51" s="225">
        <v>0.5</v>
      </c>
      <c r="Q51" s="173"/>
    </row>
    <row r="52" spans="1:17" ht="15" thickBot="1">
      <c r="A52" s="368"/>
      <c r="B52" s="94"/>
      <c r="C52" s="139" t="s">
        <v>49</v>
      </c>
      <c r="D52" s="79" t="s">
        <v>36</v>
      </c>
      <c r="E52" s="79" t="str">
        <f t="shared" si="1"/>
        <v>3B_BFVBDplus de 10 000km</v>
      </c>
      <c r="F52" s="90"/>
      <c r="G52" s="98"/>
      <c r="H52" s="223">
        <v>23.5</v>
      </c>
      <c r="I52" s="222">
        <f>IF($L$14=0,0,
IF('0. Installation'!$B$2="Cogénération",
H52*$L$15/($L$15+273.15)/($L$13+$L$14*$L$15/($L$15+273.15)),H52/$L$14))</f>
        <v>0</v>
      </c>
      <c r="J52" s="223">
        <f t="shared" si="9"/>
        <v>0</v>
      </c>
      <c r="K52" s="138">
        <f t="shared" si="11"/>
        <v>0</v>
      </c>
      <c r="L52" s="138">
        <f t="shared" si="10"/>
        <v>0</v>
      </c>
      <c r="M52" s="226">
        <v>0</v>
      </c>
      <c r="N52" s="226">
        <v>0.8</v>
      </c>
      <c r="O52" s="226">
        <v>22.2</v>
      </c>
      <c r="P52" s="226">
        <v>0.5</v>
      </c>
      <c r="Q52" s="174"/>
    </row>
    <row r="53" spans="1:17" ht="43.8" thickTop="1">
      <c r="A53" s="368"/>
      <c r="B53" s="93" t="s">
        <v>217</v>
      </c>
      <c r="C53" s="72" t="s">
        <v>50</v>
      </c>
      <c r="D53" s="92" t="s">
        <v>33</v>
      </c>
      <c r="E53" s="73" t="str">
        <f t="shared" si="1"/>
        <v>3C_BFVBD0-500km</v>
      </c>
      <c r="F53" s="85"/>
      <c r="G53" s="97"/>
      <c r="H53" s="224">
        <v>5.2</v>
      </c>
      <c r="I53" s="222">
        <f>IF($L$14=0,0,
IF('0. Installation'!$B$2="Cogénération",
H53*$L$15/($L$15+273.15)/($L$13+$L$14*$L$15/($L$15+273.15)),H53/$L$14))</f>
        <v>0</v>
      </c>
      <c r="J53" s="224">
        <f t="shared" si="9"/>
        <v>0</v>
      </c>
      <c r="K53" s="137">
        <f t="shared" si="11"/>
        <v>0</v>
      </c>
      <c r="L53" s="137">
        <f t="shared" si="10"/>
        <v>0</v>
      </c>
      <c r="M53" s="225">
        <v>0</v>
      </c>
      <c r="N53" s="225">
        <v>0.8</v>
      </c>
      <c r="O53" s="225">
        <v>3.8</v>
      </c>
      <c r="P53" s="225">
        <v>0.5</v>
      </c>
      <c r="Q53" s="173"/>
    </row>
    <row r="54" spans="1:17">
      <c r="A54" s="368"/>
      <c r="B54" s="93"/>
      <c r="C54" s="72" t="s">
        <v>50</v>
      </c>
      <c r="D54" s="73" t="s">
        <v>34</v>
      </c>
      <c r="E54" s="73" t="str">
        <f t="shared" si="1"/>
        <v>3C_BFVBD500-2 500km</v>
      </c>
      <c r="F54" s="85"/>
      <c r="G54" s="97"/>
      <c r="H54" s="222">
        <v>7.4</v>
      </c>
      <c r="I54" s="222">
        <f>IF($L$14=0,0,
IF('0. Installation'!$B$2="Cogénération",
H54*$L$15/($L$15+273.15)/($L$13+$L$14*$L$15/($L$15+273.15)),H54/$L$14))</f>
        <v>0</v>
      </c>
      <c r="J54" s="222">
        <f t="shared" si="9"/>
        <v>0</v>
      </c>
      <c r="K54" s="87">
        <f t="shared" si="11"/>
        <v>0</v>
      </c>
      <c r="L54" s="87">
        <f t="shared" si="10"/>
        <v>0</v>
      </c>
      <c r="M54" s="225">
        <v>0</v>
      </c>
      <c r="N54" s="225">
        <v>0.8</v>
      </c>
      <c r="O54" s="225">
        <v>6.1</v>
      </c>
      <c r="P54" s="225">
        <v>0.5</v>
      </c>
      <c r="Q54" s="173"/>
    </row>
    <row r="55" spans="1:17">
      <c r="A55" s="368"/>
      <c r="B55" s="93"/>
      <c r="C55" s="72" t="s">
        <v>50</v>
      </c>
      <c r="D55" s="73" t="s">
        <v>35</v>
      </c>
      <c r="E55" s="73" t="str">
        <f t="shared" si="1"/>
        <v>3C_BFVBD2 500-10 000km</v>
      </c>
      <c r="F55" s="85"/>
      <c r="G55" s="97"/>
      <c r="H55" s="222">
        <v>13</v>
      </c>
      <c r="I55" s="222">
        <f>IF($L$14=0,0,
IF('0. Installation'!$B$2="Cogénération",
H55*$L$15/($L$15+273.15)/($L$13+$L$14*$L$15/($L$15+273.15)),H55/$L$14))</f>
        <v>0</v>
      </c>
      <c r="J55" s="222">
        <f t="shared" si="9"/>
        <v>0</v>
      </c>
      <c r="K55" s="87">
        <f t="shared" si="11"/>
        <v>0</v>
      </c>
      <c r="L55" s="87">
        <f t="shared" si="10"/>
        <v>0</v>
      </c>
      <c r="M55" s="225">
        <v>0</v>
      </c>
      <c r="N55" s="225">
        <v>0.8</v>
      </c>
      <c r="O55" s="225">
        <v>11.7</v>
      </c>
      <c r="P55" s="225">
        <v>0.5</v>
      </c>
      <c r="Q55" s="173"/>
    </row>
    <row r="56" spans="1:17" ht="15" thickBot="1">
      <c r="A56" s="368"/>
      <c r="B56" s="94"/>
      <c r="C56" s="72" t="s">
        <v>50</v>
      </c>
      <c r="D56" s="79" t="s">
        <v>36</v>
      </c>
      <c r="E56" s="79" t="str">
        <f t="shared" si="1"/>
        <v>3C_BFVBDplus de 10 000km</v>
      </c>
      <c r="F56" s="90"/>
      <c r="G56" s="98"/>
      <c r="H56" s="223">
        <v>23.5</v>
      </c>
      <c r="I56" s="222">
        <f>IF($L$14=0,0,
IF('0. Installation'!$B$2="Cogénération",
H56*$L$15/($L$15+273.15)/($L$13+$L$14*$L$15/($L$15+273.15)),H56/$L$14))</f>
        <v>0</v>
      </c>
      <c r="J56" s="223">
        <f t="shared" si="9"/>
        <v>0</v>
      </c>
      <c r="K56" s="138">
        <f t="shared" si="11"/>
        <v>0</v>
      </c>
      <c r="L56" s="138">
        <f t="shared" si="10"/>
        <v>0</v>
      </c>
      <c r="M56" s="226">
        <v>0</v>
      </c>
      <c r="N56" s="226">
        <v>0.8</v>
      </c>
      <c r="O56" s="226">
        <v>22.2</v>
      </c>
      <c r="P56" s="226">
        <v>0.5</v>
      </c>
      <c r="Q56" s="174"/>
    </row>
    <row r="57" spans="1:17" ht="15" thickTop="1">
      <c r="A57" s="382" t="s">
        <v>51</v>
      </c>
      <c r="B57" s="99" t="s">
        <v>218</v>
      </c>
      <c r="C57" s="140" t="s">
        <v>52</v>
      </c>
      <c r="D57" s="73" t="s">
        <v>33</v>
      </c>
      <c r="E57" s="73" t="str">
        <f t="shared" si="1"/>
        <v>4A_GR / C_10-500km</v>
      </c>
      <c r="F57" s="74">
        <v>0.69</v>
      </c>
      <c r="G57" s="74">
        <v>0.55000000000000004</v>
      </c>
      <c r="H57" s="75"/>
      <c r="I57" s="75"/>
      <c r="J57" s="75"/>
      <c r="K57" s="76"/>
      <c r="L57" s="95"/>
      <c r="M57" s="78">
        <v>0</v>
      </c>
      <c r="N57" s="78">
        <v>17.2</v>
      </c>
      <c r="O57" s="78">
        <v>3.3</v>
      </c>
      <c r="P57" s="78">
        <v>0.3</v>
      </c>
      <c r="Q57" s="173"/>
    </row>
    <row r="58" spans="1:17">
      <c r="A58" s="382"/>
      <c r="B58" s="380" t="s">
        <v>219</v>
      </c>
      <c r="C58" s="72" t="s">
        <v>52</v>
      </c>
      <c r="D58" s="73" t="s">
        <v>34</v>
      </c>
      <c r="E58" s="73" t="str">
        <f t="shared" si="1"/>
        <v>4A_GR / C_1500-2 500km</v>
      </c>
      <c r="F58" s="74">
        <v>0.7</v>
      </c>
      <c r="G58" s="74">
        <v>0.55000000000000004</v>
      </c>
      <c r="H58" s="75"/>
      <c r="I58" s="75"/>
      <c r="J58" s="75"/>
      <c r="K58" s="76"/>
      <c r="L58" s="95"/>
      <c r="M58" s="78">
        <v>0</v>
      </c>
      <c r="N58" s="78">
        <v>17.2</v>
      </c>
      <c r="O58" s="78">
        <v>3.2</v>
      </c>
      <c r="P58" s="78">
        <v>0.3</v>
      </c>
      <c r="Q58" s="173"/>
    </row>
    <row r="59" spans="1:17">
      <c r="A59" s="382"/>
      <c r="B59" s="380"/>
      <c r="C59" s="72" t="s">
        <v>52</v>
      </c>
      <c r="D59" s="73" t="s">
        <v>35</v>
      </c>
      <c r="E59" s="73" t="str">
        <f t="shared" si="1"/>
        <v>4A_GR / C_12 500-10 000km</v>
      </c>
      <c r="F59" s="74">
        <v>0.67</v>
      </c>
      <c r="G59" s="74">
        <v>0.51</v>
      </c>
      <c r="H59" s="75"/>
      <c r="I59" s="75"/>
      <c r="J59" s="75"/>
      <c r="K59" s="76"/>
      <c r="L59" s="95"/>
      <c r="M59" s="78">
        <v>0</v>
      </c>
      <c r="N59" s="78">
        <v>17.2</v>
      </c>
      <c r="O59" s="78">
        <v>5</v>
      </c>
      <c r="P59" s="78">
        <v>0.3</v>
      </c>
      <c r="Q59" s="173"/>
    </row>
    <row r="60" spans="1:17" ht="15" thickBot="1">
      <c r="A60" s="382"/>
      <c r="B60" s="381"/>
      <c r="C60" s="139" t="s">
        <v>52</v>
      </c>
      <c r="D60" s="79" t="s">
        <v>36</v>
      </c>
      <c r="E60" s="73" t="str">
        <f t="shared" si="1"/>
        <v>4A_GR / C_1plus de 10 000km</v>
      </c>
      <c r="F60" s="80">
        <v>0.61</v>
      </c>
      <c r="G60" s="80">
        <v>0.42</v>
      </c>
      <c r="H60" s="81"/>
      <c r="I60" s="81"/>
      <c r="J60" s="81"/>
      <c r="K60" s="82"/>
      <c r="L60" s="96"/>
      <c r="M60" s="135">
        <v>0</v>
      </c>
      <c r="N60" s="135">
        <v>17.2</v>
      </c>
      <c r="O60" s="135">
        <v>9.1999999999999993</v>
      </c>
      <c r="P60" s="135">
        <v>0.3</v>
      </c>
      <c r="Q60" s="174"/>
    </row>
    <row r="61" spans="1:17" ht="15" thickTop="1">
      <c r="A61" s="382"/>
      <c r="B61" s="99" t="s">
        <v>218</v>
      </c>
      <c r="C61" s="72" t="s">
        <v>54</v>
      </c>
      <c r="D61" s="73" t="s">
        <v>33</v>
      </c>
      <c r="E61" s="92" t="str">
        <f t="shared" si="1"/>
        <v>4A_GR / C_20-500km</v>
      </c>
      <c r="F61" s="74">
        <v>0.84</v>
      </c>
      <c r="G61" s="74">
        <v>0.76</v>
      </c>
      <c r="H61" s="75"/>
      <c r="I61" s="75"/>
      <c r="J61" s="75"/>
      <c r="K61" s="76"/>
      <c r="L61" s="95"/>
      <c r="M61" s="78">
        <v>0</v>
      </c>
      <c r="N61" s="78">
        <v>7.2</v>
      </c>
      <c r="O61" s="78">
        <v>3.4</v>
      </c>
      <c r="P61" s="78">
        <v>0.3</v>
      </c>
      <c r="Q61" s="173"/>
    </row>
    <row r="62" spans="1:17">
      <c r="A62" s="382"/>
      <c r="B62" s="380" t="s">
        <v>220</v>
      </c>
      <c r="C62" s="72" t="s">
        <v>54</v>
      </c>
      <c r="D62" s="73" t="s">
        <v>34</v>
      </c>
      <c r="E62" s="73" t="str">
        <f t="shared" si="1"/>
        <v>4A_GR / C_2500-2 500km</v>
      </c>
      <c r="F62" s="74">
        <v>0.84</v>
      </c>
      <c r="G62" s="74">
        <v>0.77</v>
      </c>
      <c r="H62" s="75"/>
      <c r="I62" s="75"/>
      <c r="J62" s="75"/>
      <c r="K62" s="76"/>
      <c r="L62" s="95"/>
      <c r="M62" s="78">
        <v>0</v>
      </c>
      <c r="N62" s="78">
        <v>7.2</v>
      </c>
      <c r="O62" s="78">
        <v>3.3</v>
      </c>
      <c r="P62" s="78">
        <v>0.3</v>
      </c>
      <c r="Q62" s="173"/>
    </row>
    <row r="63" spans="1:17">
      <c r="A63" s="382"/>
      <c r="B63" s="380"/>
      <c r="C63" s="72" t="s">
        <v>54</v>
      </c>
      <c r="D63" s="73" t="s">
        <v>35</v>
      </c>
      <c r="E63" s="73" t="str">
        <f t="shared" si="1"/>
        <v>4A_GR / C_22 500-10 000km</v>
      </c>
      <c r="F63" s="74">
        <v>0.82</v>
      </c>
      <c r="G63" s="74">
        <v>0.73</v>
      </c>
      <c r="H63" s="75"/>
      <c r="I63" s="75"/>
      <c r="J63" s="75"/>
      <c r="K63" s="76"/>
      <c r="L63" s="95"/>
      <c r="M63" s="78">
        <v>0</v>
      </c>
      <c r="N63" s="78">
        <v>7.2</v>
      </c>
      <c r="O63" s="78">
        <v>5.0999999999999996</v>
      </c>
      <c r="P63" s="78">
        <v>0.3</v>
      </c>
      <c r="Q63" s="173"/>
    </row>
    <row r="64" spans="1:17" ht="15" thickBot="1">
      <c r="A64" s="382"/>
      <c r="B64" s="381"/>
      <c r="C64" s="72" t="s">
        <v>54</v>
      </c>
      <c r="D64" s="79" t="s">
        <v>36</v>
      </c>
      <c r="E64" s="73" t="str">
        <f t="shared" si="1"/>
        <v>4A_GR / C_2plus de 10 000km</v>
      </c>
      <c r="F64" s="80">
        <v>0.75</v>
      </c>
      <c r="G64" s="80">
        <v>0.63</v>
      </c>
      <c r="H64" s="81"/>
      <c r="I64" s="81"/>
      <c r="J64" s="81"/>
      <c r="K64" s="82"/>
      <c r="L64" s="96"/>
      <c r="M64" s="135">
        <v>0</v>
      </c>
      <c r="N64" s="135">
        <v>7.2</v>
      </c>
      <c r="O64" s="135">
        <v>9.3000000000000007</v>
      </c>
      <c r="P64" s="135">
        <v>0.3</v>
      </c>
      <c r="Q64" s="174"/>
    </row>
    <row r="65" spans="1:17" ht="15" thickTop="1">
      <c r="A65" s="382"/>
      <c r="B65" s="99" t="s">
        <v>218</v>
      </c>
      <c r="C65" s="140" t="s">
        <v>56</v>
      </c>
      <c r="D65" s="73" t="s">
        <v>33</v>
      </c>
      <c r="E65" s="92" t="str">
        <f t="shared" si="1"/>
        <v>4A_GR / C_30-500km</v>
      </c>
      <c r="F65" s="74">
        <v>0.94</v>
      </c>
      <c r="G65" s="74">
        <v>0.91</v>
      </c>
      <c r="H65" s="75"/>
      <c r="I65" s="75"/>
      <c r="J65" s="75"/>
      <c r="K65" s="76"/>
      <c r="L65" s="95"/>
      <c r="M65" s="78">
        <v>0</v>
      </c>
      <c r="N65" s="78">
        <v>0.3</v>
      </c>
      <c r="O65" s="78">
        <v>3.4</v>
      </c>
      <c r="P65" s="78">
        <v>0.3</v>
      </c>
      <c r="Q65" s="173"/>
    </row>
    <row r="66" spans="1:17">
      <c r="A66" s="382"/>
      <c r="B66" s="380" t="s">
        <v>221</v>
      </c>
      <c r="C66" s="72" t="s">
        <v>56</v>
      </c>
      <c r="D66" s="73" t="s">
        <v>34</v>
      </c>
      <c r="E66" s="73" t="str">
        <f t="shared" si="1"/>
        <v>4A_GR / C_3500-2 500km</v>
      </c>
      <c r="F66" s="74">
        <v>0.94</v>
      </c>
      <c r="G66" s="74">
        <v>0.92</v>
      </c>
      <c r="H66" s="75"/>
      <c r="I66" s="75"/>
      <c r="J66" s="75"/>
      <c r="K66" s="76"/>
      <c r="L66" s="95"/>
      <c r="M66" s="78">
        <v>0</v>
      </c>
      <c r="N66" s="78">
        <v>0.3</v>
      </c>
      <c r="O66" s="78">
        <v>3.3</v>
      </c>
      <c r="P66" s="78">
        <v>0.3</v>
      </c>
      <c r="Q66" s="173"/>
    </row>
    <row r="67" spans="1:17">
      <c r="A67" s="382"/>
      <c r="B67" s="380"/>
      <c r="C67" s="72" t="s">
        <v>56</v>
      </c>
      <c r="D67" s="73" t="s">
        <v>35</v>
      </c>
      <c r="E67" s="73" t="str">
        <f t="shared" si="1"/>
        <v>4A_GR / C_32 500-10 000km</v>
      </c>
      <c r="F67" s="74">
        <v>0.92</v>
      </c>
      <c r="G67" s="74">
        <v>0.88</v>
      </c>
      <c r="H67" s="75"/>
      <c r="I67" s="75"/>
      <c r="J67" s="75"/>
      <c r="K67" s="76"/>
      <c r="L67" s="95"/>
      <c r="M67" s="78">
        <v>0</v>
      </c>
      <c r="N67" s="78">
        <v>0.3</v>
      </c>
      <c r="O67" s="78">
        <v>5.0999999999999996</v>
      </c>
      <c r="P67" s="78">
        <v>0.3</v>
      </c>
      <c r="Q67" s="173"/>
    </row>
    <row r="68" spans="1:17" ht="15" thickBot="1">
      <c r="A68" s="382"/>
      <c r="B68" s="381"/>
      <c r="C68" s="72" t="s">
        <v>56</v>
      </c>
      <c r="D68" s="79" t="s">
        <v>36</v>
      </c>
      <c r="E68" s="73" t="str">
        <f t="shared" si="1"/>
        <v>4A_GR / C_3plus de 10 000km</v>
      </c>
      <c r="F68" s="80">
        <v>0.88</v>
      </c>
      <c r="G68" s="80">
        <v>0.78</v>
      </c>
      <c r="H68" s="81"/>
      <c r="I68" s="81"/>
      <c r="J68" s="81"/>
      <c r="K68" s="82"/>
      <c r="L68" s="96"/>
      <c r="M68" s="135">
        <v>0</v>
      </c>
      <c r="N68" s="135">
        <v>0.3</v>
      </c>
      <c r="O68" s="135">
        <v>9.3000000000000007</v>
      </c>
      <c r="P68" s="135">
        <v>0.3</v>
      </c>
      <c r="Q68" s="174"/>
    </row>
    <row r="69" spans="1:17" ht="15" thickTop="1">
      <c r="A69" s="382"/>
      <c r="B69" s="99" t="s">
        <v>222</v>
      </c>
      <c r="C69" s="140" t="s">
        <v>57</v>
      </c>
      <c r="D69" s="73" t="s">
        <v>33</v>
      </c>
      <c r="E69" s="92" t="str">
        <f t="shared" si="1"/>
        <v>4A_GR / F_10-500km</v>
      </c>
      <c r="F69" s="74">
        <v>0.49</v>
      </c>
      <c r="G69" s="74">
        <v>0.24</v>
      </c>
      <c r="H69" s="75"/>
      <c r="I69" s="75"/>
      <c r="J69" s="75"/>
      <c r="K69" s="76"/>
      <c r="L69" s="95"/>
      <c r="M69" s="78">
        <v>0</v>
      </c>
      <c r="N69" s="78">
        <v>30.9</v>
      </c>
      <c r="O69" s="78">
        <v>3.5</v>
      </c>
      <c r="P69" s="78">
        <v>0.3</v>
      </c>
      <c r="Q69" s="173"/>
    </row>
    <row r="70" spans="1:17">
      <c r="A70" s="382"/>
      <c r="B70" s="380" t="s">
        <v>219</v>
      </c>
      <c r="C70" s="72" t="s">
        <v>57</v>
      </c>
      <c r="D70" s="73" t="s">
        <v>34</v>
      </c>
      <c r="E70" s="73" t="str">
        <f t="shared" si="1"/>
        <v>4A_GR / F_1500-2 500km</v>
      </c>
      <c r="F70" s="74">
        <v>0.49</v>
      </c>
      <c r="G70" s="74">
        <v>0.25</v>
      </c>
      <c r="H70" s="75"/>
      <c r="I70" s="75"/>
      <c r="J70" s="75"/>
      <c r="K70" s="76"/>
      <c r="L70" s="95"/>
      <c r="M70" s="78">
        <v>0</v>
      </c>
      <c r="N70" s="78">
        <v>30.9</v>
      </c>
      <c r="O70" s="78">
        <v>3.3</v>
      </c>
      <c r="P70" s="78">
        <v>0.3</v>
      </c>
      <c r="Q70" s="173"/>
    </row>
    <row r="71" spans="1:17">
      <c r="A71" s="382"/>
      <c r="B71" s="380"/>
      <c r="C71" s="72" t="s">
        <v>57</v>
      </c>
      <c r="D71" s="73" t="s">
        <v>35</v>
      </c>
      <c r="E71" s="73" t="str">
        <f t="shared" si="1"/>
        <v>4A_GR / F_12 500-10 000km</v>
      </c>
      <c r="F71" s="74">
        <v>0.47</v>
      </c>
      <c r="G71" s="74">
        <v>0.21</v>
      </c>
      <c r="H71" s="75"/>
      <c r="I71" s="75"/>
      <c r="J71" s="75"/>
      <c r="K71" s="76"/>
      <c r="L71" s="95"/>
      <c r="M71" s="78">
        <v>0</v>
      </c>
      <c r="N71" s="78">
        <v>30.9</v>
      </c>
      <c r="O71" s="78">
        <v>5.2</v>
      </c>
      <c r="P71" s="78">
        <v>0.3</v>
      </c>
      <c r="Q71" s="173"/>
    </row>
    <row r="72" spans="1:17" ht="15" thickBot="1">
      <c r="A72" s="382"/>
      <c r="B72" s="381"/>
      <c r="C72" s="72" t="s">
        <v>57</v>
      </c>
      <c r="D72" s="79" t="s">
        <v>36</v>
      </c>
      <c r="E72" s="73" t="str">
        <f t="shared" si="1"/>
        <v>4A_GR / F_1plus de 10 000km</v>
      </c>
      <c r="F72" s="80">
        <v>0.4</v>
      </c>
      <c r="G72" s="80">
        <v>0.11</v>
      </c>
      <c r="H72" s="81"/>
      <c r="I72" s="81"/>
      <c r="J72" s="81"/>
      <c r="K72" s="82"/>
      <c r="L72" s="96"/>
      <c r="M72" s="135">
        <v>0</v>
      </c>
      <c r="N72" s="135">
        <v>30.9</v>
      </c>
      <c r="O72" s="135">
        <v>9.5</v>
      </c>
      <c r="P72" s="135">
        <v>0.3</v>
      </c>
      <c r="Q72" s="174"/>
    </row>
    <row r="73" spans="1:17" ht="15" thickTop="1">
      <c r="A73" s="382"/>
      <c r="B73" s="99" t="s">
        <v>222</v>
      </c>
      <c r="C73" s="140" t="s">
        <v>59</v>
      </c>
      <c r="D73" s="73" t="s">
        <v>33</v>
      </c>
      <c r="E73" s="92" t="str">
        <f t="shared" si="1"/>
        <v>4A_GR / F_20-500km</v>
      </c>
      <c r="F73" s="74">
        <v>0.72</v>
      </c>
      <c r="G73" s="74">
        <v>0.59</v>
      </c>
      <c r="H73" s="75"/>
      <c r="I73" s="75"/>
      <c r="J73" s="75"/>
      <c r="K73" s="76"/>
      <c r="L73" s="95"/>
      <c r="M73" s="78">
        <v>0</v>
      </c>
      <c r="N73" s="78">
        <v>15</v>
      </c>
      <c r="O73" s="78">
        <v>3.6</v>
      </c>
      <c r="P73" s="78">
        <v>0.3</v>
      </c>
      <c r="Q73" s="173"/>
    </row>
    <row r="74" spans="1:17">
      <c r="A74" s="382"/>
      <c r="B74" s="380" t="s">
        <v>220</v>
      </c>
      <c r="C74" s="72" t="s">
        <v>59</v>
      </c>
      <c r="D74" s="73" t="s">
        <v>34</v>
      </c>
      <c r="E74" s="73" t="str">
        <f t="shared" si="1"/>
        <v>4A_GR / F_2500-2 500km</v>
      </c>
      <c r="F74" s="74">
        <v>0.72</v>
      </c>
      <c r="G74" s="74">
        <v>0.59</v>
      </c>
      <c r="H74" s="75"/>
      <c r="I74" s="75"/>
      <c r="J74" s="75"/>
      <c r="K74" s="76"/>
      <c r="L74" s="95"/>
      <c r="M74" s="78">
        <v>0</v>
      </c>
      <c r="N74" s="78">
        <v>15</v>
      </c>
      <c r="O74" s="78">
        <v>3.5</v>
      </c>
      <c r="P74" s="78">
        <v>0.3</v>
      </c>
      <c r="Q74" s="173"/>
    </row>
    <row r="75" spans="1:17">
      <c r="A75" s="382"/>
      <c r="B75" s="380"/>
      <c r="C75" s="72" t="s">
        <v>59</v>
      </c>
      <c r="D75" s="73" t="s">
        <v>35</v>
      </c>
      <c r="E75" s="73" t="str">
        <f t="shared" si="1"/>
        <v>4A_GR / F_22 500-10 000km</v>
      </c>
      <c r="F75" s="74">
        <v>0.7</v>
      </c>
      <c r="G75" s="74">
        <v>0.55000000000000004</v>
      </c>
      <c r="H75" s="75"/>
      <c r="I75" s="75"/>
      <c r="J75" s="75"/>
      <c r="K75" s="76"/>
      <c r="L75" s="95"/>
      <c r="M75" s="78">
        <v>0</v>
      </c>
      <c r="N75" s="78">
        <v>15</v>
      </c>
      <c r="O75" s="78">
        <v>5.3</v>
      </c>
      <c r="P75" s="78">
        <v>0.3</v>
      </c>
      <c r="Q75" s="173"/>
    </row>
    <row r="76" spans="1:17" ht="15" thickBot="1">
      <c r="A76" s="382"/>
      <c r="B76" s="381"/>
      <c r="C76" s="72" t="s">
        <v>59</v>
      </c>
      <c r="D76" s="79" t="s">
        <v>36</v>
      </c>
      <c r="E76" s="73" t="str">
        <f t="shared" si="1"/>
        <v>4A_GR / F_2plus de 10 000km</v>
      </c>
      <c r="F76" s="80">
        <v>0.63</v>
      </c>
      <c r="G76" s="80">
        <v>0.45</v>
      </c>
      <c r="H76" s="81"/>
      <c r="I76" s="81"/>
      <c r="J76" s="81"/>
      <c r="K76" s="82"/>
      <c r="L76" s="96"/>
      <c r="M76" s="135">
        <v>0</v>
      </c>
      <c r="N76" s="135">
        <v>15</v>
      </c>
      <c r="O76" s="135">
        <v>9.8000000000000007</v>
      </c>
      <c r="P76" s="135">
        <v>0.3</v>
      </c>
      <c r="Q76" s="174"/>
    </row>
    <row r="77" spans="1:17" ht="15" thickTop="1">
      <c r="A77" s="382"/>
      <c r="B77" s="99" t="s">
        <v>222</v>
      </c>
      <c r="C77" s="140" t="s">
        <v>61</v>
      </c>
      <c r="D77" s="73" t="s">
        <v>33</v>
      </c>
      <c r="E77" s="92" t="str">
        <f t="shared" si="1"/>
        <v>4A_GR / F_30-500km</v>
      </c>
      <c r="F77" s="74">
        <v>0.9</v>
      </c>
      <c r="G77" s="74">
        <v>0.85</v>
      </c>
      <c r="H77" s="75"/>
      <c r="I77" s="75"/>
      <c r="J77" s="75"/>
      <c r="K77" s="76"/>
      <c r="L77" s="95"/>
      <c r="M77" s="78">
        <v>0</v>
      </c>
      <c r="N77" s="78">
        <v>2.8</v>
      </c>
      <c r="O77" s="78">
        <v>3.6</v>
      </c>
      <c r="P77" s="78">
        <v>0.3</v>
      </c>
      <c r="Q77" s="173"/>
    </row>
    <row r="78" spans="1:17">
      <c r="A78" s="382"/>
      <c r="B78" s="380" t="s">
        <v>221</v>
      </c>
      <c r="C78" s="72" t="s">
        <v>61</v>
      </c>
      <c r="D78" s="73" t="s">
        <v>34</v>
      </c>
      <c r="E78" s="73" t="str">
        <f t="shared" si="1"/>
        <v>4A_GR / F_3500-2 500km</v>
      </c>
      <c r="F78" s="74">
        <v>0.9</v>
      </c>
      <c r="G78" s="74">
        <v>0.86</v>
      </c>
      <c r="H78" s="75"/>
      <c r="I78" s="75"/>
      <c r="J78" s="75"/>
      <c r="K78" s="76"/>
      <c r="L78" s="95"/>
      <c r="M78" s="78">
        <v>0</v>
      </c>
      <c r="N78" s="78">
        <v>2.8</v>
      </c>
      <c r="O78" s="78">
        <v>3.5</v>
      </c>
      <c r="P78" s="78">
        <v>0.3</v>
      </c>
      <c r="Q78" s="173"/>
    </row>
    <row r="79" spans="1:17">
      <c r="A79" s="382"/>
      <c r="B79" s="380"/>
      <c r="C79" s="72" t="s">
        <v>61</v>
      </c>
      <c r="D79" s="73" t="s">
        <v>35</v>
      </c>
      <c r="E79" s="73" t="str">
        <f t="shared" si="1"/>
        <v>4A_GR / F_32 500-10 000km</v>
      </c>
      <c r="F79" s="74">
        <v>0.88</v>
      </c>
      <c r="G79" s="74">
        <v>0.81</v>
      </c>
      <c r="H79" s="75"/>
      <c r="I79" s="75"/>
      <c r="J79" s="75"/>
      <c r="K79" s="76"/>
      <c r="L79" s="95"/>
      <c r="M79" s="78">
        <v>0</v>
      </c>
      <c r="N79" s="78">
        <v>2.8</v>
      </c>
      <c r="O79" s="78">
        <v>5.3</v>
      </c>
      <c r="P79" s="78">
        <v>0.3</v>
      </c>
      <c r="Q79" s="173"/>
    </row>
    <row r="80" spans="1:17" ht="15" thickBot="1">
      <c r="A80" s="382"/>
      <c r="B80" s="381"/>
      <c r="C80" s="139" t="s">
        <v>61</v>
      </c>
      <c r="D80" s="79" t="s">
        <v>36</v>
      </c>
      <c r="E80" s="73" t="str">
        <f t="shared" si="1"/>
        <v>4A_GR / F_3plus de 10 000km</v>
      </c>
      <c r="F80" s="80">
        <v>0.81</v>
      </c>
      <c r="G80" s="80">
        <v>0.72</v>
      </c>
      <c r="H80" s="81"/>
      <c r="I80" s="81"/>
      <c r="J80" s="81"/>
      <c r="K80" s="82"/>
      <c r="L80" s="96"/>
      <c r="M80" s="135">
        <v>0</v>
      </c>
      <c r="N80" s="135">
        <v>2.8</v>
      </c>
      <c r="O80" s="135">
        <v>9.8000000000000007</v>
      </c>
      <c r="P80" s="135">
        <v>0.3</v>
      </c>
      <c r="Q80" s="174"/>
    </row>
    <row r="81" spans="1:17" ht="15" thickTop="1">
      <c r="A81" s="378" t="s">
        <v>234</v>
      </c>
      <c r="B81" s="180" t="s">
        <v>62</v>
      </c>
      <c r="C81" s="126"/>
      <c r="D81" s="127" t="s">
        <v>63</v>
      </c>
      <c r="E81" s="127" t="str">
        <f>B81&amp;D81</f>
        <v>Liqueur noiresur site</v>
      </c>
      <c r="F81" s="128"/>
      <c r="G81" s="128"/>
      <c r="H81" s="86">
        <v>1.9</v>
      </c>
      <c r="I81" s="86">
        <f>IF($L$14=0,0,
IF('0. Installation'!$B$2="Cogénération",
H81*$L$15/($L$15+273.15)/($L$13+$L$14*$L$15/($L$15+273.15)),H81/$L$14))</f>
        <v>0</v>
      </c>
      <c r="J81" s="86">
        <f>IF($L$13=0,0,H81/$L$13*$L$13/($L$13+$L$14*$L$15/($L$15+273.15)))</f>
        <v>0</v>
      </c>
      <c r="K81" s="87">
        <f t="shared" ref="K81:K82" si="12">IF(I81=0,0,(80-I81)/80)</f>
        <v>0</v>
      </c>
      <c r="L81" s="87">
        <f>IF(J81=0,0,IF($L$16="OUI",(212-J81)/212,(183-J81)/183))</f>
        <v>0</v>
      </c>
      <c r="M81" s="227">
        <v>0</v>
      </c>
      <c r="N81" s="228">
        <v>1.1000000000000001</v>
      </c>
      <c r="O81" s="228">
        <v>0</v>
      </c>
      <c r="P81" s="228">
        <v>0.8</v>
      </c>
      <c r="Q81" s="175"/>
    </row>
    <row r="82" spans="1:17">
      <c r="A82" s="379"/>
      <c r="B82" s="181" t="s">
        <v>64</v>
      </c>
      <c r="C82" s="182"/>
      <c r="D82" s="183" t="s">
        <v>63</v>
      </c>
      <c r="E82" s="183" t="str">
        <f>B82&amp;D82</f>
        <v>Boue papetièresur site</v>
      </c>
      <c r="F82" s="184"/>
      <c r="G82" s="184"/>
      <c r="H82" s="86">
        <v>2.8</v>
      </c>
      <c r="I82" s="86">
        <f>IF($L$14=0,0,
IF('0. Installation'!$B$2="Cogénération",
H82*$L$15/($L$15+273.15)/($L$13+$L$14*$L$15/($L$15+273.15)),H82/$L$14))</f>
        <v>0</v>
      </c>
      <c r="J82" s="86">
        <f>IF($L$13=0,0,H82/$L$13*$L$13/($L$13+$L$14*$L$15/($L$15+273.15)))</f>
        <v>0</v>
      </c>
      <c r="K82" s="87">
        <f t="shared" si="12"/>
        <v>0</v>
      </c>
      <c r="L82" s="87">
        <f>IF(J82=0,0,IF($L$16="OUI",(212-J82)/212,(183-J82)/183))</f>
        <v>0</v>
      </c>
      <c r="M82" s="229">
        <v>0</v>
      </c>
      <c r="N82" s="229">
        <v>0.5</v>
      </c>
      <c r="O82" s="229">
        <v>0</v>
      </c>
      <c r="P82" s="229">
        <v>2.2999999999999998</v>
      </c>
      <c r="Q82" s="185"/>
    </row>
    <row r="83" spans="1:17" ht="15" thickBot="1">
      <c r="A83" s="121"/>
      <c r="B83" s="122"/>
      <c r="C83" s="123"/>
      <c r="D83" s="124"/>
      <c r="E83" s="124"/>
      <c r="F83" s="186"/>
      <c r="G83" s="186"/>
      <c r="H83" s="187"/>
      <c r="I83" s="187"/>
      <c r="J83" s="187"/>
      <c r="K83" s="188"/>
      <c r="L83" s="188"/>
      <c r="M83" s="177"/>
      <c r="N83" s="177"/>
      <c r="O83" s="177"/>
      <c r="P83" s="149"/>
      <c r="Q83" s="177"/>
    </row>
    <row r="84" spans="1:17" ht="52.5" customHeight="1" thickBot="1">
      <c r="A84" s="346" t="s">
        <v>268</v>
      </c>
      <c r="B84" s="347"/>
      <c r="C84" s="347"/>
      <c r="D84" s="347"/>
      <c r="E84" s="347"/>
      <c r="F84" s="347"/>
      <c r="G84" s="347"/>
      <c r="H84" s="347"/>
      <c r="I84" s="347"/>
      <c r="J84" s="347"/>
      <c r="K84" s="347"/>
      <c r="L84" s="347"/>
      <c r="M84" s="347"/>
      <c r="N84" s="347"/>
      <c r="O84" s="347"/>
      <c r="P84" s="347"/>
      <c r="Q84" s="348"/>
    </row>
    <row r="85" spans="1:17" ht="42.75" customHeight="1" thickBot="1">
      <c r="A85" s="193"/>
      <c r="B85" s="196"/>
      <c r="C85" s="197"/>
      <c r="D85" s="194"/>
      <c r="E85" s="202"/>
      <c r="F85" s="338" t="s">
        <v>204</v>
      </c>
      <c r="G85" s="339"/>
      <c r="H85" s="340"/>
      <c r="I85" s="340"/>
      <c r="J85" s="340"/>
      <c r="K85" s="340"/>
      <c r="L85" s="340"/>
      <c r="M85" s="338" t="s">
        <v>204</v>
      </c>
      <c r="N85" s="341"/>
      <c r="O85" s="341"/>
      <c r="P85" s="341"/>
      <c r="Q85" s="339"/>
    </row>
    <row r="86" spans="1:17" ht="51" customHeight="1" thickBot="1">
      <c r="A86" s="344" t="s">
        <v>203</v>
      </c>
      <c r="B86" s="345"/>
      <c r="C86" s="198" t="s">
        <v>269</v>
      </c>
      <c r="D86" s="199" t="s">
        <v>205</v>
      </c>
      <c r="E86" s="200" t="s">
        <v>206</v>
      </c>
      <c r="F86" s="195" t="s">
        <v>207</v>
      </c>
      <c r="G86" s="201" t="s">
        <v>208</v>
      </c>
      <c r="H86" s="342"/>
      <c r="I86" s="342"/>
      <c r="J86" s="342"/>
      <c r="K86" s="342"/>
      <c r="L86" s="343"/>
      <c r="M86" s="195" t="s">
        <v>211</v>
      </c>
      <c r="N86" s="195" t="s">
        <v>212</v>
      </c>
      <c r="O86" s="195" t="s">
        <v>213</v>
      </c>
      <c r="P86" s="195" t="s">
        <v>214</v>
      </c>
      <c r="Q86" s="195" t="s">
        <v>266</v>
      </c>
    </row>
    <row r="87" spans="1:17" ht="15" thickBot="1">
      <c r="A87" s="152" t="s">
        <v>257</v>
      </c>
      <c r="B87" s="153"/>
      <c r="C87" s="139"/>
      <c r="D87" s="79" t="s">
        <v>35</v>
      </c>
      <c r="E87" s="79"/>
      <c r="F87" s="80">
        <v>0.73</v>
      </c>
      <c r="G87" s="80">
        <v>0.6</v>
      </c>
      <c r="H87" s="81"/>
      <c r="I87" s="81"/>
      <c r="J87" s="81"/>
      <c r="K87" s="82"/>
      <c r="L87" s="96"/>
      <c r="M87" s="135">
        <v>4.4000000000000004</v>
      </c>
      <c r="N87" s="135">
        <v>0</v>
      </c>
      <c r="O87" s="135">
        <v>13.2</v>
      </c>
      <c r="P87" s="135">
        <v>0.5</v>
      </c>
      <c r="Q87" s="174"/>
    </row>
    <row r="88" spans="1:17" ht="30.75" customHeight="1" thickTop="1">
      <c r="A88" s="356" t="s">
        <v>258</v>
      </c>
      <c r="B88" s="150"/>
      <c r="C88" s="151"/>
      <c r="D88" s="73" t="s">
        <v>33</v>
      </c>
      <c r="E88" s="208" t="str">
        <f>A$87&amp;"/"&amp;D88</f>
        <v>Plaquette provenant de taillis à courte rotation (eucalyptus)/0-500km</v>
      </c>
      <c r="F88" s="74">
        <v>0.87</v>
      </c>
      <c r="G88" s="74">
        <v>0.81</v>
      </c>
      <c r="H88" s="75"/>
      <c r="I88" s="75"/>
      <c r="J88" s="75"/>
      <c r="K88" s="76"/>
      <c r="L88" s="95"/>
      <c r="M88" s="78">
        <v>3.9</v>
      </c>
      <c r="N88" s="78">
        <v>0</v>
      </c>
      <c r="O88" s="78">
        <v>4.2</v>
      </c>
      <c r="P88" s="78">
        <v>0.5</v>
      </c>
      <c r="Q88" s="173"/>
    </row>
    <row r="89" spans="1:17">
      <c r="A89" s="359"/>
      <c r="B89" s="380"/>
      <c r="C89" s="72"/>
      <c r="D89" s="73" t="s">
        <v>34</v>
      </c>
      <c r="E89" s="208" t="str">
        <f t="shared" ref="E89:E91" si="13">A$87&amp;"/"&amp;D89</f>
        <v>Plaquette provenant de taillis à courte rotation (eucalyptus)/500-2 500km</v>
      </c>
      <c r="F89" s="74">
        <v>0.84</v>
      </c>
      <c r="G89" s="74">
        <v>0.76</v>
      </c>
      <c r="H89" s="75"/>
      <c r="I89" s="75"/>
      <c r="J89" s="75"/>
      <c r="K89" s="76"/>
      <c r="L89" s="95"/>
      <c r="M89" s="78">
        <v>3.9</v>
      </c>
      <c r="N89" s="78">
        <v>0</v>
      </c>
      <c r="O89" s="78">
        <v>6.8</v>
      </c>
      <c r="P89" s="78">
        <v>0.5</v>
      </c>
      <c r="Q89" s="173"/>
    </row>
    <row r="90" spans="1:17">
      <c r="A90" s="359"/>
      <c r="B90" s="380"/>
      <c r="C90" s="72"/>
      <c r="D90" s="73" t="s">
        <v>35</v>
      </c>
      <c r="E90" s="208" t="str">
        <f t="shared" si="13"/>
        <v>Plaquette provenant de taillis à courte rotation (eucalyptus)/2 500-10 000km</v>
      </c>
      <c r="F90" s="74">
        <v>0.74</v>
      </c>
      <c r="G90" s="74">
        <v>0.62</v>
      </c>
      <c r="H90" s="75"/>
      <c r="I90" s="75"/>
      <c r="J90" s="75"/>
      <c r="K90" s="76"/>
      <c r="L90" s="95"/>
      <c r="M90" s="78">
        <v>3.9</v>
      </c>
      <c r="N90" s="78">
        <v>0</v>
      </c>
      <c r="O90" s="78">
        <v>13.2</v>
      </c>
      <c r="P90" s="78">
        <v>0.5</v>
      </c>
      <c r="Q90" s="173"/>
    </row>
    <row r="91" spans="1:17" ht="15" thickBot="1">
      <c r="A91" s="358"/>
      <c r="B91" s="381"/>
      <c r="C91" s="139"/>
      <c r="D91" s="79" t="s">
        <v>36</v>
      </c>
      <c r="E91" s="208" t="str">
        <f t="shared" si="13"/>
        <v>Plaquette provenant de taillis à courte rotation (eucalyptus)/plus de 10 000km</v>
      </c>
      <c r="F91" s="80">
        <v>0.56999999999999995</v>
      </c>
      <c r="G91" s="80">
        <v>0.35</v>
      </c>
      <c r="H91" s="81"/>
      <c r="I91" s="81"/>
      <c r="J91" s="81"/>
      <c r="K91" s="82"/>
      <c r="L91" s="96"/>
      <c r="M91" s="135">
        <v>3.9</v>
      </c>
      <c r="N91" s="135">
        <v>0</v>
      </c>
      <c r="O91" s="135">
        <v>25.2</v>
      </c>
      <c r="P91" s="135">
        <v>0.5</v>
      </c>
      <c r="Q91" s="174"/>
    </row>
    <row r="92" spans="1:17" ht="15" thickTop="1">
      <c r="A92" s="356" t="s">
        <v>259</v>
      </c>
      <c r="B92" s="150"/>
      <c r="C92" s="151"/>
      <c r="D92" s="73" t="s">
        <v>33</v>
      </c>
      <c r="E92" s="208" t="str">
        <f>A$92&amp;"/"&amp;D92</f>
        <v>Plaquettes forestières provenant de taillis à courte rotation (peuplier — pas de fertilisation)/0-500km</v>
      </c>
      <c r="F92" s="74">
        <v>0.9</v>
      </c>
      <c r="G92" s="74">
        <v>0.85</v>
      </c>
      <c r="H92" s="75"/>
      <c r="I92" s="75"/>
      <c r="J92" s="75"/>
      <c r="K92" s="76"/>
      <c r="L92" s="95"/>
      <c r="M92" s="78">
        <v>2.2000000000000002</v>
      </c>
      <c r="N92" s="78">
        <v>0</v>
      </c>
      <c r="O92" s="78">
        <v>4.2</v>
      </c>
      <c r="P92" s="78">
        <v>0.5</v>
      </c>
      <c r="Q92" s="173"/>
    </row>
    <row r="93" spans="1:17">
      <c r="A93" s="359"/>
      <c r="B93" s="380"/>
      <c r="C93" s="72"/>
      <c r="D93" s="73" t="s">
        <v>34</v>
      </c>
      <c r="E93" s="208" t="str">
        <f t="shared" ref="E93:E95" si="14">A$92&amp;"/"&amp;D93</f>
        <v>Plaquettes forestières provenant de taillis à courte rotation (peuplier — pas de fertilisation)/500-2 500km</v>
      </c>
      <c r="F93" s="74">
        <v>0.86</v>
      </c>
      <c r="G93" s="74">
        <v>0.79</v>
      </c>
      <c r="H93" s="75"/>
      <c r="I93" s="75"/>
      <c r="J93" s="75"/>
      <c r="K93" s="76"/>
      <c r="L93" s="95"/>
      <c r="M93" s="78">
        <v>2.2000000000000002</v>
      </c>
      <c r="N93" s="78">
        <v>0</v>
      </c>
      <c r="O93" s="78">
        <v>6.8</v>
      </c>
      <c r="P93" s="78">
        <v>0.5</v>
      </c>
      <c r="Q93" s="173"/>
    </row>
    <row r="94" spans="1:17">
      <c r="A94" s="359"/>
      <c r="B94" s="380"/>
      <c r="C94" s="72"/>
      <c r="D94" s="73" t="s">
        <v>35</v>
      </c>
      <c r="E94" s="208" t="str">
        <f t="shared" si="14"/>
        <v>Plaquettes forestières provenant de taillis à courte rotation (peuplier — pas de fertilisation)/2 500-10 000km</v>
      </c>
      <c r="F94" s="74">
        <v>0.77</v>
      </c>
      <c r="G94" s="74">
        <v>0.65</v>
      </c>
      <c r="H94" s="75"/>
      <c r="I94" s="75"/>
      <c r="J94" s="75"/>
      <c r="K94" s="76"/>
      <c r="L94" s="95"/>
      <c r="M94" s="78">
        <v>2.2000000000000002</v>
      </c>
      <c r="N94" s="78">
        <v>0</v>
      </c>
      <c r="O94" s="78">
        <v>13.2</v>
      </c>
      <c r="P94" s="78">
        <v>0.5</v>
      </c>
      <c r="Q94" s="173"/>
    </row>
    <row r="95" spans="1:17" ht="15" thickBot="1">
      <c r="A95" s="358"/>
      <c r="B95" s="381"/>
      <c r="C95" s="139"/>
      <c r="D95" s="79" t="s">
        <v>36</v>
      </c>
      <c r="E95" s="208" t="str">
        <f t="shared" si="14"/>
        <v>Plaquettes forestières provenant de taillis à courte rotation (peuplier — pas de fertilisation)/plus de 10 000km</v>
      </c>
      <c r="F95" s="80">
        <v>0.59</v>
      </c>
      <c r="G95" s="80">
        <v>0.39</v>
      </c>
      <c r="H95" s="81"/>
      <c r="I95" s="81"/>
      <c r="J95" s="81"/>
      <c r="K95" s="82"/>
      <c r="L95" s="96"/>
      <c r="M95" s="135">
        <v>2.2000000000000002</v>
      </c>
      <c r="N95" s="135">
        <v>0</v>
      </c>
      <c r="O95" s="135">
        <v>25.2</v>
      </c>
      <c r="P95" s="135">
        <v>0.5</v>
      </c>
      <c r="Q95" s="174"/>
    </row>
    <row r="96" spans="1:17" ht="15" thickTop="1">
      <c r="A96" s="356" t="s">
        <v>261</v>
      </c>
      <c r="B96" s="150"/>
      <c r="C96" s="151"/>
      <c r="D96" s="73" t="s">
        <v>33</v>
      </c>
      <c r="E96" s="208" t="str">
        <f>A$96&amp;"/"&amp;D96</f>
        <v>Plaquettes forestières issue de billons/0-500km</v>
      </c>
      <c r="F96" s="74">
        <v>0.92</v>
      </c>
      <c r="G96" s="74">
        <v>0.88</v>
      </c>
      <c r="H96" s="75"/>
      <c r="I96" s="75"/>
      <c r="J96" s="75"/>
      <c r="K96" s="76"/>
      <c r="L96" s="95"/>
      <c r="M96" s="78">
        <v>1.1000000000000001</v>
      </c>
      <c r="N96" s="78">
        <v>0.4</v>
      </c>
      <c r="O96" s="78">
        <v>3.6</v>
      </c>
      <c r="P96" s="78">
        <v>0.5</v>
      </c>
      <c r="Q96" s="173"/>
    </row>
    <row r="97" spans="1:17">
      <c r="A97" s="359"/>
      <c r="B97" s="380"/>
      <c r="C97" s="72"/>
      <c r="D97" s="73" t="s">
        <v>34</v>
      </c>
      <c r="E97" s="208" t="str">
        <f t="shared" ref="E97:E99" si="15">A$96&amp;"/"&amp;D97</f>
        <v>Plaquettes forestières issue de billons/500-2 500km</v>
      </c>
      <c r="F97" s="74">
        <v>0.88</v>
      </c>
      <c r="G97" s="74">
        <v>0.82</v>
      </c>
      <c r="H97" s="75"/>
      <c r="I97" s="75"/>
      <c r="J97" s="75"/>
      <c r="K97" s="76"/>
      <c r="L97" s="95"/>
      <c r="M97" s="78">
        <v>1.1000000000000001</v>
      </c>
      <c r="N97" s="78">
        <v>0.4</v>
      </c>
      <c r="O97" s="78">
        <v>6.2</v>
      </c>
      <c r="P97" s="78">
        <v>0.5</v>
      </c>
      <c r="Q97" s="173"/>
    </row>
    <row r="98" spans="1:17">
      <c r="A98" s="359"/>
      <c r="B98" s="380"/>
      <c r="C98" s="72"/>
      <c r="D98" s="73" t="s">
        <v>35</v>
      </c>
      <c r="E98" s="208" t="str">
        <f t="shared" si="15"/>
        <v>Plaquettes forestières issue de billons/2 500-10 000km</v>
      </c>
      <c r="F98" s="74">
        <v>0.79</v>
      </c>
      <c r="G98" s="74">
        <v>0.68</v>
      </c>
      <c r="H98" s="75"/>
      <c r="I98" s="75"/>
      <c r="J98" s="75"/>
      <c r="K98" s="76"/>
      <c r="L98" s="95"/>
      <c r="M98" s="78">
        <v>1.1000000000000001</v>
      </c>
      <c r="N98" s="78">
        <v>0.4</v>
      </c>
      <c r="O98" s="78">
        <v>12.6</v>
      </c>
      <c r="P98" s="78">
        <v>0.5</v>
      </c>
      <c r="Q98" s="173"/>
    </row>
    <row r="99" spans="1:17" ht="15" thickBot="1">
      <c r="A99" s="358"/>
      <c r="B99" s="381"/>
      <c r="C99" s="139"/>
      <c r="D99" s="79" t="s">
        <v>36</v>
      </c>
      <c r="E99" s="208" t="str">
        <f t="shared" si="15"/>
        <v>Plaquettes forestières issue de billons/plus de 10 000km</v>
      </c>
      <c r="F99" s="80">
        <v>0.61</v>
      </c>
      <c r="G99" s="80">
        <v>0.42</v>
      </c>
      <c r="H99" s="81"/>
      <c r="I99" s="81"/>
      <c r="J99" s="81"/>
      <c r="K99" s="82"/>
      <c r="L99" s="96"/>
      <c r="M99" s="135">
        <v>1.1000000000000001</v>
      </c>
      <c r="N99" s="135">
        <v>0.4</v>
      </c>
      <c r="O99" s="135">
        <v>24.6</v>
      </c>
      <c r="P99" s="135">
        <v>0.5</v>
      </c>
      <c r="Q99" s="174"/>
    </row>
    <row r="100" spans="1:17" ht="30" thickTop="1" thickBot="1">
      <c r="A100" s="356" t="s">
        <v>262</v>
      </c>
      <c r="B100" s="109" t="s">
        <v>219</v>
      </c>
      <c r="C100" s="140"/>
      <c r="D100" s="73" t="s">
        <v>35</v>
      </c>
      <c r="E100" s="208" t="str">
        <f>A$100&amp;"/"&amp;D100</f>
        <v>Briquettes ou granulés de bois provenant de taillis à courte rotation (eucalyptus)/2 500-10 000km</v>
      </c>
      <c r="F100" s="74">
        <v>0.43</v>
      </c>
      <c r="G100" s="74">
        <v>0.15</v>
      </c>
      <c r="H100" s="75"/>
      <c r="I100" s="75"/>
      <c r="J100" s="75"/>
      <c r="K100" s="76"/>
      <c r="L100" s="95"/>
      <c r="M100" s="78">
        <v>3.9</v>
      </c>
      <c r="N100" s="78">
        <v>29.4</v>
      </c>
      <c r="O100" s="78">
        <v>5.2</v>
      </c>
      <c r="P100" s="78">
        <v>0.3</v>
      </c>
      <c r="Q100" s="173"/>
    </row>
    <row r="101" spans="1:17" ht="58.8" thickTop="1" thickBot="1">
      <c r="A101" s="357"/>
      <c r="B101" s="172" t="s">
        <v>220</v>
      </c>
      <c r="C101" s="125"/>
      <c r="D101" s="162" t="s">
        <v>35</v>
      </c>
      <c r="E101" s="208" t="str">
        <f>A$100&amp;"/"&amp;D101</f>
        <v>Briquettes ou granulés de bois provenant de taillis à courte rotation (eucalyptus)/2 500-10 000km</v>
      </c>
      <c r="F101" s="163">
        <v>0.66</v>
      </c>
      <c r="G101" s="163">
        <v>0.49</v>
      </c>
      <c r="H101" s="164"/>
      <c r="I101" s="164"/>
      <c r="J101" s="164"/>
      <c r="K101" s="165"/>
      <c r="L101" s="166"/>
      <c r="M101" s="167">
        <v>5.0999999999999996</v>
      </c>
      <c r="N101" s="167">
        <v>12.7</v>
      </c>
      <c r="O101" s="167">
        <v>5.3</v>
      </c>
      <c r="P101" s="167">
        <v>0.3</v>
      </c>
      <c r="Q101" s="176"/>
    </row>
    <row r="102" spans="1:17" ht="44.4" thickTop="1" thickBot="1">
      <c r="A102" s="358"/>
      <c r="B102" s="110" t="s">
        <v>221</v>
      </c>
      <c r="C102" s="156"/>
      <c r="D102" s="79" t="s">
        <v>35</v>
      </c>
      <c r="E102" s="208" t="str">
        <f>A$100&amp;"/"&amp;D102</f>
        <v>Briquettes ou granulés de bois provenant de taillis à courte rotation (eucalyptus)/2 500-10 000km</v>
      </c>
      <c r="F102" s="80">
        <v>0.83</v>
      </c>
      <c r="G102" s="80">
        <v>0.75</v>
      </c>
      <c r="H102" s="81"/>
      <c r="I102" s="81"/>
      <c r="J102" s="81"/>
      <c r="K102" s="82"/>
      <c r="L102" s="96"/>
      <c r="M102" s="135">
        <v>5.3</v>
      </c>
      <c r="N102" s="135">
        <v>0.4</v>
      </c>
      <c r="O102" s="135">
        <v>5.3</v>
      </c>
      <c r="P102" s="135">
        <v>0.3</v>
      </c>
      <c r="Q102" s="174"/>
    </row>
    <row r="103" spans="1:17" ht="15.75" customHeight="1" thickTop="1">
      <c r="A103" s="356" t="s">
        <v>263</v>
      </c>
      <c r="B103" s="353" t="s">
        <v>220</v>
      </c>
      <c r="C103" s="72"/>
      <c r="D103" s="73" t="s">
        <v>33</v>
      </c>
      <c r="E103" s="208" t="str">
        <f>A$103&amp;"/"&amp;D103</f>
        <v>Briquettes ou granulés de bois provenant de taillis à courte rotation (peuplier — fertilisé)/0-500km</v>
      </c>
      <c r="F103" s="74">
        <v>0.46</v>
      </c>
      <c r="G103" s="74">
        <v>0.2</v>
      </c>
      <c r="H103" s="75"/>
      <c r="I103" s="75"/>
      <c r="J103" s="75"/>
      <c r="K103" s="76"/>
      <c r="L103" s="95"/>
      <c r="M103" s="78">
        <v>3.4</v>
      </c>
      <c r="N103" s="78">
        <v>29.4</v>
      </c>
      <c r="O103" s="78">
        <v>3.5</v>
      </c>
      <c r="P103" s="161">
        <v>0.3</v>
      </c>
      <c r="Q103" s="177"/>
    </row>
    <row r="104" spans="1:17">
      <c r="A104" s="359"/>
      <c r="B104" s="354"/>
      <c r="C104" s="72"/>
      <c r="D104" s="73" t="s">
        <v>241</v>
      </c>
      <c r="E104" s="208" t="str">
        <f t="shared" ref="E104:E105" si="16">A$103&amp;"/"&amp;D104</f>
        <v>Briquettes ou granulés de bois provenant de taillis à courte rotation (peuplier — fertilisé)/500-10 000km</v>
      </c>
      <c r="F104" s="74">
        <v>0.44</v>
      </c>
      <c r="G104" s="74">
        <v>0.16</v>
      </c>
      <c r="H104" s="75"/>
      <c r="I104" s="75"/>
      <c r="J104" s="75"/>
      <c r="K104" s="76"/>
      <c r="L104" s="95"/>
      <c r="M104" s="78">
        <v>3.4</v>
      </c>
      <c r="N104" s="78">
        <v>29.4</v>
      </c>
      <c r="O104" s="78">
        <v>5.2</v>
      </c>
      <c r="P104" s="161">
        <v>0.3</v>
      </c>
      <c r="Q104" s="177"/>
    </row>
    <row r="105" spans="1:17" ht="15" thickBot="1">
      <c r="A105" s="359"/>
      <c r="B105" s="354"/>
      <c r="C105" s="157"/>
      <c r="D105" s="73" t="s">
        <v>36</v>
      </c>
      <c r="E105" s="208" t="str">
        <f t="shared" si="16"/>
        <v>Briquettes ou granulés de bois provenant de taillis à courte rotation (peuplier — fertilisé)/plus de 10 000km</v>
      </c>
      <c r="F105" s="74">
        <v>0.37</v>
      </c>
      <c r="G105" s="74">
        <v>7.0000000000000007E-2</v>
      </c>
      <c r="H105" s="158"/>
      <c r="I105" s="158"/>
      <c r="J105" s="158"/>
      <c r="K105" s="159"/>
      <c r="L105" s="160"/>
      <c r="M105" s="135">
        <v>3.4</v>
      </c>
      <c r="N105" s="135">
        <v>29.4</v>
      </c>
      <c r="O105" s="135">
        <v>9.5</v>
      </c>
      <c r="P105" s="135">
        <v>0.3</v>
      </c>
      <c r="Q105" s="174"/>
    </row>
    <row r="106" spans="1:17" ht="15" customHeight="1" thickTop="1">
      <c r="A106" s="359"/>
      <c r="B106" s="353" t="s">
        <v>221</v>
      </c>
      <c r="C106" s="140"/>
      <c r="D106" s="92" t="s">
        <v>33</v>
      </c>
      <c r="E106" s="208" t="str">
        <f>A$103&amp;"/"&amp;D106</f>
        <v>Briquettes ou granulés de bois provenant de taillis à courte rotation (peuplier — fertilisé)/0-500km</v>
      </c>
      <c r="F106" s="143">
        <v>0.69</v>
      </c>
      <c r="G106" s="143">
        <v>0.54</v>
      </c>
      <c r="H106" s="168"/>
      <c r="I106" s="168"/>
      <c r="J106" s="168"/>
      <c r="K106" s="169"/>
      <c r="L106" s="170"/>
      <c r="M106" s="161">
        <v>4.4000000000000004</v>
      </c>
      <c r="N106" s="161">
        <v>12.7</v>
      </c>
      <c r="O106" s="161">
        <v>3.6</v>
      </c>
      <c r="P106" s="161">
        <v>0.3</v>
      </c>
      <c r="Q106" s="177"/>
    </row>
    <row r="107" spans="1:17">
      <c r="A107" s="359"/>
      <c r="B107" s="354"/>
      <c r="C107" s="157"/>
      <c r="D107" s="73" t="s">
        <v>241</v>
      </c>
      <c r="E107" s="208" t="str">
        <f t="shared" ref="E107:E111" si="17">A$103&amp;"/"&amp;D107</f>
        <v>Briquettes ou granulés de bois provenant de taillis à courte rotation (peuplier — fertilisé)/500-10 000km</v>
      </c>
      <c r="F107" s="74">
        <v>0.67</v>
      </c>
      <c r="G107" s="74">
        <v>0.5</v>
      </c>
      <c r="H107" s="158"/>
      <c r="I107" s="158"/>
      <c r="J107" s="158"/>
      <c r="K107" s="159"/>
      <c r="L107" s="160"/>
      <c r="M107" s="161">
        <v>4.4000000000000004</v>
      </c>
      <c r="N107" s="161">
        <v>12.7</v>
      </c>
      <c r="O107" s="161">
        <v>5.3</v>
      </c>
      <c r="P107" s="161">
        <v>0.3</v>
      </c>
      <c r="Q107" s="177"/>
    </row>
    <row r="108" spans="1:17" ht="15" thickBot="1">
      <c r="A108" s="359"/>
      <c r="B108" s="355"/>
      <c r="C108" s="134"/>
      <c r="D108" s="79" t="s">
        <v>36</v>
      </c>
      <c r="E108" s="208" t="str">
        <f t="shared" si="17"/>
        <v>Briquettes ou granulés de bois provenant de taillis à courte rotation (peuplier — fertilisé)/plus de 10 000km</v>
      </c>
      <c r="F108" s="80">
        <v>0.6</v>
      </c>
      <c r="G108" s="80">
        <v>0.41</v>
      </c>
      <c r="H108" s="81"/>
      <c r="I108" s="81"/>
      <c r="J108" s="81"/>
      <c r="K108" s="82"/>
      <c r="L108" s="96"/>
      <c r="M108" s="135">
        <v>4.4000000000000004</v>
      </c>
      <c r="N108" s="135">
        <v>12.7</v>
      </c>
      <c r="O108" s="135">
        <v>9.8000000000000007</v>
      </c>
      <c r="P108" s="135">
        <v>0.3</v>
      </c>
      <c r="Q108" s="174"/>
    </row>
    <row r="109" spans="1:17" ht="15" customHeight="1" thickTop="1">
      <c r="A109" s="359"/>
      <c r="B109" s="354" t="s">
        <v>219</v>
      </c>
      <c r="C109" s="151"/>
      <c r="D109" s="73" t="s">
        <v>33</v>
      </c>
      <c r="E109" s="208" t="str">
        <f t="shared" si="17"/>
        <v>Briquettes ou granulés de bois provenant de taillis à courte rotation (peuplier — fertilisé)/0-500km</v>
      </c>
      <c r="F109" s="74">
        <v>0.87</v>
      </c>
      <c r="G109" s="74">
        <v>0.81</v>
      </c>
      <c r="H109" s="75"/>
      <c r="I109" s="75"/>
      <c r="J109" s="75"/>
      <c r="K109" s="76"/>
      <c r="L109" s="95"/>
      <c r="M109" s="78">
        <v>4.5999999999999996</v>
      </c>
      <c r="N109" s="78">
        <v>0.4</v>
      </c>
      <c r="O109" s="78">
        <v>3.6</v>
      </c>
      <c r="P109" s="161">
        <v>0.3</v>
      </c>
      <c r="Q109" s="177"/>
    </row>
    <row r="110" spans="1:17">
      <c r="A110" s="359"/>
      <c r="B110" s="354"/>
      <c r="C110" s="72"/>
      <c r="D110" s="73" t="s">
        <v>241</v>
      </c>
      <c r="E110" s="208" t="str">
        <f t="shared" si="17"/>
        <v>Briquettes ou granulés de bois provenant de taillis à courte rotation (peuplier — fertilisé)/500-10 000km</v>
      </c>
      <c r="F110" s="74">
        <v>0.84</v>
      </c>
      <c r="G110" s="74">
        <v>0.77</v>
      </c>
      <c r="H110" s="75"/>
      <c r="I110" s="75"/>
      <c r="J110" s="75"/>
      <c r="K110" s="76"/>
      <c r="L110" s="95"/>
      <c r="M110" s="78">
        <v>4.5999999999999996</v>
      </c>
      <c r="N110" s="78">
        <v>0.4</v>
      </c>
      <c r="O110" s="78">
        <v>5.3</v>
      </c>
      <c r="P110" s="161">
        <v>0.3</v>
      </c>
      <c r="Q110" s="177"/>
    </row>
    <row r="111" spans="1:17" ht="15" thickBot="1">
      <c r="A111" s="358"/>
      <c r="B111" s="355"/>
      <c r="C111" s="134"/>
      <c r="D111" s="79" t="s">
        <v>36</v>
      </c>
      <c r="E111" s="208" t="str">
        <f t="shared" si="17"/>
        <v>Briquettes ou granulés de bois provenant de taillis à courte rotation (peuplier — fertilisé)/plus de 10 000km</v>
      </c>
      <c r="F111" s="80">
        <v>0.78</v>
      </c>
      <c r="G111" s="80">
        <v>0.67</v>
      </c>
      <c r="H111" s="81"/>
      <c r="I111" s="81"/>
      <c r="J111" s="81"/>
      <c r="K111" s="82"/>
      <c r="L111" s="96"/>
      <c r="M111" s="135">
        <v>4.5999999999999996</v>
      </c>
      <c r="N111" s="135">
        <v>0.4</v>
      </c>
      <c r="O111" s="135">
        <v>9.8000000000000007</v>
      </c>
      <c r="P111" s="135">
        <v>0.3</v>
      </c>
      <c r="Q111" s="174"/>
    </row>
    <row r="112" spans="1:17" ht="15" thickTop="1">
      <c r="A112" s="356" t="s">
        <v>264</v>
      </c>
      <c r="B112" s="353" t="s">
        <v>220</v>
      </c>
      <c r="C112" s="171"/>
      <c r="D112" s="92" t="s">
        <v>33</v>
      </c>
      <c r="E112" s="208" t="str">
        <f>A$112&amp;"/"&amp;D112</f>
        <v>Briquettes ou granulés de bois provenant de taillis à courte rotation (peuplier — pas de fertilisation)/0-500km</v>
      </c>
      <c r="F112" s="143">
        <v>0.48</v>
      </c>
      <c r="G112" s="143">
        <v>0.23</v>
      </c>
      <c r="H112" s="168"/>
      <c r="I112" s="168"/>
      <c r="J112" s="168"/>
      <c r="K112" s="169"/>
      <c r="L112" s="170"/>
      <c r="M112" s="161">
        <v>2</v>
      </c>
      <c r="N112" s="161">
        <v>29.4</v>
      </c>
      <c r="O112" s="161">
        <v>3.5</v>
      </c>
      <c r="P112" s="161">
        <v>0.3</v>
      </c>
      <c r="Q112" s="177"/>
    </row>
    <row r="113" spans="1:17">
      <c r="A113" s="359"/>
      <c r="B113" s="354"/>
      <c r="C113" s="157"/>
      <c r="D113" s="73" t="s">
        <v>241</v>
      </c>
      <c r="E113" s="208" t="str">
        <f t="shared" ref="E113:E120" si="18">A$112&amp;"/"&amp;D113</f>
        <v>Briquettes ou granulés de bois provenant de taillis à courte rotation (peuplier — pas de fertilisation)/500-10 000km</v>
      </c>
      <c r="F113" s="74">
        <v>0.46</v>
      </c>
      <c r="G113" s="74">
        <v>0.2</v>
      </c>
      <c r="H113" s="158"/>
      <c r="I113" s="158"/>
      <c r="J113" s="158"/>
      <c r="K113" s="159"/>
      <c r="L113" s="160"/>
      <c r="M113" s="161">
        <v>2</v>
      </c>
      <c r="N113" s="161">
        <v>29.4</v>
      </c>
      <c r="O113" s="161">
        <v>5.2</v>
      </c>
      <c r="P113" s="161">
        <v>0.3</v>
      </c>
      <c r="Q113" s="177"/>
    </row>
    <row r="114" spans="1:17" ht="15" thickBot="1">
      <c r="A114" s="359"/>
      <c r="B114" s="355"/>
      <c r="C114" s="134"/>
      <c r="D114" s="79" t="s">
        <v>36</v>
      </c>
      <c r="E114" s="208" t="str">
        <f t="shared" si="18"/>
        <v>Briquettes ou granulés de bois provenant de taillis à courte rotation (peuplier — pas de fertilisation)/plus de 10 000km</v>
      </c>
      <c r="F114" s="80">
        <v>0.4</v>
      </c>
      <c r="G114" s="80">
        <v>0.1</v>
      </c>
      <c r="H114" s="81"/>
      <c r="I114" s="81"/>
      <c r="J114" s="81"/>
      <c r="K114" s="82"/>
      <c r="L114" s="96"/>
      <c r="M114" s="135">
        <v>2</v>
      </c>
      <c r="N114" s="135">
        <v>29.4</v>
      </c>
      <c r="O114" s="135">
        <v>9.5</v>
      </c>
      <c r="P114" s="135">
        <v>0.3</v>
      </c>
      <c r="Q114" s="174"/>
    </row>
    <row r="115" spans="1:17" ht="15" thickTop="1">
      <c r="A115" s="359"/>
      <c r="B115" s="354" t="s">
        <v>221</v>
      </c>
      <c r="C115" s="151"/>
      <c r="D115" s="73" t="s">
        <v>33</v>
      </c>
      <c r="E115" s="208" t="str">
        <f t="shared" si="18"/>
        <v>Briquettes ou granulés de bois provenant de taillis à courte rotation (peuplier — pas de fertilisation)/0-500km</v>
      </c>
      <c r="F115" s="74">
        <v>0.72</v>
      </c>
      <c r="G115" s="74">
        <v>0.57999999999999996</v>
      </c>
      <c r="H115" s="158"/>
      <c r="I115" s="158"/>
      <c r="J115" s="158"/>
      <c r="K115" s="159"/>
      <c r="L115" s="160"/>
      <c r="M115" s="161">
        <v>2.5</v>
      </c>
      <c r="N115" s="161">
        <v>12.7</v>
      </c>
      <c r="O115" s="161">
        <v>3.6</v>
      </c>
      <c r="P115" s="161">
        <v>0.3</v>
      </c>
      <c r="Q115" s="177"/>
    </row>
    <row r="116" spans="1:17">
      <c r="A116" s="359"/>
      <c r="B116" s="354"/>
      <c r="C116" s="157"/>
      <c r="D116" s="73" t="s">
        <v>241</v>
      </c>
      <c r="E116" s="208" t="str">
        <f t="shared" si="18"/>
        <v>Briquettes ou granulés de bois provenant de taillis à courte rotation (peuplier — pas de fertilisation)/500-10 000km</v>
      </c>
      <c r="F116" s="74">
        <v>0.69</v>
      </c>
      <c r="G116" s="74">
        <v>0.54</v>
      </c>
      <c r="H116" s="158"/>
      <c r="I116" s="158"/>
      <c r="J116" s="158"/>
      <c r="K116" s="159"/>
      <c r="L116" s="160"/>
      <c r="M116" s="161">
        <v>2.5</v>
      </c>
      <c r="N116" s="161">
        <v>12.7</v>
      </c>
      <c r="O116" s="161">
        <v>5.3</v>
      </c>
      <c r="P116" s="161">
        <v>0.3</v>
      </c>
      <c r="Q116" s="177"/>
    </row>
    <row r="117" spans="1:17" ht="15" thickBot="1">
      <c r="A117" s="359"/>
      <c r="B117" s="355"/>
      <c r="C117" s="134"/>
      <c r="D117" s="79" t="s">
        <v>36</v>
      </c>
      <c r="E117" s="208" t="str">
        <f t="shared" si="18"/>
        <v>Briquettes ou granulés de bois provenant de taillis à courte rotation (peuplier — pas de fertilisation)/plus de 10 000km</v>
      </c>
      <c r="F117" s="80">
        <v>0.63</v>
      </c>
      <c r="G117" s="80">
        <v>0.45</v>
      </c>
      <c r="H117" s="81"/>
      <c r="I117" s="81"/>
      <c r="J117" s="81"/>
      <c r="K117" s="82"/>
      <c r="L117" s="96"/>
      <c r="M117" s="135">
        <v>2.5</v>
      </c>
      <c r="N117" s="135">
        <v>12.7</v>
      </c>
      <c r="O117" s="135">
        <v>9.8000000000000007</v>
      </c>
      <c r="P117" s="135">
        <v>0.3</v>
      </c>
      <c r="Q117" s="174"/>
    </row>
    <row r="118" spans="1:17" ht="15" thickTop="1">
      <c r="A118" s="359"/>
      <c r="B118" s="354" t="s">
        <v>219</v>
      </c>
      <c r="C118" s="151"/>
      <c r="D118" s="73" t="s">
        <v>33</v>
      </c>
      <c r="E118" s="208" t="str">
        <f t="shared" si="18"/>
        <v>Briquettes ou granulés de bois provenant de taillis à courte rotation (peuplier — pas de fertilisation)/0-500km</v>
      </c>
      <c r="F118" s="74">
        <v>0.9</v>
      </c>
      <c r="G118" s="74">
        <v>0.85</v>
      </c>
      <c r="H118" s="75"/>
      <c r="I118" s="75"/>
      <c r="J118" s="75"/>
      <c r="K118" s="76"/>
      <c r="L118" s="95"/>
      <c r="M118" s="78">
        <v>2.6</v>
      </c>
      <c r="N118" s="78">
        <v>0.4</v>
      </c>
      <c r="O118" s="161">
        <v>3.6</v>
      </c>
      <c r="P118" s="78">
        <v>0.3</v>
      </c>
      <c r="Q118" s="173"/>
    </row>
    <row r="119" spans="1:17">
      <c r="A119" s="359"/>
      <c r="B119" s="354"/>
      <c r="C119" s="72"/>
      <c r="D119" s="73" t="s">
        <v>241</v>
      </c>
      <c r="E119" s="208" t="str">
        <f t="shared" si="18"/>
        <v>Briquettes ou granulés de bois provenant de taillis à courte rotation (peuplier — pas de fertilisation)/500-10 000km</v>
      </c>
      <c r="F119" s="74">
        <v>0.87</v>
      </c>
      <c r="G119" s="74">
        <v>0.81</v>
      </c>
      <c r="H119" s="75"/>
      <c r="I119" s="75"/>
      <c r="J119" s="75"/>
      <c r="K119" s="76"/>
      <c r="L119" s="95"/>
      <c r="M119" s="78">
        <v>2.6</v>
      </c>
      <c r="N119" s="78">
        <v>0.4</v>
      </c>
      <c r="O119" s="161">
        <v>5.3</v>
      </c>
      <c r="P119" s="78">
        <v>0.3</v>
      </c>
      <c r="Q119" s="173"/>
    </row>
    <row r="120" spans="1:17" ht="15" thickBot="1">
      <c r="A120" s="358"/>
      <c r="B120" s="355"/>
      <c r="C120" s="134"/>
      <c r="D120" s="79" t="s">
        <v>36</v>
      </c>
      <c r="E120" s="208" t="str">
        <f t="shared" si="18"/>
        <v>Briquettes ou granulés de bois provenant de taillis à courte rotation (peuplier — pas de fertilisation)/plus de 10 000km</v>
      </c>
      <c r="F120" s="80">
        <v>0.81</v>
      </c>
      <c r="G120" s="80">
        <v>0.71</v>
      </c>
      <c r="H120" s="81"/>
      <c r="I120" s="81"/>
      <c r="J120" s="81"/>
      <c r="K120" s="82"/>
      <c r="L120" s="96"/>
      <c r="M120" s="135">
        <v>2.6</v>
      </c>
      <c r="N120" s="135">
        <v>0.4</v>
      </c>
      <c r="O120" s="135">
        <v>9.8000000000000007</v>
      </c>
      <c r="P120" s="135">
        <v>0.3</v>
      </c>
      <c r="Q120" s="174"/>
    </row>
    <row r="121" spans="1:17" ht="15" thickTop="1">
      <c r="A121" s="356" t="s">
        <v>265</v>
      </c>
      <c r="B121" s="373" t="s">
        <v>220</v>
      </c>
      <c r="C121" s="72"/>
      <c r="D121" s="73" t="s">
        <v>33</v>
      </c>
      <c r="E121" s="208" t="str">
        <f>A$121&amp;"/"&amp;D121</f>
        <v>Briquettes ou granulés de bois issus de billons/0-500km</v>
      </c>
      <c r="F121" s="74">
        <v>0.49</v>
      </c>
      <c r="G121" s="74">
        <v>0.24</v>
      </c>
      <c r="H121" s="75"/>
      <c r="I121" s="75"/>
      <c r="J121" s="75"/>
      <c r="K121" s="76"/>
      <c r="L121" s="95"/>
      <c r="M121" s="78">
        <v>1.1000000000000001</v>
      </c>
      <c r="N121" s="78">
        <v>29.8</v>
      </c>
      <c r="O121" s="78">
        <v>3.5</v>
      </c>
      <c r="P121" s="78">
        <v>0.3</v>
      </c>
      <c r="Q121" s="173"/>
    </row>
    <row r="122" spans="1:17">
      <c r="A122" s="359"/>
      <c r="B122" s="374"/>
      <c r="C122" s="72"/>
      <c r="D122" s="73" t="s">
        <v>34</v>
      </c>
      <c r="E122" s="208" t="str">
        <f t="shared" ref="E122:E132" si="19">A$121&amp;"/"&amp;D122</f>
        <v>Briquettes ou granulés de bois issus de billons/500-2 500km</v>
      </c>
      <c r="F122" s="74">
        <v>0.49</v>
      </c>
      <c r="G122" s="74">
        <v>0.25</v>
      </c>
      <c r="H122" s="75"/>
      <c r="I122" s="75"/>
      <c r="J122" s="75"/>
      <c r="K122" s="76"/>
      <c r="L122" s="95"/>
      <c r="M122" s="78">
        <v>1.1000000000000001</v>
      </c>
      <c r="N122" s="78">
        <v>29.8</v>
      </c>
      <c r="O122" s="78">
        <v>3.3</v>
      </c>
      <c r="P122" s="78">
        <v>0.3</v>
      </c>
      <c r="Q122" s="173"/>
    </row>
    <row r="123" spans="1:17">
      <c r="A123" s="359"/>
      <c r="B123" s="374"/>
      <c r="C123" s="72"/>
      <c r="D123" s="73" t="s">
        <v>35</v>
      </c>
      <c r="E123" s="208" t="str">
        <f t="shared" si="19"/>
        <v>Briquettes ou granulés de bois issus de billons/2 500-10 000km</v>
      </c>
      <c r="F123" s="74">
        <v>0.47</v>
      </c>
      <c r="G123" s="74">
        <v>0.21</v>
      </c>
      <c r="H123" s="75"/>
      <c r="I123" s="75"/>
      <c r="J123" s="75"/>
      <c r="K123" s="76"/>
      <c r="L123" s="95"/>
      <c r="M123" s="78">
        <v>1.1000000000000001</v>
      </c>
      <c r="N123" s="78">
        <v>29.8</v>
      </c>
      <c r="O123" s="78">
        <v>5.2</v>
      </c>
      <c r="P123" s="78">
        <v>0.3</v>
      </c>
      <c r="Q123" s="173"/>
    </row>
    <row r="124" spans="1:17" ht="15" thickBot="1">
      <c r="A124" s="359"/>
      <c r="B124" s="375"/>
      <c r="C124" s="134"/>
      <c r="D124" s="79" t="s">
        <v>36</v>
      </c>
      <c r="E124" s="208" t="str">
        <f t="shared" si="19"/>
        <v>Briquettes ou granulés de bois issus de billons/plus de 10 000km</v>
      </c>
      <c r="F124" s="80">
        <v>0.4</v>
      </c>
      <c r="G124" s="80">
        <v>0.11</v>
      </c>
      <c r="H124" s="81"/>
      <c r="I124" s="81"/>
      <c r="J124" s="81"/>
      <c r="K124" s="82"/>
      <c r="L124" s="96"/>
      <c r="M124" s="135">
        <v>1.1000000000000001</v>
      </c>
      <c r="N124" s="135">
        <v>29.8</v>
      </c>
      <c r="O124" s="135">
        <v>9.5</v>
      </c>
      <c r="P124" s="135">
        <v>0.3</v>
      </c>
      <c r="Q124" s="174"/>
    </row>
    <row r="125" spans="1:17" ht="15" thickTop="1">
      <c r="A125" s="359"/>
      <c r="B125" s="374" t="s">
        <v>221</v>
      </c>
      <c r="C125" s="151"/>
      <c r="D125" s="73" t="s">
        <v>33</v>
      </c>
      <c r="E125" s="208" t="str">
        <f t="shared" si="19"/>
        <v>Briquettes ou granulés de bois issus de billons/0-500km</v>
      </c>
      <c r="F125" s="74">
        <v>0.73</v>
      </c>
      <c r="G125" s="74">
        <v>0.6</v>
      </c>
      <c r="H125" s="75"/>
      <c r="I125" s="75"/>
      <c r="J125" s="75"/>
      <c r="K125" s="76"/>
      <c r="L125" s="95"/>
      <c r="M125" s="78">
        <v>1.4</v>
      </c>
      <c r="N125" s="78">
        <v>13.2</v>
      </c>
      <c r="O125" s="78">
        <v>3.6</v>
      </c>
      <c r="P125" s="78">
        <v>0.3</v>
      </c>
      <c r="Q125" s="173"/>
    </row>
    <row r="126" spans="1:17">
      <c r="A126" s="359"/>
      <c r="B126" s="374"/>
      <c r="C126" s="72"/>
      <c r="D126" s="73" t="s">
        <v>34</v>
      </c>
      <c r="E126" s="208" t="str">
        <f t="shared" si="19"/>
        <v>Briquettes ou granulés de bois issus de billons/500-2 500km</v>
      </c>
      <c r="F126" s="74">
        <v>0.73</v>
      </c>
      <c r="G126" s="74">
        <v>0.6</v>
      </c>
      <c r="H126" s="75"/>
      <c r="I126" s="75"/>
      <c r="J126" s="75"/>
      <c r="K126" s="76"/>
      <c r="L126" s="95"/>
      <c r="M126" s="78">
        <v>1.4</v>
      </c>
      <c r="N126" s="78">
        <v>13.2</v>
      </c>
      <c r="O126" s="78">
        <v>3.5</v>
      </c>
      <c r="P126" s="78">
        <v>0.3</v>
      </c>
      <c r="Q126" s="173"/>
    </row>
    <row r="127" spans="1:17">
      <c r="A127" s="359"/>
      <c r="B127" s="374"/>
      <c r="C127" s="72"/>
      <c r="D127" s="73" t="s">
        <v>35</v>
      </c>
      <c r="E127" s="208" t="str">
        <f t="shared" si="19"/>
        <v>Briquettes ou granulés de bois issus de billons/2 500-10 000km</v>
      </c>
      <c r="F127" s="74">
        <v>0.7</v>
      </c>
      <c r="G127" s="74">
        <v>0.56000000000000005</v>
      </c>
      <c r="H127" s="75"/>
      <c r="I127" s="75"/>
      <c r="J127" s="75"/>
      <c r="K127" s="76"/>
      <c r="L127" s="95"/>
      <c r="M127" s="78">
        <v>1.4</v>
      </c>
      <c r="N127" s="78">
        <v>13.2</v>
      </c>
      <c r="O127" s="78">
        <v>5.3</v>
      </c>
      <c r="P127" s="78">
        <v>0.3</v>
      </c>
      <c r="Q127" s="173"/>
    </row>
    <row r="128" spans="1:17" ht="15" thickBot="1">
      <c r="A128" s="359"/>
      <c r="B128" s="375"/>
      <c r="C128" s="134"/>
      <c r="D128" s="79" t="s">
        <v>36</v>
      </c>
      <c r="E128" s="208" t="str">
        <f t="shared" si="19"/>
        <v>Briquettes ou granulés de bois issus de billons/plus de 10 000km</v>
      </c>
      <c r="F128" s="80">
        <v>0.64</v>
      </c>
      <c r="G128" s="80">
        <v>0.46</v>
      </c>
      <c r="H128" s="81"/>
      <c r="I128" s="81"/>
      <c r="J128" s="81"/>
      <c r="K128" s="82"/>
      <c r="L128" s="96"/>
      <c r="M128" s="135">
        <v>1.4</v>
      </c>
      <c r="N128" s="135">
        <v>13.2</v>
      </c>
      <c r="O128" s="135">
        <v>9.8000000000000007</v>
      </c>
      <c r="P128" s="135">
        <v>0.3</v>
      </c>
      <c r="Q128" s="174"/>
    </row>
    <row r="129" spans="1:17" ht="15" thickTop="1">
      <c r="A129" s="359"/>
      <c r="B129" s="374" t="s">
        <v>219</v>
      </c>
      <c r="C129" s="151"/>
      <c r="D129" s="73" t="s">
        <v>33</v>
      </c>
      <c r="E129" s="208" t="str">
        <f t="shared" si="19"/>
        <v>Briquettes ou granulés de bois issus de billons/0-500km</v>
      </c>
      <c r="F129" s="74">
        <v>0.91</v>
      </c>
      <c r="G129" s="74">
        <v>0.91</v>
      </c>
      <c r="H129" s="75"/>
      <c r="I129" s="75"/>
      <c r="J129" s="75"/>
      <c r="K129" s="76"/>
      <c r="L129" s="95"/>
      <c r="M129" s="78">
        <v>1.4</v>
      </c>
      <c r="N129" s="78">
        <v>0.9</v>
      </c>
      <c r="O129" s="78">
        <v>3.6</v>
      </c>
      <c r="P129" s="78">
        <v>0.3</v>
      </c>
      <c r="Q129" s="173"/>
    </row>
    <row r="130" spans="1:17">
      <c r="A130" s="359"/>
      <c r="B130" s="374"/>
      <c r="C130" s="72"/>
      <c r="D130" s="73" t="s">
        <v>34</v>
      </c>
      <c r="E130" s="208" t="str">
        <f t="shared" si="19"/>
        <v>Briquettes ou granulés de bois issus de billons/500-2 500km</v>
      </c>
      <c r="F130" s="74">
        <v>0.91</v>
      </c>
      <c r="G130" s="74">
        <v>0.87</v>
      </c>
      <c r="H130" s="75"/>
      <c r="I130" s="75"/>
      <c r="J130" s="75"/>
      <c r="K130" s="76"/>
      <c r="L130" s="95"/>
      <c r="M130" s="78">
        <v>1.4</v>
      </c>
      <c r="N130" s="78">
        <v>0.9</v>
      </c>
      <c r="O130" s="78">
        <v>3.5</v>
      </c>
      <c r="P130" s="78">
        <v>0.3</v>
      </c>
      <c r="Q130" s="173"/>
    </row>
    <row r="131" spans="1:17">
      <c r="A131" s="359"/>
      <c r="B131" s="374"/>
      <c r="C131" s="72"/>
      <c r="D131" s="73" t="s">
        <v>35</v>
      </c>
      <c r="E131" s="208" t="str">
        <f t="shared" si="19"/>
        <v>Briquettes ou granulés de bois issus de billons/2 500-10 000km</v>
      </c>
      <c r="F131" s="74">
        <v>0.88</v>
      </c>
      <c r="G131" s="74">
        <v>0.83</v>
      </c>
      <c r="H131" s="75"/>
      <c r="I131" s="75"/>
      <c r="J131" s="75"/>
      <c r="K131" s="76"/>
      <c r="L131" s="95"/>
      <c r="M131" s="78">
        <v>1.4</v>
      </c>
      <c r="N131" s="78">
        <v>0.9</v>
      </c>
      <c r="O131" s="78">
        <v>5.3</v>
      </c>
      <c r="P131" s="78">
        <v>0.3</v>
      </c>
      <c r="Q131" s="173"/>
    </row>
    <row r="132" spans="1:17" ht="15" thickBot="1">
      <c r="A132" s="358"/>
      <c r="B132" s="375"/>
      <c r="C132" s="134"/>
      <c r="D132" s="79" t="s">
        <v>36</v>
      </c>
      <c r="E132" s="208" t="str">
        <f t="shared" si="19"/>
        <v>Briquettes ou granulés de bois issus de billons/plus de 10 000km</v>
      </c>
      <c r="F132" s="80">
        <v>0.82</v>
      </c>
      <c r="G132" s="80">
        <v>0.73</v>
      </c>
      <c r="H132" s="81"/>
      <c r="I132" s="81"/>
      <c r="J132" s="81"/>
      <c r="K132" s="82"/>
      <c r="L132" s="96"/>
      <c r="M132" s="135">
        <v>1.4</v>
      </c>
      <c r="N132" s="135">
        <v>0.9</v>
      </c>
      <c r="O132" s="135">
        <v>9.8000000000000007</v>
      </c>
      <c r="P132" s="135">
        <v>0.3</v>
      </c>
      <c r="Q132" s="174"/>
    </row>
    <row r="133" spans="1:17" ht="15" thickTop="1">
      <c r="A133" s="376" t="s">
        <v>235</v>
      </c>
      <c r="B133" s="377" t="s">
        <v>281</v>
      </c>
      <c r="C133" s="72"/>
      <c r="D133" s="20" t="s">
        <v>33</v>
      </c>
      <c r="E133" s="208" t="str">
        <f>A$133&amp;"/"&amp;D133</f>
        <v>Résidus agricoles d'une densité &lt; 0,2 t/m 3 (*)/0-500km</v>
      </c>
      <c r="F133" s="74">
        <v>0.93</v>
      </c>
      <c r="G133" s="74">
        <v>0.9</v>
      </c>
      <c r="H133" s="75"/>
      <c r="I133" s="75"/>
      <c r="J133" s="75"/>
      <c r="K133" s="169"/>
      <c r="L133" s="189"/>
      <c r="M133" s="78">
        <v>0</v>
      </c>
      <c r="N133" s="78">
        <v>1.1000000000000001</v>
      </c>
      <c r="O133" s="78">
        <v>3.1</v>
      </c>
      <c r="P133" s="78">
        <v>0.3</v>
      </c>
      <c r="Q133" s="173"/>
    </row>
    <row r="134" spans="1:17">
      <c r="A134" s="368"/>
      <c r="B134" s="371"/>
      <c r="C134" s="72"/>
      <c r="D134" s="73" t="s">
        <v>34</v>
      </c>
      <c r="E134" s="208" t="str">
        <f t="shared" ref="E134:E136" si="20">A$133&amp;"/"&amp;D134</f>
        <v>Résidus agricoles d'une densité &lt; 0,2 t/m 3 (*)/500-2 500km</v>
      </c>
      <c r="F134" s="74">
        <v>0.86</v>
      </c>
      <c r="G134" s="74">
        <v>0.8</v>
      </c>
      <c r="H134" s="75"/>
      <c r="I134" s="75"/>
      <c r="J134" s="75"/>
      <c r="K134" s="159"/>
      <c r="L134" s="189"/>
      <c r="M134" s="78">
        <v>0</v>
      </c>
      <c r="N134" s="78">
        <v>1.1000000000000001</v>
      </c>
      <c r="O134" s="78">
        <v>7.8</v>
      </c>
      <c r="P134" s="78">
        <v>0.3</v>
      </c>
      <c r="Q134" s="173"/>
    </row>
    <row r="135" spans="1:17">
      <c r="A135" s="368"/>
      <c r="B135" s="371"/>
      <c r="C135" s="72"/>
      <c r="D135" s="73" t="s">
        <v>35</v>
      </c>
      <c r="E135" s="208" t="str">
        <f t="shared" si="20"/>
        <v>Résidus agricoles d'une densité &lt; 0,2 t/m 3 (*)/2 500-10 000km</v>
      </c>
      <c r="F135" s="74">
        <v>0.73</v>
      </c>
      <c r="G135" s="74">
        <v>0.6</v>
      </c>
      <c r="H135" s="75"/>
      <c r="I135" s="75"/>
      <c r="J135" s="75"/>
      <c r="K135" s="159"/>
      <c r="L135" s="189"/>
      <c r="M135" s="78">
        <v>0</v>
      </c>
      <c r="N135" s="78">
        <v>1.1000000000000001</v>
      </c>
      <c r="O135" s="78">
        <v>17</v>
      </c>
      <c r="P135" s="78">
        <v>0.3</v>
      </c>
      <c r="Q135" s="173"/>
    </row>
    <row r="136" spans="1:17" ht="15" thickBot="1">
      <c r="A136" s="369"/>
      <c r="B136" s="372"/>
      <c r="C136" s="134"/>
      <c r="D136" s="79" t="s">
        <v>36</v>
      </c>
      <c r="E136" s="208" t="str">
        <f t="shared" si="20"/>
        <v>Résidus agricoles d'une densité &lt; 0,2 t/m 3 (*)/plus de 10 000km</v>
      </c>
      <c r="F136" s="80">
        <v>0.48</v>
      </c>
      <c r="G136" s="80">
        <v>0.23</v>
      </c>
      <c r="H136" s="81"/>
      <c r="I136" s="81"/>
      <c r="J136" s="81"/>
      <c r="K136" s="82"/>
      <c r="L136" s="190"/>
      <c r="M136" s="179">
        <v>0</v>
      </c>
      <c r="N136" s="135">
        <v>1.1000000000000001</v>
      </c>
      <c r="O136" s="135">
        <v>34</v>
      </c>
      <c r="P136" s="135">
        <v>0.3</v>
      </c>
      <c r="Q136" s="174"/>
    </row>
    <row r="137" spans="1:17" ht="15" thickTop="1">
      <c r="A137" s="376" t="s">
        <v>237</v>
      </c>
      <c r="B137" s="377" t="s">
        <v>282</v>
      </c>
      <c r="C137" s="72"/>
      <c r="D137" s="20" t="s">
        <v>33</v>
      </c>
      <c r="E137" s="208" t="str">
        <f>A$137&amp;"/"&amp;D137</f>
        <v>Résidus agricoles d'une densité &gt; 0,2 t/m 3 (**)/0-500km</v>
      </c>
      <c r="F137" s="74">
        <v>0.93</v>
      </c>
      <c r="G137" s="74">
        <v>0.9</v>
      </c>
      <c r="H137" s="75"/>
      <c r="I137" s="75"/>
      <c r="J137" s="75"/>
      <c r="K137" s="159"/>
      <c r="L137" s="189"/>
      <c r="M137" s="78">
        <v>0</v>
      </c>
      <c r="N137" s="78">
        <v>1.1000000000000001</v>
      </c>
      <c r="O137" s="78">
        <v>3.1</v>
      </c>
      <c r="P137" s="78">
        <v>0.3</v>
      </c>
      <c r="Q137" s="173"/>
    </row>
    <row r="138" spans="1:17">
      <c r="A138" s="368"/>
      <c r="B138" s="371"/>
      <c r="C138" s="72"/>
      <c r="D138" s="73" t="s">
        <v>34</v>
      </c>
      <c r="E138" s="208" t="str">
        <f t="shared" ref="E138:E140" si="21">A$137&amp;"/"&amp;D138</f>
        <v>Résidus agricoles d'une densité &gt; 0,2 t/m 3 (**)/500-2 500km</v>
      </c>
      <c r="F138" s="74">
        <v>0.92</v>
      </c>
      <c r="G138" s="74">
        <v>0.87</v>
      </c>
      <c r="H138" s="75"/>
      <c r="I138" s="75"/>
      <c r="J138" s="75"/>
      <c r="K138" s="159"/>
      <c r="L138" s="189"/>
      <c r="M138" s="78">
        <v>0</v>
      </c>
      <c r="N138" s="78">
        <v>1.1000000000000001</v>
      </c>
      <c r="O138" s="78">
        <v>4.4000000000000004</v>
      </c>
      <c r="P138" s="78">
        <v>0.3</v>
      </c>
      <c r="Q138" s="173"/>
    </row>
    <row r="139" spans="1:17">
      <c r="A139" s="368"/>
      <c r="B139" s="371"/>
      <c r="C139" s="72"/>
      <c r="D139" s="73" t="s">
        <v>35</v>
      </c>
      <c r="E139" s="208" t="str">
        <f t="shared" si="21"/>
        <v>Résidus agricoles d'une densité &gt; 0,2 t/m 3 (**)/2 500-10 000km</v>
      </c>
      <c r="F139" s="74">
        <v>0.85</v>
      </c>
      <c r="G139" s="74">
        <v>0.78</v>
      </c>
      <c r="H139" s="75"/>
      <c r="I139" s="75"/>
      <c r="J139" s="75"/>
      <c r="K139" s="159"/>
      <c r="L139" s="189"/>
      <c r="M139" s="78">
        <v>0</v>
      </c>
      <c r="N139" s="78">
        <v>1.1000000000000001</v>
      </c>
      <c r="O139" s="78">
        <v>8.5</v>
      </c>
      <c r="P139" s="78">
        <v>0.3</v>
      </c>
      <c r="Q139" s="173"/>
    </row>
    <row r="140" spans="1:17" ht="15" thickBot="1">
      <c r="A140" s="369"/>
      <c r="B140" s="372"/>
      <c r="C140" s="134"/>
      <c r="D140" s="79" t="s">
        <v>36</v>
      </c>
      <c r="E140" s="208" t="str">
        <f t="shared" si="21"/>
        <v>Résidus agricoles d'une densité &gt; 0,2 t/m 3 (**)/plus de 10 000km</v>
      </c>
      <c r="F140" s="80">
        <v>0.74</v>
      </c>
      <c r="G140" s="80">
        <v>0.61</v>
      </c>
      <c r="H140" s="81"/>
      <c r="I140" s="81"/>
      <c r="J140" s="81"/>
      <c r="K140" s="82"/>
      <c r="L140" s="190"/>
      <c r="M140" s="179">
        <v>0</v>
      </c>
      <c r="N140" s="135">
        <v>1.1000000000000001</v>
      </c>
      <c r="O140" s="135">
        <v>16.3</v>
      </c>
      <c r="P140" s="135">
        <v>0.3</v>
      </c>
      <c r="Q140" s="174"/>
    </row>
    <row r="141" spans="1:17" ht="15" thickTop="1">
      <c r="A141" s="376" t="s">
        <v>238</v>
      </c>
      <c r="B141" s="377"/>
      <c r="C141" s="72"/>
      <c r="D141" s="20" t="s">
        <v>33</v>
      </c>
      <c r="E141" s="208" t="str">
        <f>A$141&amp;"/"&amp;D141</f>
        <v>Paille granulée/0-500km</v>
      </c>
      <c r="F141" s="74">
        <v>0.85</v>
      </c>
      <c r="G141" s="74">
        <v>0.78</v>
      </c>
      <c r="H141" s="75"/>
      <c r="I141" s="75"/>
      <c r="J141" s="75"/>
      <c r="K141" s="159"/>
      <c r="L141" s="189"/>
      <c r="M141" s="78">
        <v>0</v>
      </c>
      <c r="N141" s="78">
        <v>6</v>
      </c>
      <c r="O141" s="78">
        <v>3.6</v>
      </c>
      <c r="P141" s="78">
        <v>0.3</v>
      </c>
      <c r="Q141" s="173"/>
    </row>
    <row r="142" spans="1:17">
      <c r="A142" s="368"/>
      <c r="B142" s="371"/>
      <c r="C142" s="72"/>
      <c r="D142" s="73" t="s">
        <v>241</v>
      </c>
      <c r="E142" s="208" t="str">
        <f t="shared" ref="E142:E143" si="22">A$141&amp;"/"&amp;D142</f>
        <v>Paille granulée/500-10 000km</v>
      </c>
      <c r="F142" s="74">
        <v>0.83</v>
      </c>
      <c r="G142" s="74">
        <v>0.74</v>
      </c>
      <c r="H142" s="75"/>
      <c r="I142" s="75"/>
      <c r="J142" s="75"/>
      <c r="K142" s="159"/>
      <c r="L142" s="189"/>
      <c r="M142" s="78">
        <v>0</v>
      </c>
      <c r="N142" s="78">
        <v>6</v>
      </c>
      <c r="O142" s="78">
        <v>5.5</v>
      </c>
      <c r="P142" s="78">
        <v>0.3</v>
      </c>
      <c r="Q142" s="173"/>
    </row>
    <row r="143" spans="1:17" ht="15" thickBot="1">
      <c r="A143" s="369"/>
      <c r="B143" s="372"/>
      <c r="C143" s="134"/>
      <c r="D143" s="79" t="s">
        <v>36</v>
      </c>
      <c r="E143" s="208" t="str">
        <f t="shared" si="22"/>
        <v>Paille granulée/plus de 10 000km</v>
      </c>
      <c r="F143" s="80">
        <v>0.76</v>
      </c>
      <c r="G143" s="80">
        <v>0.64</v>
      </c>
      <c r="H143" s="81"/>
      <c r="I143" s="81"/>
      <c r="J143" s="81"/>
      <c r="K143" s="82"/>
      <c r="L143" s="190"/>
      <c r="M143" s="179">
        <v>0</v>
      </c>
      <c r="N143" s="135">
        <v>6</v>
      </c>
      <c r="O143" s="135">
        <v>10</v>
      </c>
      <c r="P143" s="135">
        <v>0.3</v>
      </c>
      <c r="Q143" s="174"/>
    </row>
    <row r="144" spans="1:17" ht="15" thickTop="1">
      <c r="A144" s="368" t="s">
        <v>242</v>
      </c>
      <c r="B144" s="371"/>
      <c r="C144" s="72"/>
      <c r="D144" s="73" t="s">
        <v>241</v>
      </c>
      <c r="E144" s="208" t="str">
        <f>A$144&amp;"/"&amp;D144</f>
        <v>Briquettes de bagasse/500-10 000km</v>
      </c>
      <c r="F144" s="74">
        <v>0.91</v>
      </c>
      <c r="G144" s="74">
        <v>0.87</v>
      </c>
      <c r="H144" s="75"/>
      <c r="I144" s="75"/>
      <c r="J144" s="75"/>
      <c r="K144" s="159"/>
      <c r="L144" s="189"/>
      <c r="M144" s="78">
        <v>0</v>
      </c>
      <c r="N144" s="78">
        <v>0.4</v>
      </c>
      <c r="O144" s="78">
        <v>5.2</v>
      </c>
      <c r="P144" s="78">
        <v>0.5</v>
      </c>
      <c r="Q144" s="173"/>
    </row>
    <row r="145" spans="1:17" ht="15" thickBot="1">
      <c r="A145" s="369"/>
      <c r="B145" s="372"/>
      <c r="C145" s="134"/>
      <c r="D145" s="79" t="s">
        <v>36</v>
      </c>
      <c r="E145" s="208" t="str">
        <f>A$144&amp;"/"&amp;D145</f>
        <v>Briquettes de bagasse/plus de 10 000km</v>
      </c>
      <c r="F145" s="80">
        <v>0.85</v>
      </c>
      <c r="G145" s="80">
        <v>0.77</v>
      </c>
      <c r="H145" s="81"/>
      <c r="I145" s="81"/>
      <c r="J145" s="81"/>
      <c r="K145" s="82"/>
      <c r="L145" s="190"/>
      <c r="M145" s="135">
        <v>0</v>
      </c>
      <c r="N145" s="135">
        <v>0.4</v>
      </c>
      <c r="O145" s="135">
        <v>9.5</v>
      </c>
      <c r="P145" s="135">
        <v>0.5</v>
      </c>
      <c r="Q145" s="174"/>
    </row>
    <row r="146" spans="1:17" ht="15.6" thickTop="1" thickBot="1">
      <c r="A146" s="141" t="s">
        <v>243</v>
      </c>
      <c r="B146" s="136"/>
      <c r="C146" s="134"/>
      <c r="D146" s="79" t="s">
        <v>36</v>
      </c>
      <c r="E146" s="208" t="str">
        <f>A$146&amp;"/"&amp;D146</f>
        <v>Tourteau de palmiste/plus de 10 000km</v>
      </c>
      <c r="F146" s="80">
        <v>0.11</v>
      </c>
      <c r="G146" s="80">
        <v>-0.33</v>
      </c>
      <c r="H146" s="81"/>
      <c r="I146" s="81"/>
      <c r="J146" s="81"/>
      <c r="K146" s="82"/>
      <c r="L146" s="190"/>
      <c r="M146" s="135">
        <v>21.6</v>
      </c>
      <c r="N146" s="135">
        <v>25.4</v>
      </c>
      <c r="O146" s="135">
        <v>13.5</v>
      </c>
      <c r="P146" s="135">
        <v>0.3</v>
      </c>
      <c r="Q146" s="174"/>
    </row>
    <row r="147" spans="1:17" ht="30" thickTop="1" thickBot="1">
      <c r="A147" s="141" t="s">
        <v>244</v>
      </c>
      <c r="B147" s="136"/>
      <c r="C147" s="134"/>
      <c r="D147" s="79" t="s">
        <v>36</v>
      </c>
      <c r="E147" s="208" t="str">
        <f>A$147&amp;"/"&amp;D147</f>
        <v>Tourteau de palmiste (pas d'émissions de CH 4 provenant de l'huilerie)/plus de 10 000km</v>
      </c>
      <c r="F147" s="80">
        <v>0.42</v>
      </c>
      <c r="G147" s="80">
        <v>0.14000000000000001</v>
      </c>
      <c r="H147" s="81"/>
      <c r="I147" s="81"/>
      <c r="J147" s="81"/>
      <c r="K147" s="82"/>
      <c r="L147" s="190"/>
      <c r="M147" s="135">
        <v>21.6</v>
      </c>
      <c r="N147" s="135">
        <v>4.2</v>
      </c>
      <c r="O147" s="135">
        <v>13.5</v>
      </c>
      <c r="P147" s="135">
        <v>0.3</v>
      </c>
      <c r="Q147" s="174"/>
    </row>
    <row r="148" spans="1:17" ht="15" thickTop="1">
      <c r="A148" s="376" t="s">
        <v>246</v>
      </c>
      <c r="B148" s="377" t="s">
        <v>247</v>
      </c>
      <c r="C148" s="147" t="s">
        <v>16</v>
      </c>
      <c r="D148" s="205" t="s">
        <v>248</v>
      </c>
      <c r="E148" s="11" t="str">
        <f t="shared" ref="E148:E153" si="23">A$148&amp;"/"&amp;C148&amp;"/"&amp;D148</f>
        <v>Fumier humide/Cas 1/Digestat ouvert</v>
      </c>
      <c r="F148" s="146">
        <v>0</v>
      </c>
      <c r="G148" s="74">
        <v>0.94</v>
      </c>
      <c r="H148" s="75"/>
      <c r="I148" s="75"/>
      <c r="J148" s="75"/>
      <c r="K148" s="159"/>
      <c r="L148" s="189"/>
      <c r="M148" s="78">
        <v>0</v>
      </c>
      <c r="N148" s="78">
        <v>97.4</v>
      </c>
      <c r="O148" s="78">
        <v>0.8</v>
      </c>
      <c r="P148" s="78">
        <v>12.5</v>
      </c>
      <c r="Q148" s="78">
        <v>-107.3</v>
      </c>
    </row>
    <row r="149" spans="1:17">
      <c r="A149" s="368"/>
      <c r="B149" s="371"/>
      <c r="C149" s="148" t="s">
        <v>16</v>
      </c>
      <c r="D149" s="144" t="s">
        <v>249</v>
      </c>
      <c r="E149" s="11" t="str">
        <f t="shared" si="23"/>
        <v>Fumier humide/Cas 1/Digestat fermé</v>
      </c>
      <c r="F149" s="146">
        <v>0</v>
      </c>
      <c r="G149" s="145">
        <v>2.4</v>
      </c>
      <c r="H149" s="75"/>
      <c r="I149" s="75"/>
      <c r="J149" s="75"/>
      <c r="K149" s="159"/>
      <c r="L149" s="189"/>
      <c r="M149" s="78">
        <v>0</v>
      </c>
      <c r="N149" s="78">
        <v>0</v>
      </c>
      <c r="O149" s="78">
        <v>0.8</v>
      </c>
      <c r="P149" s="78">
        <v>12.5</v>
      </c>
      <c r="Q149" s="78">
        <v>-97.6</v>
      </c>
    </row>
    <row r="150" spans="1:17">
      <c r="A150" s="368"/>
      <c r="B150" s="371"/>
      <c r="C150" s="148" t="s">
        <v>91</v>
      </c>
      <c r="D150" s="205" t="s">
        <v>248</v>
      </c>
      <c r="E150" s="11" t="str">
        <f t="shared" si="23"/>
        <v>Fumier humide/Cas 2/Digestat ouvert</v>
      </c>
      <c r="F150" s="146">
        <v>0</v>
      </c>
      <c r="G150" s="145">
        <v>0.85</v>
      </c>
      <c r="H150" s="75"/>
      <c r="I150" s="75"/>
      <c r="J150" s="75"/>
      <c r="K150" s="159"/>
      <c r="L150" s="189"/>
      <c r="M150" s="78">
        <v>0</v>
      </c>
      <c r="N150" s="78">
        <v>103.7</v>
      </c>
      <c r="O150" s="78">
        <v>0.8</v>
      </c>
      <c r="P150" s="78">
        <v>12.5</v>
      </c>
      <c r="Q150" s="78">
        <v>-107.3</v>
      </c>
    </row>
    <row r="151" spans="1:17">
      <c r="A151" s="368"/>
      <c r="B151" s="371"/>
      <c r="C151" s="148" t="s">
        <v>91</v>
      </c>
      <c r="D151" s="144" t="s">
        <v>249</v>
      </c>
      <c r="E151" s="11" t="str">
        <f t="shared" si="23"/>
        <v>Fumier humide/Cas 2/Digestat fermé</v>
      </c>
      <c r="F151" s="146">
        <v>0</v>
      </c>
      <c r="G151" s="145">
        <v>2.19</v>
      </c>
      <c r="H151" s="75"/>
      <c r="I151" s="75"/>
      <c r="J151" s="75"/>
      <c r="K151" s="159"/>
      <c r="L151" s="189"/>
      <c r="M151" s="78">
        <v>0</v>
      </c>
      <c r="N151" s="78">
        <v>5.9</v>
      </c>
      <c r="O151" s="78">
        <v>0.8</v>
      </c>
      <c r="P151" s="78">
        <v>12.5</v>
      </c>
      <c r="Q151" s="78">
        <v>-97.6</v>
      </c>
    </row>
    <row r="152" spans="1:17">
      <c r="A152" s="368"/>
      <c r="B152" s="371"/>
      <c r="C152" s="148" t="s">
        <v>93</v>
      </c>
      <c r="D152" s="205" t="s">
        <v>248</v>
      </c>
      <c r="E152" s="11" t="str">
        <f t="shared" si="23"/>
        <v>Fumier humide/Cas 3/Digestat ouvert</v>
      </c>
      <c r="F152" s="146">
        <v>0</v>
      </c>
      <c r="G152" s="145">
        <v>0.86</v>
      </c>
      <c r="H152" s="75"/>
      <c r="I152" s="75"/>
      <c r="J152" s="75"/>
      <c r="K152" s="159"/>
      <c r="L152" s="189"/>
      <c r="M152" s="78">
        <v>0</v>
      </c>
      <c r="N152" s="78">
        <v>116.4</v>
      </c>
      <c r="O152" s="78">
        <v>0.8</v>
      </c>
      <c r="P152" s="78">
        <v>12.5</v>
      </c>
      <c r="Q152" s="78">
        <v>-120.7</v>
      </c>
    </row>
    <row r="153" spans="1:17" ht="15" thickBot="1">
      <c r="A153" s="369"/>
      <c r="B153" s="372"/>
      <c r="C153" s="148" t="s">
        <v>93</v>
      </c>
      <c r="D153" s="144" t="s">
        <v>249</v>
      </c>
      <c r="E153" s="11" t="str">
        <f t="shared" si="23"/>
        <v>Fumier humide/Cas 3/Digestat fermé</v>
      </c>
      <c r="F153" s="146">
        <v>0</v>
      </c>
      <c r="G153" s="80">
        <v>2.35</v>
      </c>
      <c r="H153" s="81"/>
      <c r="I153" s="81"/>
      <c r="J153" s="81"/>
      <c r="K153" s="82"/>
      <c r="L153" s="190"/>
      <c r="M153" s="135">
        <v>0</v>
      </c>
      <c r="N153" s="135">
        <v>6.4</v>
      </c>
      <c r="O153" s="135">
        <v>0.8</v>
      </c>
      <c r="P153" s="135">
        <v>12.5</v>
      </c>
      <c r="Q153" s="78">
        <v>-108.5</v>
      </c>
    </row>
    <row r="154" spans="1:17" ht="15" thickTop="1">
      <c r="A154" s="376" t="s">
        <v>251</v>
      </c>
      <c r="B154" s="377" t="s">
        <v>250</v>
      </c>
      <c r="C154" s="147" t="s">
        <v>16</v>
      </c>
      <c r="D154" s="206" t="s">
        <v>248</v>
      </c>
      <c r="E154" s="11" t="str">
        <f t="shared" ref="E154:E159" si="24">A$154&amp;"/"&amp;C154&amp;"/"&amp;D154</f>
        <v>Plant de maïs entier/Cas 1/Digestat ouvert</v>
      </c>
      <c r="F154" s="146">
        <v>0</v>
      </c>
      <c r="G154" s="74">
        <v>0.21</v>
      </c>
      <c r="H154" s="75"/>
      <c r="I154" s="75"/>
      <c r="J154" s="75"/>
      <c r="K154" s="159"/>
      <c r="L154" s="189"/>
      <c r="M154" s="78">
        <v>15.6</v>
      </c>
      <c r="N154" s="78">
        <v>18.899999999999999</v>
      </c>
      <c r="O154" s="78">
        <v>0</v>
      </c>
      <c r="P154" s="78">
        <v>12.5</v>
      </c>
      <c r="Q154" s="178"/>
    </row>
    <row r="155" spans="1:17">
      <c r="A155" s="368"/>
      <c r="B155" s="371"/>
      <c r="C155" s="148" t="s">
        <v>16</v>
      </c>
      <c r="D155" s="144" t="s">
        <v>249</v>
      </c>
      <c r="E155" s="11" t="str">
        <f t="shared" si="24"/>
        <v>Plant de maïs entier/Cas 1/Digestat fermé</v>
      </c>
      <c r="F155" s="146">
        <v>0</v>
      </c>
      <c r="G155" s="74">
        <v>0.53</v>
      </c>
      <c r="H155" s="75"/>
      <c r="I155" s="75"/>
      <c r="J155" s="75"/>
      <c r="K155" s="159"/>
      <c r="L155" s="189"/>
      <c r="M155" s="78">
        <v>15.2</v>
      </c>
      <c r="N155" s="78">
        <v>0</v>
      </c>
      <c r="O155" s="78">
        <v>0</v>
      </c>
      <c r="P155" s="78">
        <v>12.5</v>
      </c>
      <c r="Q155" s="173"/>
    </row>
    <row r="156" spans="1:17">
      <c r="A156" s="368"/>
      <c r="B156" s="371"/>
      <c r="C156" s="148" t="s">
        <v>91</v>
      </c>
      <c r="D156" s="205" t="s">
        <v>248</v>
      </c>
      <c r="E156" s="11" t="str">
        <f t="shared" si="24"/>
        <v>Plant de maïs entier/Cas 2/Digestat ouvert</v>
      </c>
      <c r="F156" s="146">
        <v>0</v>
      </c>
      <c r="G156" s="74">
        <v>0.18</v>
      </c>
      <c r="H156" s="75"/>
      <c r="I156" s="75"/>
      <c r="J156" s="75"/>
      <c r="K156" s="159"/>
      <c r="L156" s="189"/>
      <c r="M156" s="78">
        <v>15.6</v>
      </c>
      <c r="N156" s="78">
        <v>26.3</v>
      </c>
      <c r="O156" s="78">
        <v>0</v>
      </c>
      <c r="P156" s="78">
        <v>12.5</v>
      </c>
      <c r="Q156" s="173"/>
    </row>
    <row r="157" spans="1:17">
      <c r="A157" s="368"/>
      <c r="B157" s="371"/>
      <c r="C157" s="148" t="s">
        <v>91</v>
      </c>
      <c r="D157" s="144" t="s">
        <v>249</v>
      </c>
      <c r="E157" s="11" t="str">
        <f t="shared" si="24"/>
        <v>Plant de maïs entier/Cas 2/Digestat fermé</v>
      </c>
      <c r="F157" s="146">
        <v>0</v>
      </c>
      <c r="G157" s="74">
        <v>0.47</v>
      </c>
      <c r="H157" s="75"/>
      <c r="I157" s="75"/>
      <c r="J157" s="75"/>
      <c r="K157" s="159"/>
      <c r="L157" s="189"/>
      <c r="M157" s="78">
        <v>15.2</v>
      </c>
      <c r="N157" s="78">
        <v>7.2</v>
      </c>
      <c r="O157" s="78">
        <v>0</v>
      </c>
      <c r="P157" s="78">
        <v>12.5</v>
      </c>
      <c r="Q157" s="173"/>
    </row>
    <row r="158" spans="1:17">
      <c r="A158" s="368"/>
      <c r="B158" s="371"/>
      <c r="C158" s="148" t="s">
        <v>93</v>
      </c>
      <c r="D158" s="205" t="s">
        <v>248</v>
      </c>
      <c r="E158" s="11" t="str">
        <f t="shared" si="24"/>
        <v>Plant de maïs entier/Cas 3/Digestat ouvert</v>
      </c>
      <c r="F158" s="146">
        <v>0</v>
      </c>
      <c r="G158" s="74">
        <v>0.1</v>
      </c>
      <c r="H158" s="75"/>
      <c r="I158" s="75"/>
      <c r="J158" s="75"/>
      <c r="K158" s="159"/>
      <c r="L158" s="189"/>
      <c r="M158" s="78">
        <v>17.5</v>
      </c>
      <c r="N158" s="78">
        <v>29.3</v>
      </c>
      <c r="O158" s="78">
        <v>0</v>
      </c>
      <c r="P158" s="78">
        <v>12.5</v>
      </c>
      <c r="Q158" s="173"/>
    </row>
    <row r="159" spans="1:17" ht="15" thickBot="1">
      <c r="A159" s="369"/>
      <c r="B159" s="372"/>
      <c r="C159" s="148" t="s">
        <v>93</v>
      </c>
      <c r="D159" s="144" t="s">
        <v>249</v>
      </c>
      <c r="E159" s="11" t="str">
        <f t="shared" si="24"/>
        <v>Plant de maïs entier/Cas 3/Digestat fermé</v>
      </c>
      <c r="F159" s="146">
        <v>0</v>
      </c>
      <c r="G159" s="80">
        <v>0.43</v>
      </c>
      <c r="H159" s="81"/>
      <c r="I159" s="81"/>
      <c r="J159" s="81"/>
      <c r="K159" s="82"/>
      <c r="L159" s="190"/>
      <c r="M159" s="135">
        <v>17.100000000000001</v>
      </c>
      <c r="N159" s="135">
        <v>7.9</v>
      </c>
      <c r="O159" s="135">
        <v>0</v>
      </c>
      <c r="P159" s="135">
        <v>12.5</v>
      </c>
      <c r="Q159" s="174"/>
    </row>
    <row r="160" spans="1:17" ht="15" thickTop="1">
      <c r="A160" s="376" t="s">
        <v>252</v>
      </c>
      <c r="B160" s="377" t="s">
        <v>236</v>
      </c>
      <c r="C160" s="147" t="s">
        <v>16</v>
      </c>
      <c r="D160" s="206" t="s">
        <v>248</v>
      </c>
      <c r="E160" s="11" t="str">
        <f t="shared" ref="E160:E165" si="25">A$160&amp;"/"&amp;C160&amp;"/"&amp;D160</f>
        <v>Biodéchets/Cas 1/Digestat ouvert</v>
      </c>
      <c r="F160" s="146">
        <v>0</v>
      </c>
      <c r="G160" s="74">
        <v>0.26</v>
      </c>
      <c r="H160" s="75"/>
      <c r="I160" s="75"/>
      <c r="J160" s="75"/>
      <c r="K160" s="159"/>
      <c r="L160" s="189"/>
      <c r="M160" s="78">
        <v>0</v>
      </c>
      <c r="N160" s="78">
        <v>30.6</v>
      </c>
      <c r="O160" s="78">
        <v>0.5</v>
      </c>
      <c r="P160" s="78">
        <v>12.5</v>
      </c>
      <c r="Q160" s="173"/>
    </row>
    <row r="161" spans="1:17">
      <c r="A161" s="368"/>
      <c r="B161" s="371"/>
      <c r="C161" s="148" t="s">
        <v>16</v>
      </c>
      <c r="D161" s="144" t="s">
        <v>249</v>
      </c>
      <c r="E161" s="11" t="str">
        <f t="shared" si="25"/>
        <v>Biodéchets/Cas 1/Digestat fermé</v>
      </c>
      <c r="F161" s="146">
        <v>0</v>
      </c>
      <c r="G161" s="74">
        <v>0.78</v>
      </c>
      <c r="H161" s="75"/>
      <c r="I161" s="75"/>
      <c r="J161" s="75"/>
      <c r="K161" s="159"/>
      <c r="L161" s="189"/>
      <c r="M161" s="78">
        <v>0</v>
      </c>
      <c r="N161" s="78">
        <v>0</v>
      </c>
      <c r="O161" s="78">
        <v>0.5</v>
      </c>
      <c r="P161" s="78">
        <v>12.5</v>
      </c>
      <c r="Q161" s="173"/>
    </row>
    <row r="162" spans="1:17">
      <c r="A162" s="368"/>
      <c r="B162" s="371"/>
      <c r="C162" s="148" t="s">
        <v>91</v>
      </c>
      <c r="D162" s="205" t="s">
        <v>248</v>
      </c>
      <c r="E162" s="11" t="str">
        <f t="shared" si="25"/>
        <v>Biodéchets/Cas 2/Digestat ouvert</v>
      </c>
      <c r="F162" s="146">
        <v>0</v>
      </c>
      <c r="G162" s="74">
        <v>0.21</v>
      </c>
      <c r="H162" s="75"/>
      <c r="I162" s="75"/>
      <c r="J162" s="75"/>
      <c r="K162" s="159"/>
      <c r="L162" s="189"/>
      <c r="M162" s="78">
        <v>0</v>
      </c>
      <c r="N162" s="78">
        <v>39</v>
      </c>
      <c r="O162" s="78">
        <v>0.5</v>
      </c>
      <c r="P162" s="78">
        <v>12.5</v>
      </c>
      <c r="Q162" s="173"/>
    </row>
    <row r="163" spans="1:17">
      <c r="A163" s="368"/>
      <c r="B163" s="371"/>
      <c r="C163" s="148" t="s">
        <v>91</v>
      </c>
      <c r="D163" s="144" t="s">
        <v>249</v>
      </c>
      <c r="E163" s="11" t="str">
        <f t="shared" si="25"/>
        <v>Biodéchets/Cas 2/Digestat fermé</v>
      </c>
      <c r="F163" s="146">
        <v>0</v>
      </c>
      <c r="G163" s="74">
        <v>0.68</v>
      </c>
      <c r="H163" s="75"/>
      <c r="I163" s="75"/>
      <c r="J163" s="75"/>
      <c r="K163" s="159"/>
      <c r="L163" s="189"/>
      <c r="M163" s="78">
        <v>0</v>
      </c>
      <c r="N163" s="78">
        <v>8.3000000000000007</v>
      </c>
      <c r="O163" s="78">
        <v>0.5</v>
      </c>
      <c r="P163" s="78">
        <v>12.5</v>
      </c>
      <c r="Q163" s="173"/>
    </row>
    <row r="164" spans="1:17">
      <c r="A164" s="368"/>
      <c r="B164" s="371"/>
      <c r="C164" s="148" t="s">
        <v>93</v>
      </c>
      <c r="D164" s="205" t="s">
        <v>248</v>
      </c>
      <c r="E164" s="11" t="str">
        <f t="shared" si="25"/>
        <v>Biodéchets/Cas 3/Digestat ouvert</v>
      </c>
      <c r="F164" s="146">
        <v>0</v>
      </c>
      <c r="G164" s="74">
        <v>0.14000000000000001</v>
      </c>
      <c r="H164" s="75"/>
      <c r="I164" s="75"/>
      <c r="J164" s="75"/>
      <c r="K164" s="159"/>
      <c r="L164" s="189"/>
      <c r="M164" s="78">
        <v>0</v>
      </c>
      <c r="N164" s="78">
        <v>43.7</v>
      </c>
      <c r="O164" s="78">
        <v>0.5</v>
      </c>
      <c r="P164" s="78">
        <v>12.5</v>
      </c>
      <c r="Q164" s="173"/>
    </row>
    <row r="165" spans="1:17" ht="15" thickBot="1">
      <c r="A165" s="369"/>
      <c r="B165" s="372"/>
      <c r="C165" s="148" t="s">
        <v>93</v>
      </c>
      <c r="D165" s="207" t="s">
        <v>249</v>
      </c>
      <c r="E165" s="11" t="str">
        <f t="shared" si="25"/>
        <v>Biodéchets/Cas 3/Digestat fermé</v>
      </c>
      <c r="F165" s="146">
        <v>0</v>
      </c>
      <c r="G165" s="80">
        <v>0.66</v>
      </c>
      <c r="H165" s="81"/>
      <c r="I165" s="81"/>
      <c r="J165" s="81"/>
      <c r="K165" s="82"/>
      <c r="L165" s="190"/>
      <c r="M165" s="135">
        <v>0</v>
      </c>
      <c r="N165" s="78">
        <v>9.1</v>
      </c>
      <c r="O165" s="78">
        <v>0.5</v>
      </c>
      <c r="P165" s="78">
        <v>12.5</v>
      </c>
      <c r="Q165" s="174"/>
    </row>
    <row r="166" spans="1:17" ht="15" thickTop="1">
      <c r="A166" s="376" t="s">
        <v>254</v>
      </c>
      <c r="B166" s="377"/>
      <c r="C166" s="147" t="s">
        <v>16</v>
      </c>
      <c r="D166" s="20" t="s">
        <v>248</v>
      </c>
      <c r="E166" s="208" t="str">
        <f t="shared" ref="E166:E171" si="26">A$166&amp;"/"&amp;C166&amp;"/"&amp;D166</f>
        <v>Fumier - maïs 80% - 20%/Cas 1/Digestat ouvert</v>
      </c>
      <c r="F166" s="146">
        <v>0</v>
      </c>
      <c r="G166" s="74">
        <v>0.45</v>
      </c>
      <c r="H166" s="75"/>
      <c r="I166" s="75"/>
      <c r="J166" s="75"/>
      <c r="K166" s="159"/>
      <c r="L166" s="189"/>
      <c r="M166" s="14"/>
      <c r="N166" s="14"/>
      <c r="O166" s="14"/>
      <c r="P166" s="14"/>
      <c r="Q166" s="173"/>
    </row>
    <row r="167" spans="1:17">
      <c r="A167" s="368"/>
      <c r="B167" s="371"/>
      <c r="C167" s="148" t="s">
        <v>16</v>
      </c>
      <c r="D167" s="73" t="s">
        <v>249</v>
      </c>
      <c r="E167" s="208" t="str">
        <f t="shared" si="26"/>
        <v>Fumier - maïs 80% - 20%/Cas 1/Digestat fermé</v>
      </c>
      <c r="F167" s="146">
        <v>0</v>
      </c>
      <c r="G167" s="145">
        <v>1.1399999999999999</v>
      </c>
      <c r="H167" s="75"/>
      <c r="I167" s="75"/>
      <c r="J167" s="75"/>
      <c r="K167" s="159"/>
      <c r="L167" s="189"/>
      <c r="M167" s="14"/>
      <c r="N167" s="14"/>
      <c r="O167" s="14"/>
      <c r="P167" s="14"/>
      <c r="Q167" s="173"/>
    </row>
    <row r="168" spans="1:17">
      <c r="A168" s="368"/>
      <c r="B168" s="371"/>
      <c r="C168" s="148" t="s">
        <v>91</v>
      </c>
      <c r="D168" s="20" t="s">
        <v>248</v>
      </c>
      <c r="E168" s="208" t="str">
        <f t="shared" si="26"/>
        <v>Fumier - maïs 80% - 20%/Cas 2/Digestat ouvert</v>
      </c>
      <c r="F168" s="146">
        <v>0</v>
      </c>
      <c r="G168" s="145">
        <v>0.4</v>
      </c>
      <c r="H168" s="75"/>
      <c r="I168" s="75"/>
      <c r="J168" s="75"/>
      <c r="K168" s="159"/>
      <c r="L168" s="189"/>
      <c r="M168" s="14"/>
      <c r="N168" s="14"/>
      <c r="O168" s="14"/>
      <c r="P168" s="14"/>
      <c r="Q168" s="173"/>
    </row>
    <row r="169" spans="1:17">
      <c r="A169" s="368"/>
      <c r="B169" s="371"/>
      <c r="C169" s="148" t="s">
        <v>91</v>
      </c>
      <c r="D169" s="73" t="s">
        <v>249</v>
      </c>
      <c r="E169" s="208" t="str">
        <f t="shared" si="26"/>
        <v>Fumier - maïs 80% - 20%/Cas 2/Digestat fermé</v>
      </c>
      <c r="F169" s="146">
        <v>0</v>
      </c>
      <c r="G169" s="145">
        <v>1.03</v>
      </c>
      <c r="H169" s="75"/>
      <c r="I169" s="75"/>
      <c r="J169" s="75"/>
      <c r="K169" s="159"/>
      <c r="L169" s="189"/>
      <c r="M169" s="14"/>
      <c r="N169" s="14"/>
      <c r="O169" s="14"/>
      <c r="P169" s="14"/>
      <c r="Q169" s="173"/>
    </row>
    <row r="170" spans="1:17">
      <c r="A170" s="368"/>
      <c r="B170" s="371"/>
      <c r="C170" s="148" t="s">
        <v>93</v>
      </c>
      <c r="D170" s="20" t="s">
        <v>248</v>
      </c>
      <c r="E170" s="208" t="str">
        <f t="shared" si="26"/>
        <v>Fumier - maïs 80% - 20%/Cas 3/Digestat ouvert</v>
      </c>
      <c r="F170" s="146">
        <v>0</v>
      </c>
      <c r="G170" s="145">
        <v>0.35</v>
      </c>
      <c r="H170" s="75"/>
      <c r="I170" s="75"/>
      <c r="J170" s="75"/>
      <c r="K170" s="159"/>
      <c r="L170" s="189"/>
      <c r="M170" s="14"/>
      <c r="N170" s="14"/>
      <c r="O170" s="14"/>
      <c r="P170" s="14"/>
      <c r="Q170" s="173"/>
    </row>
    <row r="171" spans="1:17" ht="15" thickBot="1">
      <c r="A171" s="369"/>
      <c r="B171" s="372"/>
      <c r="C171" s="148" t="s">
        <v>93</v>
      </c>
      <c r="D171" s="73" t="s">
        <v>249</v>
      </c>
      <c r="E171" s="208" t="str">
        <f t="shared" si="26"/>
        <v>Fumier - maïs 80% - 20%/Cas 3/Digestat fermé</v>
      </c>
      <c r="F171" s="146">
        <v>0</v>
      </c>
      <c r="G171" s="80">
        <v>1.06</v>
      </c>
      <c r="H171" s="81"/>
      <c r="I171" s="81"/>
      <c r="J171" s="81"/>
      <c r="K171" s="82"/>
      <c r="L171" s="190"/>
      <c r="M171" s="14"/>
      <c r="N171" s="14"/>
      <c r="O171" s="14"/>
      <c r="P171" s="14"/>
      <c r="Q171" s="174"/>
    </row>
    <row r="172" spans="1:17" ht="15" thickTop="1">
      <c r="A172" s="376" t="s">
        <v>255</v>
      </c>
      <c r="B172" s="377"/>
      <c r="C172" s="147" t="s">
        <v>16</v>
      </c>
      <c r="D172" s="20" t="s">
        <v>248</v>
      </c>
      <c r="E172" s="208" t="str">
        <f t="shared" ref="E172:E177" si="27">A$172&amp;"/"&amp;C172&amp;"/"&amp;D172</f>
        <v>Fumier - maïs 70% - 30%/Cas 1/Digestat ouvert</v>
      </c>
      <c r="F172" s="146">
        <v>0</v>
      </c>
      <c r="G172" s="74">
        <v>0.37</v>
      </c>
      <c r="H172" s="75"/>
      <c r="I172" s="75"/>
      <c r="J172" s="75"/>
      <c r="K172" s="159"/>
      <c r="L172" s="189"/>
      <c r="M172" s="14"/>
      <c r="N172" s="14"/>
      <c r="O172" s="14"/>
      <c r="P172" s="14"/>
      <c r="Q172" s="173"/>
    </row>
    <row r="173" spans="1:17">
      <c r="A173" s="368"/>
      <c r="B173" s="371"/>
      <c r="C173" s="148" t="s">
        <v>16</v>
      </c>
      <c r="D173" s="73" t="s">
        <v>249</v>
      </c>
      <c r="E173" s="208" t="str">
        <f t="shared" si="27"/>
        <v>Fumier - maïs 70% - 30%/Cas 1/Digestat fermé</v>
      </c>
      <c r="F173" s="146">
        <v>0</v>
      </c>
      <c r="G173" s="145">
        <v>0.94</v>
      </c>
      <c r="H173" s="75"/>
      <c r="I173" s="75"/>
      <c r="J173" s="75"/>
      <c r="K173" s="159"/>
      <c r="L173" s="189"/>
      <c r="M173" s="14"/>
      <c r="N173" s="14"/>
      <c r="O173" s="14"/>
      <c r="P173" s="14"/>
      <c r="Q173" s="173"/>
    </row>
    <row r="174" spans="1:17">
      <c r="A174" s="368"/>
      <c r="B174" s="371"/>
      <c r="C174" s="148" t="s">
        <v>91</v>
      </c>
      <c r="D174" s="20" t="s">
        <v>248</v>
      </c>
      <c r="E174" s="208" t="str">
        <f t="shared" si="27"/>
        <v>Fumier - maïs 70% - 30%/Cas 2/Digestat ouvert</v>
      </c>
      <c r="F174" s="146">
        <v>0</v>
      </c>
      <c r="G174" s="145">
        <v>0.32</v>
      </c>
      <c r="H174" s="75"/>
      <c r="I174" s="75"/>
      <c r="J174" s="75"/>
      <c r="K174" s="159"/>
      <c r="L174" s="189"/>
      <c r="M174" s="14"/>
      <c r="N174" s="14"/>
      <c r="O174" s="14"/>
      <c r="P174" s="14"/>
      <c r="Q174" s="173"/>
    </row>
    <row r="175" spans="1:17">
      <c r="A175" s="368"/>
      <c r="B175" s="371"/>
      <c r="C175" s="148" t="s">
        <v>91</v>
      </c>
      <c r="D175" s="73" t="s">
        <v>249</v>
      </c>
      <c r="E175" s="208" t="str">
        <f t="shared" si="27"/>
        <v>Fumier - maïs 70% - 30%/Cas 2/Digestat fermé</v>
      </c>
      <c r="F175" s="146">
        <v>0</v>
      </c>
      <c r="G175" s="145">
        <v>0.85</v>
      </c>
      <c r="H175" s="75"/>
      <c r="I175" s="75"/>
      <c r="J175" s="75"/>
      <c r="K175" s="159"/>
      <c r="L175" s="189"/>
      <c r="M175" s="14"/>
      <c r="N175" s="14"/>
      <c r="O175" s="14"/>
      <c r="P175" s="14"/>
      <c r="Q175" s="173"/>
    </row>
    <row r="176" spans="1:17">
      <c r="A176" s="368"/>
      <c r="B176" s="371"/>
      <c r="C176" s="148" t="s">
        <v>93</v>
      </c>
      <c r="D176" s="20" t="s">
        <v>248</v>
      </c>
      <c r="E176" s="208" t="str">
        <f t="shared" si="27"/>
        <v>Fumier - maïs 70% - 30%/Cas 3/Digestat ouvert</v>
      </c>
      <c r="F176" s="146">
        <v>0</v>
      </c>
      <c r="G176" s="145">
        <v>0.27</v>
      </c>
      <c r="H176" s="75"/>
      <c r="I176" s="75"/>
      <c r="J176" s="75"/>
      <c r="K176" s="159"/>
      <c r="L176" s="189"/>
      <c r="M176" s="14"/>
      <c r="N176" s="14"/>
      <c r="O176" s="14"/>
      <c r="P176" s="14"/>
      <c r="Q176" s="173"/>
    </row>
    <row r="177" spans="1:17" ht="15" thickBot="1">
      <c r="A177" s="369"/>
      <c r="B177" s="372"/>
      <c r="C177" s="148" t="s">
        <v>93</v>
      </c>
      <c r="D177" s="73" t="s">
        <v>249</v>
      </c>
      <c r="E177" s="208" t="str">
        <f t="shared" si="27"/>
        <v>Fumier - maïs 70% - 30%/Cas 3/Digestat fermé</v>
      </c>
      <c r="F177" s="146">
        <v>0</v>
      </c>
      <c r="G177" s="80">
        <v>0.85</v>
      </c>
      <c r="H177" s="81"/>
      <c r="I177" s="81"/>
      <c r="J177" s="81"/>
      <c r="K177" s="82"/>
      <c r="L177" s="190"/>
      <c r="M177" s="14"/>
      <c r="N177" s="14"/>
      <c r="O177" s="14"/>
      <c r="P177" s="14"/>
      <c r="Q177" s="174"/>
    </row>
    <row r="178" spans="1:17" ht="15" thickTop="1">
      <c r="A178" s="376" t="s">
        <v>253</v>
      </c>
      <c r="B178" s="377"/>
      <c r="C178" s="147" t="s">
        <v>16</v>
      </c>
      <c r="D178" s="20" t="s">
        <v>248</v>
      </c>
      <c r="E178" s="208" t="str">
        <f t="shared" ref="E178:E183" si="28">A$178&amp;"/"&amp;C178&amp;"/"&amp;D178</f>
        <v>Fumier - maïs 60% - 40%/Cas 1/Digestat ouvert</v>
      </c>
      <c r="F178" s="146">
        <v>0</v>
      </c>
      <c r="G178" s="74">
        <v>0.32</v>
      </c>
      <c r="H178" s="75"/>
      <c r="I178" s="75"/>
      <c r="J178" s="75"/>
      <c r="K178" s="159"/>
      <c r="L178" s="189"/>
      <c r="M178" s="14"/>
      <c r="N178" s="14"/>
      <c r="O178" s="14"/>
      <c r="P178" s="14"/>
      <c r="Q178" s="173"/>
    </row>
    <row r="179" spans="1:17">
      <c r="A179" s="368"/>
      <c r="B179" s="371"/>
      <c r="C179" s="148" t="s">
        <v>16</v>
      </c>
      <c r="D179" s="73" t="s">
        <v>249</v>
      </c>
      <c r="E179" s="208" t="str">
        <f t="shared" si="28"/>
        <v>Fumier - maïs 60% - 40%/Cas 1/Digestat fermé</v>
      </c>
      <c r="F179" s="146">
        <v>0</v>
      </c>
      <c r="G179" s="145">
        <v>0.82</v>
      </c>
      <c r="H179" s="75"/>
      <c r="I179" s="75"/>
      <c r="J179" s="75"/>
      <c r="K179" s="159"/>
      <c r="L179" s="189"/>
      <c r="M179" s="14"/>
      <c r="N179" s="14"/>
      <c r="O179" s="14"/>
      <c r="P179" s="14"/>
      <c r="Q179" s="173"/>
    </row>
    <row r="180" spans="1:17">
      <c r="A180" s="368"/>
      <c r="B180" s="371"/>
      <c r="C180" s="148" t="s">
        <v>91</v>
      </c>
      <c r="D180" s="20" t="s">
        <v>248</v>
      </c>
      <c r="E180" s="208" t="str">
        <f t="shared" si="28"/>
        <v>Fumier - maïs 60% - 40%/Cas 2/Digestat ouvert</v>
      </c>
      <c r="F180" s="146">
        <v>0</v>
      </c>
      <c r="G180" s="145">
        <v>0.28000000000000003</v>
      </c>
      <c r="H180" s="75"/>
      <c r="I180" s="75"/>
      <c r="J180" s="75"/>
      <c r="K180" s="159"/>
      <c r="L180" s="189"/>
      <c r="M180" s="14"/>
      <c r="N180" s="14"/>
      <c r="O180" s="14"/>
      <c r="P180" s="14"/>
      <c r="Q180" s="173"/>
    </row>
    <row r="181" spans="1:17">
      <c r="A181" s="368"/>
      <c r="B181" s="371"/>
      <c r="C181" s="148" t="s">
        <v>91</v>
      </c>
      <c r="D181" s="73" t="s">
        <v>249</v>
      </c>
      <c r="E181" s="208" t="str">
        <f t="shared" si="28"/>
        <v>Fumier - maïs 60% - 40%/Cas 2/Digestat fermé</v>
      </c>
      <c r="F181" s="146">
        <v>0</v>
      </c>
      <c r="G181" s="145">
        <v>0.73</v>
      </c>
      <c r="H181" s="75"/>
      <c r="I181" s="75"/>
      <c r="J181" s="75"/>
      <c r="K181" s="159"/>
      <c r="L181" s="189"/>
      <c r="M181" s="14"/>
      <c r="N181" s="14"/>
      <c r="O181" s="14"/>
      <c r="P181" s="14"/>
      <c r="Q181" s="173"/>
    </row>
    <row r="182" spans="1:17">
      <c r="A182" s="368"/>
      <c r="B182" s="371"/>
      <c r="C182" s="148" t="s">
        <v>93</v>
      </c>
      <c r="D182" s="20" t="s">
        <v>248</v>
      </c>
      <c r="E182" s="208" t="str">
        <f t="shared" si="28"/>
        <v>Fumier - maïs 60% - 40%/Cas 3/Digestat ouvert</v>
      </c>
      <c r="F182" s="146">
        <v>0</v>
      </c>
      <c r="G182" s="145">
        <v>0.22</v>
      </c>
      <c r="H182" s="75"/>
      <c r="I182" s="75"/>
      <c r="J182" s="75"/>
      <c r="K182" s="159"/>
      <c r="L182" s="189"/>
      <c r="M182" s="14"/>
      <c r="N182" s="14"/>
      <c r="O182" s="14"/>
      <c r="P182" s="14"/>
      <c r="Q182" s="173"/>
    </row>
    <row r="183" spans="1:17" ht="15" thickBot="1">
      <c r="A183" s="369"/>
      <c r="B183" s="372"/>
      <c r="C183" s="148" t="s">
        <v>93</v>
      </c>
      <c r="D183" s="73" t="s">
        <v>249</v>
      </c>
      <c r="E183" s="208" t="str">
        <f t="shared" si="28"/>
        <v>Fumier - maïs 60% - 40%/Cas 3/Digestat fermé</v>
      </c>
      <c r="F183" s="146">
        <v>0</v>
      </c>
      <c r="G183" s="80">
        <v>0.72</v>
      </c>
      <c r="H183" s="81"/>
      <c r="I183" s="81"/>
      <c r="J183" s="81"/>
      <c r="K183" s="82"/>
      <c r="L183" s="190"/>
      <c r="M183" s="14"/>
      <c r="N183" s="14"/>
      <c r="O183" s="14"/>
      <c r="P183" s="14"/>
      <c r="Q183" s="174"/>
    </row>
    <row r="184" spans="1:17" ht="15" thickTop="1"/>
  </sheetData>
  <mergeCells count="63">
    <mergeCell ref="A57:A80"/>
    <mergeCell ref="B58:B60"/>
    <mergeCell ref="B62:B64"/>
    <mergeCell ref="B66:B68"/>
    <mergeCell ref="B70:B72"/>
    <mergeCell ref="B74:B76"/>
    <mergeCell ref="B78:B80"/>
    <mergeCell ref="A141:A143"/>
    <mergeCell ref="B141:B143"/>
    <mergeCell ref="A144:A145"/>
    <mergeCell ref="B144:B145"/>
    <mergeCell ref="A81:A82"/>
    <mergeCell ref="A133:A136"/>
    <mergeCell ref="B133:B136"/>
    <mergeCell ref="A137:A140"/>
    <mergeCell ref="B137:B140"/>
    <mergeCell ref="B89:B91"/>
    <mergeCell ref="A88:A91"/>
    <mergeCell ref="A92:A95"/>
    <mergeCell ref="B93:B95"/>
    <mergeCell ref="A96:A99"/>
    <mergeCell ref="B97:B99"/>
    <mergeCell ref="B106:B108"/>
    <mergeCell ref="A160:A165"/>
    <mergeCell ref="B160:B165"/>
    <mergeCell ref="A148:A153"/>
    <mergeCell ref="B148:B153"/>
    <mergeCell ref="A154:A159"/>
    <mergeCell ref="B154:B159"/>
    <mergeCell ref="A178:A183"/>
    <mergeCell ref="B178:B183"/>
    <mergeCell ref="A172:A177"/>
    <mergeCell ref="B172:B177"/>
    <mergeCell ref="A166:A171"/>
    <mergeCell ref="B166:B171"/>
    <mergeCell ref="B115:B117"/>
    <mergeCell ref="B118:B120"/>
    <mergeCell ref="A121:A132"/>
    <mergeCell ref="B121:B124"/>
    <mergeCell ref="B125:B128"/>
    <mergeCell ref="B129:B132"/>
    <mergeCell ref="A112:A120"/>
    <mergeCell ref="A18:Q18"/>
    <mergeCell ref="A84:Q84"/>
    <mergeCell ref="M19:Q19"/>
    <mergeCell ref="A20:B20"/>
    <mergeCell ref="B112:B114"/>
    <mergeCell ref="A100:A102"/>
    <mergeCell ref="A103:A111"/>
    <mergeCell ref="B103:B105"/>
    <mergeCell ref="B109:B111"/>
    <mergeCell ref="A25:A36"/>
    <mergeCell ref="F19:G19"/>
    <mergeCell ref="H19:L19"/>
    <mergeCell ref="A21:A24"/>
    <mergeCell ref="B21:B24"/>
    <mergeCell ref="A37:A44"/>
    <mergeCell ref="A45:A56"/>
    <mergeCell ref="F85:G85"/>
    <mergeCell ref="H85:L85"/>
    <mergeCell ref="M85:Q85"/>
    <mergeCell ref="H86:L86"/>
    <mergeCell ref="A86:B86"/>
  </mergeCells>
  <conditionalFormatting sqref="F87:G183">
    <cfRule type="cellIs" dxfId="0" priority="1" operator="lessThan">
      <formula>0.7</formula>
    </cfRule>
  </conditionalFormatting>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40817-A3A5-4940-A878-3EFD717DFF67}">
  <dimension ref="A1:O94"/>
  <sheetViews>
    <sheetView topLeftCell="A13" workbookViewId="0">
      <selection activeCell="J90" sqref="J90"/>
    </sheetView>
  </sheetViews>
  <sheetFormatPr baseColWidth="10" defaultRowHeight="14.4"/>
  <sheetData>
    <row r="1" spans="1:15">
      <c r="A1" s="31" t="s">
        <v>0</v>
      </c>
      <c r="I1" s="31" t="s">
        <v>76</v>
      </c>
      <c r="O1" s="31" t="s">
        <v>12</v>
      </c>
    </row>
    <row r="2" spans="1:15">
      <c r="A2" t="s">
        <v>77</v>
      </c>
      <c r="I2" t="s">
        <v>78</v>
      </c>
      <c r="O2" t="s">
        <v>82</v>
      </c>
    </row>
    <row r="3" spans="1:15">
      <c r="A3" t="s">
        <v>79</v>
      </c>
      <c r="I3" t="s">
        <v>80</v>
      </c>
      <c r="O3" t="s">
        <v>13</v>
      </c>
    </row>
    <row r="4" spans="1:15">
      <c r="A4" t="s">
        <v>1</v>
      </c>
      <c r="I4" t="s">
        <v>81</v>
      </c>
      <c r="O4" t="s">
        <v>84</v>
      </c>
    </row>
    <row r="5" spans="1:15">
      <c r="I5" t="s">
        <v>83</v>
      </c>
    </row>
    <row r="6" spans="1:15">
      <c r="A6" s="31" t="s">
        <v>2</v>
      </c>
      <c r="O6" s="31" t="s">
        <v>15</v>
      </c>
    </row>
    <row r="7" spans="1:15">
      <c r="A7" t="s">
        <v>85</v>
      </c>
      <c r="I7" s="31" t="s">
        <v>343</v>
      </c>
      <c r="O7" t="s">
        <v>16</v>
      </c>
    </row>
    <row r="8" spans="1:15">
      <c r="A8" t="s">
        <v>3</v>
      </c>
      <c r="I8" t="s">
        <v>86</v>
      </c>
      <c r="O8" t="s">
        <v>91</v>
      </c>
    </row>
    <row r="9" spans="1:15">
      <c r="A9" t="s">
        <v>87</v>
      </c>
      <c r="I9" t="s">
        <v>88</v>
      </c>
      <c r="O9" t="s">
        <v>93</v>
      </c>
    </row>
    <row r="10" spans="1:15">
      <c r="A10" t="s">
        <v>89</v>
      </c>
      <c r="I10" t="s">
        <v>90</v>
      </c>
    </row>
    <row r="11" spans="1:15">
      <c r="I11" t="s">
        <v>92</v>
      </c>
      <c r="O11" s="31" t="s">
        <v>9</v>
      </c>
    </row>
    <row r="12" spans="1:15">
      <c r="A12" s="100" t="s">
        <v>94</v>
      </c>
      <c r="I12" t="s">
        <v>95</v>
      </c>
      <c r="O12" t="s">
        <v>10</v>
      </c>
    </row>
    <row r="13" spans="1:15">
      <c r="A13" t="s">
        <v>96</v>
      </c>
      <c r="I13" t="s">
        <v>97</v>
      </c>
      <c r="O13" t="s">
        <v>101</v>
      </c>
    </row>
    <row r="14" spans="1:15">
      <c r="A14" t="s">
        <v>98</v>
      </c>
      <c r="I14" t="s">
        <v>99</v>
      </c>
      <c r="O14" t="s">
        <v>103</v>
      </c>
    </row>
    <row r="15" spans="1:15">
      <c r="I15" t="s">
        <v>100</v>
      </c>
      <c r="O15" t="s">
        <v>84</v>
      </c>
    </row>
    <row r="16" spans="1:15">
      <c r="A16" s="31" t="s">
        <v>245</v>
      </c>
      <c r="I16" t="s">
        <v>102</v>
      </c>
      <c r="O16" t="s">
        <v>106</v>
      </c>
    </row>
    <row r="17" spans="1:15">
      <c r="A17" t="s">
        <v>257</v>
      </c>
      <c r="I17" t="s">
        <v>104</v>
      </c>
    </row>
    <row r="18" spans="1:15">
      <c r="A18" t="s">
        <v>258</v>
      </c>
      <c r="I18" t="s">
        <v>105</v>
      </c>
      <c r="O18" s="31" t="s">
        <v>110</v>
      </c>
    </row>
    <row r="19" spans="1:15">
      <c r="A19" t="s">
        <v>259</v>
      </c>
      <c r="I19" t="s">
        <v>108</v>
      </c>
      <c r="O19" t="s">
        <v>373</v>
      </c>
    </row>
    <row r="20" spans="1:15">
      <c r="A20" t="s">
        <v>261</v>
      </c>
      <c r="I20" t="s">
        <v>109</v>
      </c>
      <c r="O20" t="s">
        <v>231</v>
      </c>
    </row>
    <row r="21" spans="1:15">
      <c r="A21" t="s">
        <v>262</v>
      </c>
      <c r="I21" t="s">
        <v>112</v>
      </c>
    </row>
    <row r="22" spans="1:15">
      <c r="A22" t="s">
        <v>263</v>
      </c>
      <c r="I22" t="s">
        <v>114</v>
      </c>
    </row>
    <row r="23" spans="1:15">
      <c r="A23" t="s">
        <v>264</v>
      </c>
      <c r="I23" t="s">
        <v>116</v>
      </c>
    </row>
    <row r="24" spans="1:15">
      <c r="A24" t="s">
        <v>265</v>
      </c>
      <c r="I24" t="s">
        <v>118</v>
      </c>
    </row>
    <row r="25" spans="1:15">
      <c r="A25" t="s">
        <v>235</v>
      </c>
    </row>
    <row r="26" spans="1:15">
      <c r="A26" t="s">
        <v>237</v>
      </c>
    </row>
    <row r="27" spans="1:15">
      <c r="A27" t="s">
        <v>238</v>
      </c>
      <c r="I27" s="31" t="s">
        <v>122</v>
      </c>
    </row>
    <row r="28" spans="1:15">
      <c r="A28" t="s">
        <v>242</v>
      </c>
      <c r="I28" t="s">
        <v>124</v>
      </c>
    </row>
    <row r="29" spans="1:15">
      <c r="A29" t="s">
        <v>243</v>
      </c>
      <c r="I29" t="s">
        <v>126</v>
      </c>
    </row>
    <row r="30" spans="1:15">
      <c r="A30" t="s">
        <v>244</v>
      </c>
      <c r="I30" t="s">
        <v>127</v>
      </c>
    </row>
    <row r="31" spans="1:15">
      <c r="A31" t="s">
        <v>246</v>
      </c>
      <c r="I31" t="s">
        <v>128</v>
      </c>
    </row>
    <row r="32" spans="1:15">
      <c r="A32" t="s">
        <v>251</v>
      </c>
    </row>
    <row r="33" spans="1:9">
      <c r="A33" t="s">
        <v>252</v>
      </c>
      <c r="I33" s="31" t="s">
        <v>271</v>
      </c>
    </row>
    <row r="34" spans="1:9">
      <c r="A34" t="s">
        <v>254</v>
      </c>
      <c r="I34" t="s">
        <v>272</v>
      </c>
    </row>
    <row r="35" spans="1:9">
      <c r="A35" t="s">
        <v>255</v>
      </c>
      <c r="I35" t="s">
        <v>273</v>
      </c>
    </row>
    <row r="36" spans="1:9">
      <c r="A36" t="s">
        <v>253</v>
      </c>
      <c r="I36" t="s">
        <v>274</v>
      </c>
    </row>
    <row r="37" spans="1:9">
      <c r="I37" t="s">
        <v>275</v>
      </c>
    </row>
    <row r="38" spans="1:9">
      <c r="A38" s="31" t="s">
        <v>342</v>
      </c>
      <c r="I38" t="s">
        <v>276</v>
      </c>
    </row>
    <row r="39" spans="1:9">
      <c r="A39" t="s">
        <v>229</v>
      </c>
      <c r="I39" t="s">
        <v>277</v>
      </c>
    </row>
    <row r="40" spans="1:9">
      <c r="A40" t="s">
        <v>374</v>
      </c>
    </row>
    <row r="41" spans="1:9">
      <c r="A41" t="s">
        <v>107</v>
      </c>
      <c r="I41" s="31" t="s">
        <v>205</v>
      </c>
    </row>
    <row r="42" spans="1:9">
      <c r="A42" t="s">
        <v>353</v>
      </c>
      <c r="I42" t="s">
        <v>33</v>
      </c>
    </row>
    <row r="43" spans="1:9">
      <c r="A43" t="s">
        <v>375</v>
      </c>
      <c r="I43" t="s">
        <v>34</v>
      </c>
    </row>
    <row r="44" spans="1:9">
      <c r="A44" t="s">
        <v>111</v>
      </c>
      <c r="I44" t="s">
        <v>241</v>
      </c>
    </row>
    <row r="45" spans="1:9">
      <c r="A45" t="s">
        <v>113</v>
      </c>
      <c r="I45" t="s">
        <v>35</v>
      </c>
    </row>
    <row r="46" spans="1:9">
      <c r="A46" t="s">
        <v>115</v>
      </c>
      <c r="I46" t="s">
        <v>36</v>
      </c>
    </row>
    <row r="47" spans="1:9">
      <c r="A47" t="s">
        <v>117</v>
      </c>
    </row>
    <row r="48" spans="1:9">
      <c r="A48" t="s">
        <v>119</v>
      </c>
    </row>
    <row r="49" spans="1:1">
      <c r="A49" t="s">
        <v>120</v>
      </c>
    </row>
    <row r="50" spans="1:1">
      <c r="A50" t="s">
        <v>121</v>
      </c>
    </row>
    <row r="51" spans="1:1">
      <c r="A51" t="s">
        <v>123</v>
      </c>
    </row>
    <row r="52" spans="1:1">
      <c r="A52" t="s">
        <v>125</v>
      </c>
    </row>
    <row r="53" spans="1:1">
      <c r="A53" t="s">
        <v>62</v>
      </c>
    </row>
    <row r="54" spans="1:1">
      <c r="A54" t="s">
        <v>64</v>
      </c>
    </row>
    <row r="55" spans="1:1">
      <c r="A55" t="s">
        <v>257</v>
      </c>
    </row>
    <row r="56" spans="1:1">
      <c r="A56" t="s">
        <v>258</v>
      </c>
    </row>
    <row r="57" spans="1:1">
      <c r="A57" t="s">
        <v>259</v>
      </c>
    </row>
    <row r="58" spans="1:1">
      <c r="A58" t="s">
        <v>261</v>
      </c>
    </row>
    <row r="59" spans="1:1">
      <c r="A59" t="s">
        <v>262</v>
      </c>
    </row>
    <row r="60" spans="1:1">
      <c r="A60" t="s">
        <v>263</v>
      </c>
    </row>
    <row r="61" spans="1:1">
      <c r="A61" t="s">
        <v>264</v>
      </c>
    </row>
    <row r="62" spans="1:1">
      <c r="A62" t="s">
        <v>265</v>
      </c>
    </row>
    <row r="63" spans="1:1">
      <c r="A63" t="s">
        <v>235</v>
      </c>
    </row>
    <row r="64" spans="1:1">
      <c r="A64" t="s">
        <v>237</v>
      </c>
    </row>
    <row r="65" spans="1:1">
      <c r="A65" t="s">
        <v>238</v>
      </c>
    </row>
    <row r="66" spans="1:1">
      <c r="A66" t="s">
        <v>242</v>
      </c>
    </row>
    <row r="67" spans="1:1">
      <c r="A67" t="s">
        <v>243</v>
      </c>
    </row>
    <row r="68" spans="1:1">
      <c r="A68" t="s">
        <v>244</v>
      </c>
    </row>
    <row r="70" spans="1:1">
      <c r="A70" s="31" t="s">
        <v>278</v>
      </c>
    </row>
    <row r="71" spans="1:1">
      <c r="A71" t="s">
        <v>129</v>
      </c>
    </row>
    <row r="72" spans="1:1">
      <c r="A72" t="s">
        <v>130</v>
      </c>
    </row>
    <row r="73" spans="1:1">
      <c r="A73" t="s">
        <v>131</v>
      </c>
    </row>
    <row r="74" spans="1:1">
      <c r="A74" t="s">
        <v>132</v>
      </c>
    </row>
    <row r="75" spans="1:1">
      <c r="A75" t="s">
        <v>133</v>
      </c>
    </row>
    <row r="76" spans="1:1">
      <c r="A76" t="s">
        <v>134</v>
      </c>
    </row>
    <row r="77" spans="1:1">
      <c r="A77" t="s">
        <v>135</v>
      </c>
    </row>
    <row r="78" spans="1:1">
      <c r="A78" t="s">
        <v>136</v>
      </c>
    </row>
    <row r="79" spans="1:1">
      <c r="A79" t="s">
        <v>137</v>
      </c>
    </row>
    <row r="80" spans="1:1">
      <c r="A80" t="s">
        <v>138</v>
      </c>
    </row>
    <row r="81" spans="1:1">
      <c r="A81" t="s">
        <v>73</v>
      </c>
    </row>
    <row r="82" spans="1:1">
      <c r="A82" t="s">
        <v>139</v>
      </c>
    </row>
    <row r="83" spans="1:1">
      <c r="A83" t="s">
        <v>140</v>
      </c>
    </row>
    <row r="84" spans="1:1">
      <c r="A84" t="s">
        <v>141</v>
      </c>
    </row>
    <row r="85" spans="1:1">
      <c r="A85" t="s">
        <v>142</v>
      </c>
    </row>
    <row r="86" spans="1:1">
      <c r="A86" t="s">
        <v>143</v>
      </c>
    </row>
    <row r="87" spans="1:1">
      <c r="A87" t="s">
        <v>144</v>
      </c>
    </row>
    <row r="88" spans="1:1">
      <c r="A88" t="s">
        <v>145</v>
      </c>
    </row>
    <row r="89" spans="1:1">
      <c r="A89" t="s">
        <v>74</v>
      </c>
    </row>
    <row r="90" spans="1:1">
      <c r="A90" t="s">
        <v>146</v>
      </c>
    </row>
    <row r="91" spans="1:1">
      <c r="A91" t="s">
        <v>147</v>
      </c>
    </row>
    <row r="92" spans="1:1">
      <c r="A92" t="s">
        <v>150</v>
      </c>
    </row>
    <row r="93" spans="1:1">
      <c r="A93" s="277" t="s">
        <v>148</v>
      </c>
    </row>
    <row r="94" spans="1:1">
      <c r="A94" s="277" t="s">
        <v>149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0. Installation</vt:lpstr>
      <vt:lpstr>1. Déclaration</vt:lpstr>
      <vt:lpstr>2. Détail calcul GES</vt:lpstr>
      <vt:lpstr>3. Attestation durabilité</vt:lpstr>
      <vt:lpstr>4. Attestations GES</vt:lpstr>
      <vt:lpstr>5. Effic. éner.</vt:lpstr>
      <vt:lpstr>Contrôle global</vt:lpstr>
      <vt:lpstr>Références GES</vt:lpstr>
      <vt:lpstr>Listes</vt: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DUHALDE Michel</dc:creator>
  <cp:lastModifiedBy>IZZO Luca</cp:lastModifiedBy>
  <dcterms:created xsi:type="dcterms:W3CDTF">2015-06-05T18:19:34Z</dcterms:created>
  <dcterms:modified xsi:type="dcterms:W3CDTF">2025-12-30T16:14:05Z</dcterms:modified>
</cp:coreProperties>
</file>