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3-DURABILITE BIOENERGIES RED II\MO électricité chaleur\2026 Déclaration 2025\"/>
    </mc:Choice>
  </mc:AlternateContent>
  <xr:revisionPtr revIDLastSave="0" documentId="13_ncr:1_{488BA1C8-C111-4916-A786-953C904589B7}" xr6:coauthVersionLast="47" xr6:coauthVersionMax="47" xr10:uidLastSave="{00000000-0000-0000-0000-000000000000}"/>
  <bookViews>
    <workbookView xWindow="-108" yWindow="-108" windowWidth="23256" windowHeight="12456" firstSheet="2" activeTab="6" xr2:uid="{00000000-000D-0000-FFFF-FFFF00000000}"/>
  </bookViews>
  <sheets>
    <sheet name="0. Installation" sheetId="9" r:id="rId1"/>
    <sheet name="1. Déclaration" sheetId="1" r:id="rId2"/>
    <sheet name="2. Détail calcul GES" sheetId="2" r:id="rId3"/>
    <sheet name="3. Attestation durabilité" sheetId="10" r:id="rId4"/>
    <sheet name="4. Attestations GES" sheetId="3" r:id="rId5"/>
    <sheet name="5. Effic. éner." sheetId="4" r:id="rId6"/>
    <sheet name="Contrôle global" sheetId="7" r:id="rId7"/>
    <sheet name="Références GES" sheetId="5" r:id="rId8"/>
    <sheet name="Listes" sheetId="6" r:id="rId9"/>
    <sheet name="Feuil1" sheetId="8" r:id="rId10"/>
    <sheet name="Feuil2"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3" i="1" l="1"/>
  <c r="C135" i="1"/>
  <c r="C134" i="1"/>
  <c r="C136" i="1"/>
  <c r="C137" i="1"/>
  <c r="C138" i="1"/>
  <c r="U14" i="1" l="1"/>
  <c r="U15" i="1"/>
  <c r="U16" i="1"/>
  <c r="U17" i="1"/>
  <c r="D61" i="2"/>
  <c r="AG4" i="2" l="1"/>
  <c r="AE4" i="2"/>
  <c r="Y4" i="2"/>
  <c r="E4" i="11"/>
  <c r="E5" i="11"/>
  <c r="E6" i="11"/>
  <c r="E7" i="11"/>
  <c r="E8" i="11"/>
  <c r="E9" i="11"/>
  <c r="E10"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W34" i="2"/>
  <c r="W35" i="2"/>
  <c r="B12" i="2"/>
  <c r="A12" i="2"/>
  <c r="AH12" i="2" s="1"/>
  <c r="T140" i="1" s="1"/>
  <c r="A5" i="2"/>
  <c r="A6" i="2"/>
  <c r="A7" i="2"/>
  <c r="P7" i="2" s="1"/>
  <c r="A8" i="2"/>
  <c r="R8" i="2" s="1"/>
  <c r="A9" i="2"/>
  <c r="A10" i="2"/>
  <c r="L10" i="2" s="1"/>
  <c r="A11" i="2"/>
  <c r="L11" i="2" s="1"/>
  <c r="A13" i="2"/>
  <c r="P13" i="2" s="1"/>
  <c r="A14" i="2"/>
  <c r="Q14" i="2" s="1"/>
  <c r="A15" i="2"/>
  <c r="X15" i="2" s="1"/>
  <c r="A16" i="2"/>
  <c r="X16" i="2" s="1"/>
  <c r="A17" i="2"/>
  <c r="AF17" i="2" s="1"/>
  <c r="S145" i="1" s="1"/>
  <c r="A18" i="2"/>
  <c r="AC18" i="2" s="1"/>
  <c r="A19" i="2"/>
  <c r="X19" i="2" s="1"/>
  <c r="A20" i="2"/>
  <c r="R20" i="2" s="1"/>
  <c r="A21" i="2"/>
  <c r="U21" i="2" s="1"/>
  <c r="A22" i="2"/>
  <c r="L22" i="2" s="1"/>
  <c r="A23" i="2"/>
  <c r="L23" i="2" s="1"/>
  <c r="A24" i="2"/>
  <c r="N24" i="2" s="1"/>
  <c r="A25" i="2"/>
  <c r="P25" i="2" s="1"/>
  <c r="A26" i="2"/>
  <c r="AF26" i="2" s="1"/>
  <c r="S154" i="1" s="1"/>
  <c r="A27" i="2"/>
  <c r="Q27" i="2" s="1"/>
  <c r="A28" i="2"/>
  <c r="W28" i="2" s="1"/>
  <c r="A29" i="2"/>
  <c r="AF29" i="2" s="1"/>
  <c r="S157" i="1" s="1"/>
  <c r="A30" i="2"/>
  <c r="X30" i="2" s="1"/>
  <c r="A31" i="2"/>
  <c r="AC31" i="2" s="1"/>
  <c r="A32" i="2"/>
  <c r="R32" i="2" s="1"/>
  <c r="A33" i="2"/>
  <c r="U33" i="2" s="1"/>
  <c r="A34" i="2"/>
  <c r="L34" i="2" s="1"/>
  <c r="A35" i="2"/>
  <c r="L35" i="2" s="1"/>
  <c r="A36" i="2"/>
  <c r="N36" i="2" s="1"/>
  <c r="A37" i="2"/>
  <c r="P37" i="2" s="1"/>
  <c r="A38" i="2"/>
  <c r="AN38" i="2" s="1"/>
  <c r="U166" i="1" s="1"/>
  <c r="A39" i="2"/>
  <c r="AB39" i="2" s="1"/>
  <c r="A40" i="2"/>
  <c r="AF40" i="2" s="1"/>
  <c r="S168" i="1" s="1"/>
  <c r="A41" i="2"/>
  <c r="A42" i="2"/>
  <c r="AF42" i="2" s="1"/>
  <c r="S170" i="1" s="1"/>
  <c r="A43" i="2"/>
  <c r="AC43" i="2" s="1"/>
  <c r="A44" i="2"/>
  <c r="R44" i="2" s="1"/>
  <c r="A45" i="2"/>
  <c r="U45" i="2" s="1"/>
  <c r="A46" i="2"/>
  <c r="L46" i="2" s="1"/>
  <c r="A47" i="2"/>
  <c r="L47" i="2" s="1"/>
  <c r="A48" i="2"/>
  <c r="N48" i="2" s="1"/>
  <c r="A49" i="2"/>
  <c r="P49" i="2" s="1"/>
  <c r="A50" i="2"/>
  <c r="AN50" i="2" s="1"/>
  <c r="U178" i="1" s="1"/>
  <c r="A51" i="2"/>
  <c r="AH51" i="2" s="1"/>
  <c r="T179" i="1" s="1"/>
  <c r="A52" i="2"/>
  <c r="AH52" i="2" s="1"/>
  <c r="T180" i="1" s="1"/>
  <c r="A53" i="2"/>
  <c r="AH53" i="2" s="1"/>
  <c r="T181" i="1" s="1"/>
  <c r="A54" i="2"/>
  <c r="X54" i="2" s="1"/>
  <c r="A55" i="2"/>
  <c r="AC55" i="2" s="1"/>
  <c r="A56" i="2"/>
  <c r="R56" i="2" s="1"/>
  <c r="A57" i="2"/>
  <c r="U57" i="2" s="1"/>
  <c r="A58" i="2"/>
  <c r="L58" i="2" s="1"/>
  <c r="A59" i="2"/>
  <c r="L59" i="2" s="1"/>
  <c r="A60" i="2"/>
  <c r="N60" i="2" s="1"/>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5" i="2"/>
  <c r="B6" i="2"/>
  <c r="B7" i="2"/>
  <c r="B8" i="2"/>
  <c r="B9" i="2"/>
  <c r="B10" i="2"/>
  <c r="B11" i="2"/>
  <c r="B4" i="2"/>
  <c r="S58" i="2" l="1"/>
  <c r="AB22" i="2"/>
  <c r="S46" i="2"/>
  <c r="AC58" i="2"/>
  <c r="W22" i="2"/>
  <c r="AB24" i="2"/>
  <c r="AC19" i="2"/>
  <c r="AH23" i="2"/>
  <c r="T151" i="1" s="1"/>
  <c r="O37" i="2"/>
  <c r="AB23" i="2"/>
  <c r="AC10" i="2"/>
  <c r="AH10" i="2" s="1"/>
  <c r="T138" i="1" s="1"/>
  <c r="AH22" i="2"/>
  <c r="T150" i="1" s="1"/>
  <c r="X55" i="2"/>
  <c r="X31" i="2"/>
  <c r="AF59" i="2"/>
  <c r="S187" i="1" s="1"/>
  <c r="AB11" i="2"/>
  <c r="AF11" i="2" s="1"/>
  <c r="S139" i="1" s="1"/>
  <c r="AB10" i="2"/>
  <c r="O19" i="2"/>
  <c r="AF47" i="2"/>
  <c r="S175" i="1" s="1"/>
  <c r="M19" i="2"/>
  <c r="AB59" i="2"/>
  <c r="AC46" i="2"/>
  <c r="AF35" i="2"/>
  <c r="S163" i="1" s="1"/>
  <c r="AF60" i="2"/>
  <c r="S188" i="1" s="1"/>
  <c r="Q21" i="2"/>
  <c r="M60" i="2"/>
  <c r="S10" i="2"/>
  <c r="AB58" i="2"/>
  <c r="AC34" i="2"/>
  <c r="AF23" i="2"/>
  <c r="S151" i="1" s="1"/>
  <c r="W59" i="2"/>
  <c r="AB47" i="2"/>
  <c r="AH36" i="2"/>
  <c r="T164" i="1" s="1"/>
  <c r="W58" i="2"/>
  <c r="AB35" i="2"/>
  <c r="AC30" i="2"/>
  <c r="AH35" i="2"/>
  <c r="T163" i="1" s="1"/>
  <c r="AB34" i="2"/>
  <c r="AC20" i="2"/>
  <c r="AH34" i="2"/>
  <c r="T162" i="1" s="1"/>
  <c r="AH39" i="2"/>
  <c r="T167" i="1" s="1"/>
  <c r="AN25" i="2"/>
  <c r="U153" i="1" s="1"/>
  <c r="M13" i="2"/>
  <c r="X51" i="2"/>
  <c r="AF51" i="2"/>
  <c r="S179" i="1" s="1"/>
  <c r="AH20" i="2"/>
  <c r="T148" i="1" s="1"/>
  <c r="AH37" i="2"/>
  <c r="T165" i="1" s="1"/>
  <c r="AN48" i="2"/>
  <c r="U176" i="1" s="1"/>
  <c r="AN24" i="2"/>
  <c r="U152" i="1" s="1"/>
  <c r="Q51" i="2"/>
  <c r="S34" i="2"/>
  <c r="W11" i="2"/>
  <c r="X43" i="2"/>
  <c r="AB57" i="2"/>
  <c r="AB33" i="2"/>
  <c r="AC57" i="2"/>
  <c r="AC22" i="2"/>
  <c r="AF49" i="2"/>
  <c r="S177" i="1" s="1"/>
  <c r="AF15" i="2"/>
  <c r="S143" i="1" s="1"/>
  <c r="AH11" i="2"/>
  <c r="T139" i="1" s="1"/>
  <c r="AN47" i="2"/>
  <c r="U175" i="1" s="1"/>
  <c r="AN23" i="2"/>
  <c r="U151" i="1" s="1"/>
  <c r="O13" i="2"/>
  <c r="AB8" i="2"/>
  <c r="AF52" i="2"/>
  <c r="S180" i="1" s="1"/>
  <c r="AH21" i="2"/>
  <c r="T149" i="1" s="1"/>
  <c r="AN49" i="2"/>
  <c r="U177" i="1" s="1"/>
  <c r="AF16" i="2"/>
  <c r="S144" i="1" s="1"/>
  <c r="S9" i="2"/>
  <c r="W46" i="2"/>
  <c r="W10" i="2"/>
  <c r="X40" i="2"/>
  <c r="AB51" i="2"/>
  <c r="AB25" i="2"/>
  <c r="AC56" i="2"/>
  <c r="AC21" i="2"/>
  <c r="AF48" i="2"/>
  <c r="S176" i="1" s="1"/>
  <c r="AF13" i="2"/>
  <c r="S141" i="1" s="1"/>
  <c r="AN46" i="2"/>
  <c r="U174" i="1" s="1"/>
  <c r="AN22" i="2"/>
  <c r="U150" i="1" s="1"/>
  <c r="S27" i="2"/>
  <c r="X39" i="2"/>
  <c r="AH8" i="2"/>
  <c r="T136" i="1" s="1"/>
  <c r="AN45" i="2"/>
  <c r="U173" i="1" s="1"/>
  <c r="AN21" i="2"/>
  <c r="U149" i="1" s="1"/>
  <c r="S45" i="2"/>
  <c r="AB48" i="2"/>
  <c r="AH60" i="2"/>
  <c r="T188" i="1" s="1"/>
  <c r="X27" i="2"/>
  <c r="AF39" i="2"/>
  <c r="S167" i="1" s="1"/>
  <c r="AH59" i="2"/>
  <c r="T187" i="1" s="1"/>
  <c r="AN37" i="2"/>
  <c r="U165" i="1" s="1"/>
  <c r="AN13" i="2"/>
  <c r="U141" i="1" s="1"/>
  <c r="O43" i="2"/>
  <c r="S22" i="2"/>
  <c r="AB46" i="2"/>
  <c r="AB21" i="2"/>
  <c r="AC44" i="2"/>
  <c r="AC8" i="2"/>
  <c r="AF37" i="2"/>
  <c r="S165" i="1" s="1"/>
  <c r="AH33" i="2"/>
  <c r="T161" i="1" s="1"/>
  <c r="AN60" i="2"/>
  <c r="U188" i="1" s="1"/>
  <c r="AN36" i="2"/>
  <c r="U164" i="1" s="1"/>
  <c r="AB49" i="2"/>
  <c r="AN44" i="2"/>
  <c r="U172" i="1" s="1"/>
  <c r="AN20" i="2"/>
  <c r="U148" i="1" s="1"/>
  <c r="Q45" i="2"/>
  <c r="AC45" i="2"/>
  <c r="M43" i="2"/>
  <c r="S21" i="2"/>
  <c r="AB45" i="2"/>
  <c r="AB15" i="2"/>
  <c r="AF36" i="2"/>
  <c r="S164" i="1" s="1"/>
  <c r="AH32" i="2"/>
  <c r="T160" i="1" s="1"/>
  <c r="AN59" i="2"/>
  <c r="U187" i="1" s="1"/>
  <c r="AN35" i="2"/>
  <c r="U163" i="1" s="1"/>
  <c r="AB13" i="2"/>
  <c r="AH24" i="2"/>
  <c r="T152" i="1" s="1"/>
  <c r="AH49" i="2"/>
  <c r="T177" i="1" s="1"/>
  <c r="AN58" i="2"/>
  <c r="U186" i="1" s="1"/>
  <c r="AN34" i="2"/>
  <c r="U162" i="1" s="1"/>
  <c r="M37" i="2"/>
  <c r="AB37" i="2"/>
  <c r="AC33" i="2"/>
  <c r="AF25" i="2"/>
  <c r="S153" i="1" s="1"/>
  <c r="AH48" i="2"/>
  <c r="T176" i="1" s="1"/>
  <c r="AN57" i="2"/>
  <c r="U185" i="1" s="1"/>
  <c r="AN33" i="2"/>
  <c r="U161" i="1" s="1"/>
  <c r="M36" i="2"/>
  <c r="AB60" i="2"/>
  <c r="AB36" i="2"/>
  <c r="AC32" i="2"/>
  <c r="AF24" i="2"/>
  <c r="S152" i="1" s="1"/>
  <c r="AH47" i="2"/>
  <c r="T175" i="1" s="1"/>
  <c r="AN56" i="2"/>
  <c r="U184" i="1" s="1"/>
  <c r="AN32" i="2"/>
  <c r="U160" i="1" s="1"/>
  <c r="X50" i="2"/>
  <c r="X26" i="2"/>
  <c r="AB38" i="2"/>
  <c r="L52" i="2"/>
  <c r="AN52" i="2"/>
  <c r="U180" i="1" s="1"/>
  <c r="AC52" i="2"/>
  <c r="L40" i="2"/>
  <c r="AC40" i="2"/>
  <c r="AN40" i="2"/>
  <c r="U168" i="1" s="1"/>
  <c r="S40" i="2"/>
  <c r="W40" i="2"/>
  <c r="L28" i="2"/>
  <c r="AN28" i="2"/>
  <c r="U156" i="1" s="1"/>
  <c r="AC28" i="2"/>
  <c r="AH28" i="2"/>
  <c r="T156" i="1" s="1"/>
  <c r="L16" i="2"/>
  <c r="AN16" i="2"/>
  <c r="U144" i="1" s="1"/>
  <c r="AC16" i="2"/>
  <c r="S16" i="2"/>
  <c r="AH16" i="2"/>
  <c r="T144" i="1" s="1"/>
  <c r="W16" i="2"/>
  <c r="AH54" i="2"/>
  <c r="T182" i="1" s="1"/>
  <c r="AH38" i="2"/>
  <c r="T166" i="1" s="1"/>
  <c r="AN12" i="2"/>
  <c r="U140" i="1" s="1"/>
  <c r="U51" i="2"/>
  <c r="AN51" i="2"/>
  <c r="U179" i="1" s="1"/>
  <c r="AC51" i="2"/>
  <c r="U39" i="2"/>
  <c r="AN39" i="2"/>
  <c r="U167" i="1" s="1"/>
  <c r="Q39" i="2"/>
  <c r="S39" i="2"/>
  <c r="AC39" i="2"/>
  <c r="U27" i="2"/>
  <c r="AN27" i="2"/>
  <c r="U155" i="1" s="1"/>
  <c r="AH27" i="2"/>
  <c r="T155" i="1" s="1"/>
  <c r="AC27" i="2"/>
  <c r="U15" i="2"/>
  <c r="AN15" i="2"/>
  <c r="U143" i="1" s="1"/>
  <c r="Q15" i="2"/>
  <c r="AC15" i="2"/>
  <c r="S15" i="2"/>
  <c r="AH15" i="2"/>
  <c r="T143" i="1" s="1"/>
  <c r="M30" i="2"/>
  <c r="X42" i="2"/>
  <c r="X18" i="2"/>
  <c r="AB52" i="2"/>
  <c r="AB16" i="2"/>
  <c r="AC54" i="2"/>
  <c r="AF54" i="2"/>
  <c r="S182" i="1" s="1"/>
  <c r="AF38" i="2"/>
  <c r="S166" i="1" s="1"/>
  <c r="AF18" i="2"/>
  <c r="S146" i="1" s="1"/>
  <c r="L41" i="2"/>
  <c r="AB41" i="2"/>
  <c r="W41" i="2"/>
  <c r="AN41" i="2"/>
  <c r="U169" i="1" s="1"/>
  <c r="AC41" i="2"/>
  <c r="R14" i="2"/>
  <c r="AH14" i="2"/>
  <c r="T142" i="1" s="1"/>
  <c r="AC14" i="2"/>
  <c r="X14" i="2"/>
  <c r="W29" i="2"/>
  <c r="S28" i="2"/>
  <c r="X38" i="2"/>
  <c r="AF30" i="2"/>
  <c r="S158" i="1" s="1"/>
  <c r="O38" i="2"/>
  <c r="W52" i="2"/>
  <c r="AF28" i="2"/>
  <c r="S156" i="1" s="1"/>
  <c r="AH42" i="2"/>
  <c r="T170" i="1" s="1"/>
  <c r="L53" i="2"/>
  <c r="AB53" i="2"/>
  <c r="AC53" i="2"/>
  <c r="AN53" i="2"/>
  <c r="U181" i="1" s="1"/>
  <c r="L29" i="2"/>
  <c r="AB29" i="2"/>
  <c r="AN29" i="2"/>
  <c r="U157" i="1" s="1"/>
  <c r="AC29" i="2"/>
  <c r="AH29" i="2"/>
  <c r="T157" i="1" s="1"/>
  <c r="N12" i="2"/>
  <c r="AC12" i="2"/>
  <c r="AF12" i="2"/>
  <c r="S140" i="1" s="1"/>
  <c r="X12" i="2"/>
  <c r="R50" i="2"/>
  <c r="O50" i="2"/>
  <c r="Q50" i="2"/>
  <c r="AC50" i="2"/>
  <c r="R38" i="2"/>
  <c r="AC38" i="2"/>
  <c r="O14" i="2"/>
  <c r="X41" i="2"/>
  <c r="X17" i="2"/>
  <c r="AF53" i="2"/>
  <c r="S181" i="1" s="1"/>
  <c r="AB50" i="2"/>
  <c r="AB14" i="2"/>
  <c r="AN26" i="2"/>
  <c r="U154" i="1" s="1"/>
  <c r="AH50" i="2"/>
  <c r="T178" i="1" s="1"/>
  <c r="M54" i="2"/>
  <c r="Q38" i="2"/>
  <c r="M12" i="2"/>
  <c r="AB28" i="2"/>
  <c r="AB12" i="2"/>
  <c r="AF50" i="2"/>
  <c r="S178" i="1" s="1"/>
  <c r="AF14" i="2"/>
  <c r="S142" i="1" s="1"/>
  <c r="W53" i="2"/>
  <c r="AB27" i="2"/>
  <c r="AC42" i="2"/>
  <c r="AB26" i="2"/>
  <c r="AC6" i="2"/>
  <c r="AH6" i="2" s="1"/>
  <c r="T134" i="1" s="1"/>
  <c r="S52" i="2"/>
  <c r="X53" i="2"/>
  <c r="X29" i="2"/>
  <c r="AF27" i="2"/>
  <c r="S155" i="1" s="1"/>
  <c r="P55" i="2"/>
  <c r="AH55" i="2"/>
  <c r="T183" i="1" s="1"/>
  <c r="AF55" i="2"/>
  <c r="S183" i="1" s="1"/>
  <c r="M55" i="2"/>
  <c r="O55" i="2"/>
  <c r="AB55" i="2"/>
  <c r="AN55" i="2"/>
  <c r="U183" i="1" s="1"/>
  <c r="P43" i="2"/>
  <c r="AH43" i="2"/>
  <c r="T171" i="1" s="1"/>
  <c r="AF43" i="2"/>
  <c r="S171" i="1" s="1"/>
  <c r="AB43" i="2"/>
  <c r="AN43" i="2"/>
  <c r="U171" i="1" s="1"/>
  <c r="P31" i="2"/>
  <c r="AF31" i="2"/>
  <c r="S159" i="1" s="1"/>
  <c r="M31" i="2"/>
  <c r="O31" i="2"/>
  <c r="AB31" i="2"/>
  <c r="AN31" i="2"/>
  <c r="U159" i="1" s="1"/>
  <c r="AH31" i="2"/>
  <c r="T159" i="1" s="1"/>
  <c r="P19" i="2"/>
  <c r="AF19" i="2"/>
  <c r="S147" i="1" s="1"/>
  <c r="AH19" i="2"/>
  <c r="T147" i="1" s="1"/>
  <c r="AB19" i="2"/>
  <c r="AN19" i="2"/>
  <c r="U147" i="1" s="1"/>
  <c r="N6" i="2"/>
  <c r="L6" i="2"/>
  <c r="AB6" i="2"/>
  <c r="AF6" i="2" s="1"/>
  <c r="S134" i="1" s="1"/>
  <c r="S51" i="2"/>
  <c r="X52" i="2"/>
  <c r="X28" i="2"/>
  <c r="AB40" i="2"/>
  <c r="AH41" i="2"/>
  <c r="T169" i="1" s="1"/>
  <c r="L17" i="2"/>
  <c r="AB17" i="2"/>
  <c r="W17" i="2"/>
  <c r="AN17" i="2"/>
  <c r="U145" i="1" s="1"/>
  <c r="AH17" i="2"/>
  <c r="T145" i="1" s="1"/>
  <c r="AC17" i="2"/>
  <c r="R26" i="2"/>
  <c r="AH26" i="2"/>
  <c r="T154" i="1" s="1"/>
  <c r="O26" i="2"/>
  <c r="Q26" i="2"/>
  <c r="AC26" i="2"/>
  <c r="N54" i="2"/>
  <c r="AB54" i="2"/>
  <c r="AN54" i="2"/>
  <c r="U182" i="1" s="1"/>
  <c r="N42" i="2"/>
  <c r="AB42" i="2"/>
  <c r="M42" i="2"/>
  <c r="AN42" i="2"/>
  <c r="U170" i="1" s="1"/>
  <c r="N30" i="2"/>
  <c r="AB30" i="2"/>
  <c r="AH30" i="2"/>
  <c r="T158" i="1" s="1"/>
  <c r="AN30" i="2"/>
  <c r="U158" i="1" s="1"/>
  <c r="N18" i="2"/>
  <c r="AB18" i="2"/>
  <c r="AH18" i="2"/>
  <c r="T146" i="1" s="1"/>
  <c r="M18" i="2"/>
  <c r="AN18" i="2"/>
  <c r="U146" i="1" s="1"/>
  <c r="AF41" i="2"/>
  <c r="S169" i="1" s="1"/>
  <c r="AH40" i="2"/>
  <c r="T168" i="1" s="1"/>
  <c r="AN14" i="2"/>
  <c r="U142" i="1" s="1"/>
  <c r="X60" i="2"/>
  <c r="X48" i="2"/>
  <c r="X36" i="2"/>
  <c r="X24" i="2"/>
  <c r="S57" i="2"/>
  <c r="O49" i="2"/>
  <c r="S33" i="2"/>
  <c r="O25" i="2"/>
  <c r="X59" i="2"/>
  <c r="X47" i="2"/>
  <c r="X35" i="2"/>
  <c r="X23" i="2"/>
  <c r="AB56" i="2"/>
  <c r="AB44" i="2"/>
  <c r="AB32" i="2"/>
  <c r="AB20" i="2"/>
  <c r="AF58" i="2"/>
  <c r="S186" i="1" s="1"/>
  <c r="AF46" i="2"/>
  <c r="S174" i="1" s="1"/>
  <c r="AF34" i="2"/>
  <c r="S162" i="1" s="1"/>
  <c r="AF22" i="2"/>
  <c r="S150" i="1" s="1"/>
  <c r="AF10" i="2"/>
  <c r="S138" i="1" s="1"/>
  <c r="AH58" i="2"/>
  <c r="T186" i="1" s="1"/>
  <c r="AH46" i="2"/>
  <c r="T174" i="1" s="1"/>
  <c r="X49" i="2"/>
  <c r="U9" i="2"/>
  <c r="L9" i="2"/>
  <c r="Q57" i="2"/>
  <c r="M49" i="2"/>
  <c r="Q33" i="2"/>
  <c r="M25" i="2"/>
  <c r="Q9" i="2"/>
  <c r="X58" i="2"/>
  <c r="X46" i="2"/>
  <c r="X34" i="2"/>
  <c r="X22" i="2"/>
  <c r="AC49" i="2"/>
  <c r="AC37" i="2"/>
  <c r="AC25" i="2"/>
  <c r="AC13" i="2"/>
  <c r="AF57" i="2"/>
  <c r="S185" i="1" s="1"/>
  <c r="AF45" i="2"/>
  <c r="S173" i="1" s="1"/>
  <c r="AF33" i="2"/>
  <c r="S161" i="1" s="1"/>
  <c r="AF21" i="2"/>
  <c r="S149" i="1" s="1"/>
  <c r="AF8" i="2"/>
  <c r="S136" i="1" s="1"/>
  <c r="AH57" i="2"/>
  <c r="T185" i="1" s="1"/>
  <c r="AH45" i="2"/>
  <c r="T173" i="1" s="1"/>
  <c r="X25" i="2"/>
  <c r="M48" i="2"/>
  <c r="M24" i="2"/>
  <c r="X57" i="2"/>
  <c r="X45" i="2"/>
  <c r="X33" i="2"/>
  <c r="X21" i="2"/>
  <c r="AC60" i="2"/>
  <c r="AC48" i="2"/>
  <c r="AC36" i="2"/>
  <c r="AC24" i="2"/>
  <c r="AF56" i="2"/>
  <c r="S184" i="1" s="1"/>
  <c r="AF44" i="2"/>
  <c r="S172" i="1" s="1"/>
  <c r="AF32" i="2"/>
  <c r="S160" i="1" s="1"/>
  <c r="AF20" i="2"/>
  <c r="S148" i="1" s="1"/>
  <c r="AH56" i="2"/>
  <c r="T184" i="1" s="1"/>
  <c r="AH44" i="2"/>
  <c r="T172" i="1" s="1"/>
  <c r="X37" i="2"/>
  <c r="X13" i="2"/>
  <c r="W47" i="2"/>
  <c r="W23" i="2"/>
  <c r="X56" i="2"/>
  <c r="X44" i="2"/>
  <c r="X32" i="2"/>
  <c r="X20" i="2"/>
  <c r="AC59" i="2"/>
  <c r="AC47" i="2"/>
  <c r="AC35" i="2"/>
  <c r="AC23" i="2"/>
  <c r="AC11" i="2"/>
  <c r="AH25" i="2"/>
  <c r="T153" i="1" s="1"/>
  <c r="AH13" i="2"/>
  <c r="T141" i="1" s="1"/>
  <c r="Q32" i="2"/>
  <c r="Q8" i="2"/>
  <c r="O7" i="2"/>
  <c r="M6" i="2"/>
  <c r="L60" i="2"/>
  <c r="U58" i="2"/>
  <c r="R57" i="2"/>
  <c r="P56" i="2"/>
  <c r="N55" i="2"/>
  <c r="L54" i="2"/>
  <c r="U52" i="2"/>
  <c r="R51" i="2"/>
  <c r="P50" i="2"/>
  <c r="N49" i="2"/>
  <c r="L48" i="2"/>
  <c r="U46" i="2"/>
  <c r="R45" i="2"/>
  <c r="P44" i="2"/>
  <c r="N43" i="2"/>
  <c r="L42" i="2"/>
  <c r="U40" i="2"/>
  <c r="R39" i="2"/>
  <c r="P38" i="2"/>
  <c r="N37" i="2"/>
  <c r="L36" i="2"/>
  <c r="U34" i="2"/>
  <c r="R33" i="2"/>
  <c r="P32" i="2"/>
  <c r="N31" i="2"/>
  <c r="L30" i="2"/>
  <c r="U28" i="2"/>
  <c r="R27" i="2"/>
  <c r="P26" i="2"/>
  <c r="N25" i="2"/>
  <c r="L24" i="2"/>
  <c r="U22" i="2"/>
  <c r="R21" i="2"/>
  <c r="P20" i="2"/>
  <c r="N19" i="2"/>
  <c r="L18" i="2"/>
  <c r="U16" i="2"/>
  <c r="R15" i="2"/>
  <c r="P14" i="2"/>
  <c r="N13" i="2"/>
  <c r="L12" i="2"/>
  <c r="U10" i="2"/>
  <c r="R9" i="2"/>
  <c r="P8" i="2"/>
  <c r="N7" i="2"/>
  <c r="Q56" i="2"/>
  <c r="O20" i="2"/>
  <c r="O8" i="2"/>
  <c r="U59" i="2"/>
  <c r="R58" i="2"/>
  <c r="P57" i="2"/>
  <c r="N56" i="2"/>
  <c r="L55" i="2"/>
  <c r="U53" i="2"/>
  <c r="R52" i="2"/>
  <c r="P51" i="2"/>
  <c r="N50" i="2"/>
  <c r="L49" i="2"/>
  <c r="U47" i="2"/>
  <c r="R46" i="2"/>
  <c r="P45" i="2"/>
  <c r="N44" i="2"/>
  <c r="L43" i="2"/>
  <c r="U41" i="2"/>
  <c r="R40" i="2"/>
  <c r="P39" i="2"/>
  <c r="N38" i="2"/>
  <c r="L37" i="2"/>
  <c r="U35" i="2"/>
  <c r="R34" i="2"/>
  <c r="P33" i="2"/>
  <c r="N32" i="2"/>
  <c r="L31" i="2"/>
  <c r="U29" i="2"/>
  <c r="R28" i="2"/>
  <c r="P27" i="2"/>
  <c r="N26" i="2"/>
  <c r="L25" i="2"/>
  <c r="U23" i="2"/>
  <c r="R22" i="2"/>
  <c r="P21" i="2"/>
  <c r="N20" i="2"/>
  <c r="L19" i="2"/>
  <c r="U17" i="2"/>
  <c r="R16" i="2"/>
  <c r="P15" i="2"/>
  <c r="N14" i="2"/>
  <c r="L13" i="2"/>
  <c r="U11" i="2"/>
  <c r="R10" i="2"/>
  <c r="P9" i="2"/>
  <c r="N8" i="2"/>
  <c r="L7" i="2"/>
  <c r="O32" i="2"/>
  <c r="W60" i="2"/>
  <c r="S59" i="2"/>
  <c r="Q58" i="2"/>
  <c r="O57" i="2"/>
  <c r="M56" i="2"/>
  <c r="W54" i="2"/>
  <c r="S53" i="2"/>
  <c r="Q52" i="2"/>
  <c r="O51" i="2"/>
  <c r="M50" i="2"/>
  <c r="W48" i="2"/>
  <c r="S47" i="2"/>
  <c r="Q46" i="2"/>
  <c r="O45" i="2"/>
  <c r="M44" i="2"/>
  <c r="W42" i="2"/>
  <c r="S41" i="2"/>
  <c r="Q40" i="2"/>
  <c r="O39" i="2"/>
  <c r="M38" i="2"/>
  <c r="W36" i="2"/>
  <c r="S35" i="2"/>
  <c r="Q34" i="2"/>
  <c r="O33" i="2"/>
  <c r="M32" i="2"/>
  <c r="W30" i="2"/>
  <c r="S29" i="2"/>
  <c r="Q28" i="2"/>
  <c r="O27" i="2"/>
  <c r="M26" i="2"/>
  <c r="W24" i="2"/>
  <c r="S23" i="2"/>
  <c r="Q22" i="2"/>
  <c r="O21" i="2"/>
  <c r="M20" i="2"/>
  <c r="W18" i="2"/>
  <c r="S17" i="2"/>
  <c r="Q16" i="2"/>
  <c r="O15" i="2"/>
  <c r="M14" i="2"/>
  <c r="W12" i="2"/>
  <c r="S11" i="2"/>
  <c r="Q10" i="2"/>
  <c r="O9" i="2"/>
  <c r="M8" i="2"/>
  <c r="W6" i="2"/>
  <c r="M7" i="2"/>
  <c r="U60" i="2"/>
  <c r="R59" i="2"/>
  <c r="P58" i="2"/>
  <c r="N57" i="2"/>
  <c r="L56" i="2"/>
  <c r="U54" i="2"/>
  <c r="R53" i="2"/>
  <c r="P52" i="2"/>
  <c r="N51" i="2"/>
  <c r="L50" i="2"/>
  <c r="U48" i="2"/>
  <c r="R47" i="2"/>
  <c r="P46" i="2"/>
  <c r="N45" i="2"/>
  <c r="L44" i="2"/>
  <c r="U42" i="2"/>
  <c r="R41" i="2"/>
  <c r="P40" i="2"/>
  <c r="N39" i="2"/>
  <c r="L38" i="2"/>
  <c r="U36" i="2"/>
  <c r="R35" i="2"/>
  <c r="P34" i="2"/>
  <c r="N33" i="2"/>
  <c r="L32" i="2"/>
  <c r="U30" i="2"/>
  <c r="R29" i="2"/>
  <c r="P28" i="2"/>
  <c r="N27" i="2"/>
  <c r="L26" i="2"/>
  <c r="U24" i="2"/>
  <c r="R23" i="2"/>
  <c r="P22" i="2"/>
  <c r="N21" i="2"/>
  <c r="L20" i="2"/>
  <c r="U18" i="2"/>
  <c r="R17" i="2"/>
  <c r="P16" i="2"/>
  <c r="N15" i="2"/>
  <c r="L14" i="2"/>
  <c r="U12" i="2"/>
  <c r="R11" i="2"/>
  <c r="P10" i="2"/>
  <c r="N9" i="2"/>
  <c r="L8" i="2"/>
  <c r="U6" i="2"/>
  <c r="R5" i="2"/>
  <c r="O44" i="2"/>
  <c r="S60" i="2"/>
  <c r="Q59" i="2"/>
  <c r="O58" i="2"/>
  <c r="M57" i="2"/>
  <c r="W55" i="2"/>
  <c r="S54" i="2"/>
  <c r="Q53" i="2"/>
  <c r="O52" i="2"/>
  <c r="M51" i="2"/>
  <c r="W49" i="2"/>
  <c r="S48" i="2"/>
  <c r="Q47" i="2"/>
  <c r="O46" i="2"/>
  <c r="M45" i="2"/>
  <c r="W43" i="2"/>
  <c r="S42" i="2"/>
  <c r="Q41" i="2"/>
  <c r="O40" i="2"/>
  <c r="M39" i="2"/>
  <c r="W37" i="2"/>
  <c r="S36" i="2"/>
  <c r="Q35" i="2"/>
  <c r="O34" i="2"/>
  <c r="M33" i="2"/>
  <c r="W31" i="2"/>
  <c r="S30" i="2"/>
  <c r="Q29" i="2"/>
  <c r="O28" i="2"/>
  <c r="M27" i="2"/>
  <c r="W25" i="2"/>
  <c r="S24" i="2"/>
  <c r="Q23" i="2"/>
  <c r="O22" i="2"/>
  <c r="M21" i="2"/>
  <c r="W19" i="2"/>
  <c r="S18" i="2"/>
  <c r="Q17" i="2"/>
  <c r="O16" i="2"/>
  <c r="M15" i="2"/>
  <c r="W13" i="2"/>
  <c r="S12" i="2"/>
  <c r="Q11" i="2"/>
  <c r="O10" i="2"/>
  <c r="M9" i="2"/>
  <c r="W7" i="2"/>
  <c r="S6" i="2"/>
  <c r="Q44" i="2"/>
  <c r="Q20" i="2"/>
  <c r="R60" i="2"/>
  <c r="P59" i="2"/>
  <c r="N58" i="2"/>
  <c r="L57" i="2"/>
  <c r="U55" i="2"/>
  <c r="R54" i="2"/>
  <c r="P53" i="2"/>
  <c r="N52" i="2"/>
  <c r="L51" i="2"/>
  <c r="U49" i="2"/>
  <c r="R48" i="2"/>
  <c r="P47" i="2"/>
  <c r="N46" i="2"/>
  <c r="L45" i="2"/>
  <c r="U43" i="2"/>
  <c r="R42" i="2"/>
  <c r="P41" i="2"/>
  <c r="N40" i="2"/>
  <c r="L39" i="2"/>
  <c r="U37" i="2"/>
  <c r="R36" i="2"/>
  <c r="P35" i="2"/>
  <c r="N34" i="2"/>
  <c r="L33" i="2"/>
  <c r="U31" i="2"/>
  <c r="R30" i="2"/>
  <c r="P29" i="2"/>
  <c r="N28" i="2"/>
  <c r="L27" i="2"/>
  <c r="U25" i="2"/>
  <c r="R24" i="2"/>
  <c r="P23" i="2"/>
  <c r="N22" i="2"/>
  <c r="L21" i="2"/>
  <c r="U19" i="2"/>
  <c r="R18" i="2"/>
  <c r="P17" i="2"/>
  <c r="N16" i="2"/>
  <c r="L15" i="2"/>
  <c r="U13" i="2"/>
  <c r="R12" i="2"/>
  <c r="P11" i="2"/>
  <c r="N10" i="2"/>
  <c r="U7" i="2"/>
  <c r="R6" i="2"/>
  <c r="P5" i="2"/>
  <c r="Q60" i="2"/>
  <c r="O59" i="2"/>
  <c r="M58" i="2"/>
  <c r="W56" i="2"/>
  <c r="S55" i="2"/>
  <c r="Q54" i="2"/>
  <c r="O53" i="2"/>
  <c r="M52" i="2"/>
  <c r="W50" i="2"/>
  <c r="S49" i="2"/>
  <c r="Q48" i="2"/>
  <c r="O47" i="2"/>
  <c r="M46" i="2"/>
  <c r="W44" i="2"/>
  <c r="S43" i="2"/>
  <c r="Q42" i="2"/>
  <c r="O41" i="2"/>
  <c r="M40" i="2"/>
  <c r="W38" i="2"/>
  <c r="S37" i="2"/>
  <c r="Q36" i="2"/>
  <c r="O35" i="2"/>
  <c r="M34" i="2"/>
  <c r="W32" i="2"/>
  <c r="S31" i="2"/>
  <c r="Q30" i="2"/>
  <c r="O29" i="2"/>
  <c r="M28" i="2"/>
  <c r="W26" i="2"/>
  <c r="S25" i="2"/>
  <c r="Q24" i="2"/>
  <c r="O23" i="2"/>
  <c r="M22" i="2"/>
  <c r="W20" i="2"/>
  <c r="S19" i="2"/>
  <c r="Q18" i="2"/>
  <c r="O17" i="2"/>
  <c r="M16" i="2"/>
  <c r="W14" i="2"/>
  <c r="S13" i="2"/>
  <c r="Q12" i="2"/>
  <c r="O11" i="2"/>
  <c r="M10" i="2"/>
  <c r="W8" i="2"/>
  <c r="S7" i="2"/>
  <c r="Q6" i="2"/>
  <c r="P60" i="2"/>
  <c r="N59" i="2"/>
  <c r="U56" i="2"/>
  <c r="R55" i="2"/>
  <c r="P54" i="2"/>
  <c r="N53" i="2"/>
  <c r="U50" i="2"/>
  <c r="R49" i="2"/>
  <c r="P48" i="2"/>
  <c r="N47" i="2"/>
  <c r="U44" i="2"/>
  <c r="R43" i="2"/>
  <c r="P42" i="2"/>
  <c r="N41" i="2"/>
  <c r="U38" i="2"/>
  <c r="R37" i="2"/>
  <c r="P36" i="2"/>
  <c r="N35" i="2"/>
  <c r="U32" i="2"/>
  <c r="R31" i="2"/>
  <c r="P30" i="2"/>
  <c r="N29" i="2"/>
  <c r="U26" i="2"/>
  <c r="R25" i="2"/>
  <c r="P24" i="2"/>
  <c r="N23" i="2"/>
  <c r="U20" i="2"/>
  <c r="R19" i="2"/>
  <c r="P18" i="2"/>
  <c r="N17" i="2"/>
  <c r="U14" i="2"/>
  <c r="R13" i="2"/>
  <c r="P12" i="2"/>
  <c r="N11" i="2"/>
  <c r="U8" i="2"/>
  <c r="R7" i="2"/>
  <c r="P6" i="2"/>
  <c r="N5" i="2"/>
  <c r="O56" i="2"/>
  <c r="O60" i="2"/>
  <c r="M59" i="2"/>
  <c r="W57" i="2"/>
  <c r="S56" i="2"/>
  <c r="Q55" i="2"/>
  <c r="O54" i="2"/>
  <c r="M53" i="2"/>
  <c r="W51" i="2"/>
  <c r="S50" i="2"/>
  <c r="Q49" i="2"/>
  <c r="O48" i="2"/>
  <c r="M47" i="2"/>
  <c r="W45" i="2"/>
  <c r="S44" i="2"/>
  <c r="Q43" i="2"/>
  <c r="O42" i="2"/>
  <c r="M41" i="2"/>
  <c r="W39" i="2"/>
  <c r="S38" i="2"/>
  <c r="Q37" i="2"/>
  <c r="O36" i="2"/>
  <c r="M35" i="2"/>
  <c r="W33" i="2"/>
  <c r="S32" i="2"/>
  <c r="Q31" i="2"/>
  <c r="O30" i="2"/>
  <c r="M29" i="2"/>
  <c r="W27" i="2"/>
  <c r="S26" i="2"/>
  <c r="Q25" i="2"/>
  <c r="O24" i="2"/>
  <c r="M23" i="2"/>
  <c r="W21" i="2"/>
  <c r="S20" i="2"/>
  <c r="Q19" i="2"/>
  <c r="O18" i="2"/>
  <c r="M17" i="2"/>
  <c r="W15" i="2"/>
  <c r="S14" i="2"/>
  <c r="Q13" i="2"/>
  <c r="O12" i="2"/>
  <c r="M11" i="2"/>
  <c r="W9" i="2"/>
  <c r="S8" i="2"/>
  <c r="Q7" i="2"/>
  <c r="O6" i="2"/>
  <c r="X10" i="2" l="1"/>
  <c r="X11" i="2"/>
  <c r="X8" i="2"/>
  <c r="X6" i="2"/>
  <c r="X9" i="2"/>
  <c r="X7" i="2"/>
  <c r="C97" i="1"/>
  <c r="C99" i="1"/>
  <c r="C126" i="1"/>
  <c r="Y5" i="2"/>
  <c r="Y6" i="2"/>
  <c r="Y7" i="2"/>
  <c r="Y8" i="2"/>
  <c r="Y9" i="2"/>
  <c r="AB9" i="2" s="1"/>
  <c r="AF9" i="2" s="1"/>
  <c r="S137" i="1" s="1"/>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O6" i="1"/>
  <c r="AJ4" i="2"/>
  <c r="O74" i="1"/>
  <c r="P74"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43" i="1"/>
  <c r="P43" i="1"/>
  <c r="O44" i="1"/>
  <c r="P44" i="1"/>
  <c r="O45" i="1"/>
  <c r="P45" i="1"/>
  <c r="O46" i="1"/>
  <c r="P46" i="1"/>
  <c r="O47" i="1"/>
  <c r="P47" i="1"/>
  <c r="O48" i="1"/>
  <c r="P48" i="1"/>
  <c r="O49" i="1"/>
  <c r="P49" i="1"/>
  <c r="O50" i="1"/>
  <c r="P50" i="1"/>
  <c r="P42" i="1"/>
  <c r="O42" i="1"/>
  <c r="O23" i="1"/>
  <c r="P23" i="1"/>
  <c r="O24" i="1"/>
  <c r="P24" i="1"/>
  <c r="O25" i="1"/>
  <c r="P25" i="1"/>
  <c r="O26" i="1"/>
  <c r="P26" i="1"/>
  <c r="O27" i="1"/>
  <c r="P27" i="1"/>
  <c r="O28" i="1"/>
  <c r="P28" i="1"/>
  <c r="O29" i="1"/>
  <c r="P29" i="1"/>
  <c r="P22" i="1"/>
  <c r="O22" i="1"/>
  <c r="O7" i="1"/>
  <c r="P7" i="1"/>
  <c r="O8" i="1"/>
  <c r="P8" i="1"/>
  <c r="O9" i="1"/>
  <c r="P9" i="1"/>
  <c r="P6" i="1"/>
  <c r="B190" i="1"/>
  <c r="Q15" i="1"/>
  <c r="R15" i="1"/>
  <c r="Q16" i="1"/>
  <c r="R16" i="1"/>
  <c r="Q17" i="1"/>
  <c r="R17" i="1"/>
  <c r="Q18" i="1"/>
  <c r="R18" i="1"/>
  <c r="Q19" i="1"/>
  <c r="R19" i="1"/>
  <c r="Q20" i="1"/>
  <c r="R20" i="1"/>
  <c r="Q21" i="1"/>
  <c r="R21" i="1"/>
  <c r="H30" i="5"/>
  <c r="H31" i="5"/>
  <c r="H32" i="5"/>
  <c r="H29" i="5"/>
  <c r="E32" i="5"/>
  <c r="E31" i="5"/>
  <c r="E30" i="5"/>
  <c r="E29" i="5"/>
  <c r="AB7" i="2" l="1"/>
  <c r="AF7" i="2" s="1"/>
  <c r="S135" i="1" s="1"/>
  <c r="C98"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32" i="1" l="1"/>
  <c r="A2" i="2" s="1"/>
  <c r="M4" i="9"/>
  <c r="M6" i="9"/>
  <c r="M5" i="9"/>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AE8" i="2"/>
  <c r="AE7" i="2"/>
  <c r="AE6" i="2"/>
  <c r="AE5" i="2"/>
  <c r="L16" i="5"/>
  <c r="L15" i="5"/>
  <c r="L14" i="5"/>
  <c r="L13" i="5"/>
  <c r="J25" i="5" s="1"/>
  <c r="Q10" i="1"/>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Z5" i="2"/>
  <c r="Z6" i="2"/>
  <c r="Z7" i="2"/>
  <c r="AC7" i="2" s="1"/>
  <c r="AH7" i="2" s="1"/>
  <c r="T135" i="1" s="1"/>
  <c r="Z8" i="2"/>
  <c r="Z9" i="2"/>
  <c r="AC9" i="2" s="1"/>
  <c r="AH9" i="2" s="1"/>
  <c r="T137" i="1" s="1"/>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AA4" i="2"/>
  <c r="Z4" i="2"/>
  <c r="AD5" i="2"/>
  <c r="AD6" i="2"/>
  <c r="AD7"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4" i="2"/>
  <c r="U100" i="1"/>
  <c r="U67" i="1"/>
  <c r="U66" i="1"/>
  <c r="U65" i="1"/>
  <c r="U64" i="1"/>
  <c r="U63" i="1"/>
  <c r="U62" i="1"/>
  <c r="U61" i="1"/>
  <c r="U60" i="1"/>
  <c r="U59" i="1"/>
  <c r="U57" i="1"/>
  <c r="U56" i="1"/>
  <c r="U53" i="1"/>
  <c r="U52" i="1"/>
  <c r="U51" i="1"/>
  <c r="U49" i="1"/>
  <c r="U48" i="1"/>
  <c r="U47" i="1"/>
  <c r="U46" i="1"/>
  <c r="U45" i="1"/>
  <c r="U44" i="1"/>
  <c r="U42" i="1"/>
  <c r="U41" i="1"/>
  <c r="U40" i="1"/>
  <c r="U37" i="1"/>
  <c r="U36" i="1"/>
  <c r="U35" i="1"/>
  <c r="U34" i="1"/>
  <c r="U32" i="1"/>
  <c r="U31" i="1"/>
  <c r="U30" i="1"/>
  <c r="U29" i="1"/>
  <c r="U28" i="1"/>
  <c r="U27" i="1"/>
  <c r="U26" i="1"/>
  <c r="U25" i="1"/>
  <c r="U23" i="1"/>
  <c r="U22" i="1"/>
  <c r="U21" i="1"/>
  <c r="U20" i="1"/>
  <c r="U19" i="1"/>
  <c r="U18" i="1"/>
  <c r="U13" i="1"/>
  <c r="U12" i="1"/>
  <c r="U10" i="1"/>
  <c r="M7" i="9"/>
  <c r="A4" i="2" l="1"/>
  <c r="U4" i="2" s="1"/>
  <c r="C3" i="11"/>
  <c r="R133" i="1"/>
  <c r="R132" i="1"/>
  <c r="AO6" i="2"/>
  <c r="AO41" i="2"/>
  <c r="AK41" i="2"/>
  <c r="AO52" i="2"/>
  <c r="AK52" i="2"/>
  <c r="AO40" i="2"/>
  <c r="AK40" i="2"/>
  <c r="AO28" i="2"/>
  <c r="AK28" i="2"/>
  <c r="AO16" i="2"/>
  <c r="AK16" i="2"/>
  <c r="AO29" i="2"/>
  <c r="AK29" i="2"/>
  <c r="AO51" i="2"/>
  <c r="AK51" i="2"/>
  <c r="AO39" i="2"/>
  <c r="AK39" i="2"/>
  <c r="AO27" i="2"/>
  <c r="AK27" i="2"/>
  <c r="AO15" i="2"/>
  <c r="AK15" i="2"/>
  <c r="AO42" i="2"/>
  <c r="AK42" i="2"/>
  <c r="AO17" i="2"/>
  <c r="AK17" i="2"/>
  <c r="AK50" i="2"/>
  <c r="AO50" i="2"/>
  <c r="AK13" i="2"/>
  <c r="AO13" i="2"/>
  <c r="AO54" i="2"/>
  <c r="AK54" i="2"/>
  <c r="AO53" i="2"/>
  <c r="AK53" i="2"/>
  <c r="AO14" i="2"/>
  <c r="AK14" i="2"/>
  <c r="AK49" i="2"/>
  <c r="AO49" i="2"/>
  <c r="AO25" i="2"/>
  <c r="AK25" i="2"/>
  <c r="AO60" i="2"/>
  <c r="AK60" i="2"/>
  <c r="AK48" i="2"/>
  <c r="AO48" i="2"/>
  <c r="AK36" i="2"/>
  <c r="AO36" i="2"/>
  <c r="AO24" i="2"/>
  <c r="AK24" i="2"/>
  <c r="AK12" i="2"/>
  <c r="AO12" i="2"/>
  <c r="AO30" i="2"/>
  <c r="AK30" i="2"/>
  <c r="AK26" i="2"/>
  <c r="AO26" i="2"/>
  <c r="AO59" i="2"/>
  <c r="AK59" i="2"/>
  <c r="AO47" i="2"/>
  <c r="AK47" i="2"/>
  <c r="AK35" i="2"/>
  <c r="AO23" i="2"/>
  <c r="AK23" i="2"/>
  <c r="AO11" i="2"/>
  <c r="AK11" i="2"/>
  <c r="AN11" i="2" s="1"/>
  <c r="U139" i="1" s="1"/>
  <c r="AO18" i="2"/>
  <c r="AK18" i="2"/>
  <c r="AK38" i="2"/>
  <c r="AO38" i="2"/>
  <c r="AO37" i="2"/>
  <c r="AK37" i="2"/>
  <c r="AO58" i="2"/>
  <c r="AK58" i="2"/>
  <c r="AO46" i="2"/>
  <c r="AK46" i="2"/>
  <c r="AK34" i="2"/>
  <c r="AO34" i="2"/>
  <c r="AO22" i="2"/>
  <c r="AK22" i="2"/>
  <c r="AO10" i="2"/>
  <c r="AK10" i="2"/>
  <c r="AN10" i="2" s="1"/>
  <c r="U138" i="1" s="1"/>
  <c r="AO45" i="2"/>
  <c r="AK45" i="2"/>
  <c r="AO21" i="2"/>
  <c r="AK21" i="2"/>
  <c r="AO57" i="2"/>
  <c r="AK57" i="2"/>
  <c r="AK33" i="2"/>
  <c r="AO33" i="2"/>
  <c r="AO9" i="2"/>
  <c r="AO56" i="2"/>
  <c r="AK56" i="2"/>
  <c r="AO44" i="2"/>
  <c r="AK44" i="2"/>
  <c r="AK32" i="2"/>
  <c r="AO32" i="2"/>
  <c r="AO20" i="2"/>
  <c r="AK20" i="2"/>
  <c r="AO8" i="2"/>
  <c r="AO55" i="2"/>
  <c r="AK55" i="2"/>
  <c r="AO43" i="2"/>
  <c r="AK43" i="2"/>
  <c r="AO31" i="2"/>
  <c r="AK31" i="2"/>
  <c r="AO19" i="2"/>
  <c r="AK19" i="2"/>
  <c r="AO7" i="2"/>
  <c r="I26" i="5"/>
  <c r="I30" i="5"/>
  <c r="K30" i="5" s="1"/>
  <c r="I25" i="5"/>
  <c r="K25" i="5" s="1"/>
  <c r="I31" i="5"/>
  <c r="K31" i="5" s="1"/>
  <c r="I32" i="5"/>
  <c r="K32" i="5" s="1"/>
  <c r="I29" i="5"/>
  <c r="K29" i="5" s="1"/>
  <c r="R14" i="1" s="1"/>
  <c r="C2" i="7"/>
  <c r="L25" i="5"/>
  <c r="J31" i="5"/>
  <c r="L31" i="5" s="1"/>
  <c r="J32" i="5"/>
  <c r="L32" i="5" s="1"/>
  <c r="J29" i="5"/>
  <c r="L29" i="5" s="1"/>
  <c r="Q14" i="1" s="1"/>
  <c r="J30" i="5"/>
  <c r="L30" i="5" s="1"/>
  <c r="AM58" i="2"/>
  <c r="AM54" i="2"/>
  <c r="AM50" i="2"/>
  <c r="AM46" i="2"/>
  <c r="AM42" i="2"/>
  <c r="AM38" i="2"/>
  <c r="AM34" i="2"/>
  <c r="AM30" i="2"/>
  <c r="AM26" i="2"/>
  <c r="AM22" i="2"/>
  <c r="AM18" i="2"/>
  <c r="AM14" i="2"/>
  <c r="AM10" i="2"/>
  <c r="AM33" i="2"/>
  <c r="AM57" i="2"/>
  <c r="AM49" i="2"/>
  <c r="AM41" i="2"/>
  <c r="AM25" i="2"/>
  <c r="AM17" i="2"/>
  <c r="I82" i="5"/>
  <c r="AM53" i="2"/>
  <c r="AM45" i="2"/>
  <c r="AM37" i="2"/>
  <c r="AM29" i="2"/>
  <c r="AM21" i="2"/>
  <c r="AM13" i="2"/>
  <c r="AM60" i="2"/>
  <c r="AM56" i="2"/>
  <c r="AM52" i="2"/>
  <c r="AM48" i="2"/>
  <c r="AM44" i="2"/>
  <c r="AM40" i="2"/>
  <c r="AM36" i="2"/>
  <c r="AM32" i="2"/>
  <c r="AM28" i="2"/>
  <c r="AM24" i="2"/>
  <c r="AM20" i="2"/>
  <c r="AM16" i="2"/>
  <c r="AM12" i="2"/>
  <c r="AM59" i="2"/>
  <c r="AM55" i="2"/>
  <c r="AM51" i="2"/>
  <c r="AM47" i="2"/>
  <c r="AM43" i="2"/>
  <c r="AM39" i="2"/>
  <c r="AM35" i="2"/>
  <c r="AM31" i="2"/>
  <c r="AM27" i="2"/>
  <c r="AM23" i="2"/>
  <c r="AM19" i="2"/>
  <c r="AM15" i="2"/>
  <c r="AM11" i="2"/>
  <c r="I51" i="5"/>
  <c r="I27" i="5"/>
  <c r="I47" i="5"/>
  <c r="I55" i="5"/>
  <c r="I28" i="5"/>
  <c r="K28" i="5" s="1"/>
  <c r="I36" i="5"/>
  <c r="I48" i="5"/>
  <c r="I52" i="5"/>
  <c r="I56" i="5"/>
  <c r="I35" i="5"/>
  <c r="I33" i="5"/>
  <c r="I45" i="5"/>
  <c r="I49" i="5"/>
  <c r="I53" i="5"/>
  <c r="I81" i="5"/>
  <c r="I34" i="5"/>
  <c r="I46" i="5"/>
  <c r="I50" i="5"/>
  <c r="I54" i="5"/>
  <c r="M5" i="2" l="1"/>
  <c r="W5" i="2"/>
  <c r="O5" i="2"/>
  <c r="S5" i="2"/>
  <c r="R4" i="2"/>
  <c r="Q5" i="2"/>
  <c r="U5" i="2"/>
  <c r="S4" i="2"/>
  <c r="Q4" i="2"/>
  <c r="M4" i="2"/>
  <c r="W4" i="2"/>
  <c r="AC5" i="2"/>
  <c r="AH5" i="2" s="1"/>
  <c r="T133" i="1" s="1"/>
  <c r="AB5" i="2"/>
  <c r="AK5" i="2" s="1"/>
  <c r="B6" i="7"/>
  <c r="C6" i="7" s="1"/>
  <c r="E147" i="5"/>
  <c r="E146" i="5"/>
  <c r="E145" i="5"/>
  <c r="E144" i="5"/>
  <c r="E142" i="5"/>
  <c r="E143" i="5"/>
  <c r="E141" i="5"/>
  <c r="E138" i="5"/>
  <c r="E139" i="5"/>
  <c r="E140" i="5"/>
  <c r="E137" i="5"/>
  <c r="E134" i="5"/>
  <c r="E135" i="5"/>
  <c r="E136" i="5"/>
  <c r="E133" i="5"/>
  <c r="E122" i="5"/>
  <c r="E123" i="5"/>
  <c r="E124" i="5"/>
  <c r="E125" i="5"/>
  <c r="E126" i="5"/>
  <c r="E127" i="5"/>
  <c r="E128" i="5"/>
  <c r="E129" i="5"/>
  <c r="E130" i="5"/>
  <c r="E131" i="5"/>
  <c r="E132" i="5"/>
  <c r="E121" i="5"/>
  <c r="E102" i="5"/>
  <c r="E101" i="5"/>
  <c r="E113" i="5"/>
  <c r="E114" i="5"/>
  <c r="E115" i="5"/>
  <c r="E116" i="5"/>
  <c r="E117" i="5"/>
  <c r="E118" i="5"/>
  <c r="E119" i="5"/>
  <c r="E120" i="5"/>
  <c r="E112" i="5"/>
  <c r="E107" i="5"/>
  <c r="E108" i="5"/>
  <c r="E109" i="5"/>
  <c r="E110" i="5"/>
  <c r="E111" i="5"/>
  <c r="E106" i="5"/>
  <c r="E104" i="5"/>
  <c r="E105" i="5"/>
  <c r="E103" i="5"/>
  <c r="E100" i="5"/>
  <c r="E97" i="5"/>
  <c r="E98" i="5"/>
  <c r="E99" i="5"/>
  <c r="E96" i="5"/>
  <c r="E93" i="5"/>
  <c r="E94" i="5"/>
  <c r="E95" i="5"/>
  <c r="E92" i="5"/>
  <c r="E89" i="5"/>
  <c r="E90" i="5"/>
  <c r="E91" i="5"/>
  <c r="E88" i="5"/>
  <c r="E148" i="5"/>
  <c r="W73" i="1"/>
  <c r="W74" i="1"/>
  <c r="W75" i="1"/>
  <c r="W76" i="1"/>
  <c r="W77" i="1"/>
  <c r="W78" i="1"/>
  <c r="W79" i="1"/>
  <c r="W80" i="1"/>
  <c r="W81" i="1"/>
  <c r="W82" i="1"/>
  <c r="W83" i="1"/>
  <c r="W84" i="1"/>
  <c r="W85" i="1"/>
  <c r="W86" i="1"/>
  <c r="W87" i="1"/>
  <c r="W88" i="1"/>
  <c r="W89" i="1"/>
  <c r="W90" i="1"/>
  <c r="W91" i="1"/>
  <c r="W72" i="1"/>
  <c r="E75" i="1"/>
  <c r="E76" i="1"/>
  <c r="E77" i="1"/>
  <c r="E78" i="1"/>
  <c r="E79" i="1"/>
  <c r="E80" i="1"/>
  <c r="E81" i="1"/>
  <c r="E82" i="1"/>
  <c r="E83" i="1"/>
  <c r="E84" i="1"/>
  <c r="E85" i="1"/>
  <c r="E86" i="1"/>
  <c r="E87" i="1"/>
  <c r="E88" i="1"/>
  <c r="E89" i="1"/>
  <c r="E90" i="1"/>
  <c r="E91" i="1"/>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AF5" i="2" l="1"/>
  <c r="S133" i="1" s="1"/>
  <c r="X5" i="2"/>
  <c r="AO5" i="2" s="1"/>
  <c r="O88" i="1"/>
  <c r="P88" i="1"/>
  <c r="P87" i="1"/>
  <c r="O87" i="1"/>
  <c r="O83" i="1"/>
  <c r="P83" i="1"/>
  <c r="O82" i="1"/>
  <c r="P82" i="1"/>
  <c r="O86" i="1"/>
  <c r="P86" i="1"/>
  <c r="P84" i="1"/>
  <c r="O84" i="1"/>
  <c r="O80" i="1"/>
  <c r="P80" i="1"/>
  <c r="P75" i="1"/>
  <c r="O75" i="1"/>
  <c r="O85" i="1"/>
  <c r="P85" i="1"/>
  <c r="O91" i="1"/>
  <c r="P91" i="1"/>
  <c r="O79" i="1"/>
  <c r="P79" i="1"/>
  <c r="P78" i="1"/>
  <c r="O78" i="1"/>
  <c r="O76" i="1"/>
  <c r="P76" i="1"/>
  <c r="P81" i="1"/>
  <c r="O81" i="1"/>
  <c r="P90" i="1"/>
  <c r="O90" i="1"/>
  <c r="O89" i="1"/>
  <c r="P89" i="1"/>
  <c r="O77" i="1"/>
  <c r="P77" i="1"/>
  <c r="O73" i="1"/>
  <c r="P73" i="1"/>
  <c r="P72" i="1"/>
  <c r="O72" i="1"/>
  <c r="U77" i="1"/>
  <c r="U88" i="1"/>
  <c r="U84" i="1"/>
  <c r="U80" i="1"/>
  <c r="U76" i="1"/>
  <c r="U89" i="1"/>
  <c r="U85" i="1"/>
  <c r="U81" i="1"/>
  <c r="U91" i="1"/>
  <c r="U87" i="1"/>
  <c r="U83" i="1"/>
  <c r="U79" i="1"/>
  <c r="U75" i="1"/>
  <c r="U90" i="1"/>
  <c r="U86" i="1"/>
  <c r="U82" i="1"/>
  <c r="U78" i="1"/>
  <c r="AQ12" i="2" l="1"/>
  <c r="AQ29" i="2"/>
  <c r="AQ25" i="2"/>
  <c r="AQ32" i="2"/>
  <c r="AQ57" i="2"/>
  <c r="AQ23" i="2"/>
  <c r="AQ34" i="2"/>
  <c r="AQ56" i="2"/>
  <c r="AQ53" i="2"/>
  <c r="AQ51" i="2"/>
  <c r="AQ20" i="2"/>
  <c r="AQ15" i="2"/>
  <c r="AQ26" i="2"/>
  <c r="AQ43" i="2"/>
  <c r="AQ28" i="2"/>
  <c r="AQ16" i="2"/>
  <c r="AQ27" i="2"/>
  <c r="AQ11" i="2"/>
  <c r="AQ22" i="2"/>
  <c r="AQ60" i="2"/>
  <c r="AQ18" i="2"/>
  <c r="AQ40" i="2"/>
  <c r="AQ37" i="2"/>
  <c r="AQ46" i="2"/>
  <c r="AQ49" i="2"/>
  <c r="AQ10" i="2"/>
  <c r="AQ13" i="2"/>
  <c r="AQ38" i="2"/>
  <c r="AQ48" i="2"/>
  <c r="AQ45" i="2"/>
  <c r="AQ59" i="2"/>
  <c r="AQ44" i="2"/>
  <c r="AQ41" i="2"/>
  <c r="AQ55" i="2"/>
  <c r="AQ24" i="2"/>
  <c r="AQ21" i="2"/>
  <c r="AQ19" i="2"/>
  <c r="AQ30" i="2"/>
  <c r="AQ52" i="2"/>
  <c r="AQ33" i="2"/>
  <c r="AQ47" i="2"/>
  <c r="AQ58" i="2"/>
  <c r="AQ54" i="2"/>
  <c r="AQ39" i="2"/>
  <c r="AQ50" i="2"/>
  <c r="AQ14" i="2"/>
  <c r="AQ36" i="2"/>
  <c r="AQ17" i="2"/>
  <c r="AQ31" i="2"/>
  <c r="AQ42" i="2"/>
  <c r="W103" i="1"/>
  <c r="W98" i="1"/>
  <c r="W99" i="1"/>
  <c r="W100" i="1"/>
  <c r="W101" i="1"/>
  <c r="W102" i="1"/>
  <c r="W104" i="1"/>
  <c r="W105" i="1"/>
  <c r="W106" i="1"/>
  <c r="W107" i="1"/>
  <c r="W108" i="1"/>
  <c r="W109" i="1"/>
  <c r="W110" i="1"/>
  <c r="W111" i="1"/>
  <c r="W112" i="1"/>
  <c r="W113" i="1"/>
  <c r="W114" i="1"/>
  <c r="W115" i="1"/>
  <c r="W116" i="1"/>
  <c r="W117" i="1"/>
  <c r="W118" i="1"/>
  <c r="W119" i="1"/>
  <c r="W120" i="1"/>
  <c r="W121" i="1"/>
  <c r="W122" i="1"/>
  <c r="W123" i="1"/>
  <c r="W124" i="1"/>
  <c r="W125" i="1"/>
  <c r="W126" i="1"/>
  <c r="W127" i="1"/>
  <c r="W130" i="1"/>
  <c r="W131" i="1"/>
  <c r="W132" i="1"/>
  <c r="AQ8" i="2" s="1"/>
  <c r="W133" i="1"/>
  <c r="AQ9" i="2" s="1"/>
  <c r="W134" i="1"/>
  <c r="W135" i="1"/>
  <c r="W136" i="1"/>
  <c r="W137" i="1"/>
  <c r="W138" i="1"/>
  <c r="W139" i="1"/>
  <c r="W140" i="1"/>
  <c r="W141" i="1"/>
  <c r="W169" i="1"/>
  <c r="W170" i="1"/>
  <c r="W171" i="1"/>
  <c r="W172" i="1"/>
  <c r="W173" i="1"/>
  <c r="W174" i="1"/>
  <c r="W175" i="1"/>
  <c r="W176" i="1"/>
  <c r="W177" i="1"/>
  <c r="W178" i="1"/>
  <c r="W179" i="1"/>
  <c r="W180" i="1"/>
  <c r="W181" i="1"/>
  <c r="W182" i="1"/>
  <c r="W183" i="1"/>
  <c r="W184" i="1"/>
  <c r="W185" i="1"/>
  <c r="W186" i="1"/>
  <c r="W187" i="1"/>
  <c r="W188" i="1"/>
  <c r="W97" i="1"/>
  <c r="AQ5" i="2" l="1"/>
  <c r="AQ6" i="2"/>
  <c r="AQ7" i="2"/>
  <c r="T102" i="1"/>
  <c r="T103" i="1"/>
  <c r="T104" i="1"/>
  <c r="T105" i="1"/>
  <c r="T106" i="1"/>
  <c r="T107" i="1"/>
  <c r="T108" i="1"/>
  <c r="T109" i="1"/>
  <c r="T110" i="1"/>
  <c r="T111" i="1"/>
  <c r="T112" i="1"/>
  <c r="T113" i="1"/>
  <c r="T114" i="1"/>
  <c r="T115" i="1"/>
  <c r="T116" i="1"/>
  <c r="T117" i="1"/>
  <c r="T118" i="1"/>
  <c r="T119" i="1"/>
  <c r="T120" i="1"/>
  <c r="T121" i="1"/>
  <c r="T122" i="1"/>
  <c r="T123" i="1"/>
  <c r="T124" i="1"/>
  <c r="T125" i="1"/>
  <c r="T126"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AL5" i="2" l="1"/>
  <c r="AM5" i="2" s="1"/>
  <c r="AN5" i="2" s="1"/>
  <c r="U133" i="1" s="1"/>
  <c r="AL6" i="2"/>
  <c r="AM6" i="2" s="1"/>
  <c r="AL7" i="2"/>
  <c r="AM7" i="2" s="1"/>
  <c r="AL8" i="2"/>
  <c r="AM8" i="2" s="1"/>
  <c r="AL9" i="2"/>
  <c r="AM9" i="2" s="1"/>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4" i="2"/>
  <c r="AJ5" i="2"/>
  <c r="AJ6" i="2"/>
  <c r="AK6" i="2" s="1"/>
  <c r="AJ7" i="2"/>
  <c r="AK7" i="2" s="1"/>
  <c r="AJ8" i="2"/>
  <c r="AK8" i="2" s="1"/>
  <c r="AJ9" i="2"/>
  <c r="AK9" i="2" s="1"/>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R41" i="1"/>
  <c r="Q41" i="1"/>
  <c r="R40" i="1"/>
  <c r="Q40" i="1"/>
  <c r="R37" i="1"/>
  <c r="Q37" i="1"/>
  <c r="R36" i="1"/>
  <c r="Q36" i="1"/>
  <c r="R35" i="1"/>
  <c r="Q35" i="1"/>
  <c r="R34" i="1"/>
  <c r="Q34" i="1"/>
  <c r="R32" i="1"/>
  <c r="Q32" i="1"/>
  <c r="R31" i="1"/>
  <c r="Q31" i="1"/>
  <c r="R30" i="1"/>
  <c r="Q30" i="1"/>
  <c r="R13" i="1"/>
  <c r="Q13" i="1"/>
  <c r="R12" i="1"/>
  <c r="Q12" i="1"/>
  <c r="R10" i="1"/>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28" i="5"/>
  <c r="E27" i="5"/>
  <c r="E26" i="5"/>
  <c r="E25" i="5"/>
  <c r="E24" i="5"/>
  <c r="E23" i="5"/>
  <c r="E22" i="5"/>
  <c r="E21" i="5"/>
  <c r="J50" i="5"/>
  <c r="L50" i="5" s="1"/>
  <c r="AN6" i="2" l="1"/>
  <c r="U134" i="1" s="1"/>
  <c r="AN8" i="2"/>
  <c r="U136" i="1" s="1"/>
  <c r="AN7" i="2"/>
  <c r="U135" i="1" s="1"/>
  <c r="AN9" i="2"/>
  <c r="U137" i="1" s="1"/>
  <c r="U58" i="1"/>
  <c r="U43" i="1"/>
  <c r="U9" i="1"/>
  <c r="J56" i="5"/>
  <c r="L56" i="5" s="1"/>
  <c r="K81" i="5"/>
  <c r="R66" i="1" s="1"/>
  <c r="K27" i="5"/>
  <c r="J46" i="5"/>
  <c r="L46" i="5" s="1"/>
  <c r="K51" i="5"/>
  <c r="K55" i="5"/>
  <c r="J82" i="5"/>
  <c r="L82" i="5" s="1"/>
  <c r="Q67" i="1" s="1"/>
  <c r="J81" i="5"/>
  <c r="L81" i="5" s="1"/>
  <c r="Q66" i="1" s="1"/>
  <c r="J26" i="5"/>
  <c r="L26" i="5" s="1"/>
  <c r="Q11" i="1" s="1"/>
  <c r="J34" i="5"/>
  <c r="L34" i="5" s="1"/>
  <c r="J54" i="5"/>
  <c r="L54" i="5" s="1"/>
  <c r="Q39" i="1" s="1"/>
  <c r="J27" i="5"/>
  <c r="L27" i="5" s="1"/>
  <c r="J35" i="5"/>
  <c r="L35" i="5" s="1"/>
  <c r="K36" i="5"/>
  <c r="J47" i="5"/>
  <c r="L47" i="5" s="1"/>
  <c r="K48" i="5"/>
  <c r="R33" i="1" s="1"/>
  <c r="J51" i="5"/>
  <c r="L51" i="5" s="1"/>
  <c r="K52" i="5"/>
  <c r="J55" i="5"/>
  <c r="L55" i="5" s="1"/>
  <c r="K56" i="5"/>
  <c r="K26" i="5"/>
  <c r="R11" i="1" s="1"/>
  <c r="J33" i="5"/>
  <c r="L33" i="5" s="1"/>
  <c r="K34" i="5"/>
  <c r="J45" i="5"/>
  <c r="L45" i="5" s="1"/>
  <c r="K46" i="5"/>
  <c r="J49" i="5"/>
  <c r="L49" i="5" s="1"/>
  <c r="K50" i="5"/>
  <c r="J53" i="5"/>
  <c r="L53" i="5" s="1"/>
  <c r="Q38" i="1" s="1"/>
  <c r="K54" i="5"/>
  <c r="R39" i="1" s="1"/>
  <c r="K82" i="5"/>
  <c r="R67" i="1" s="1"/>
  <c r="K35" i="5"/>
  <c r="K47" i="5"/>
  <c r="J28" i="5"/>
  <c r="L28" i="5" s="1"/>
  <c r="K33" i="5"/>
  <c r="J36" i="5"/>
  <c r="L36" i="5" s="1"/>
  <c r="K45" i="5"/>
  <c r="J48" i="5"/>
  <c r="L48" i="5" s="1"/>
  <c r="Q33" i="1" s="1"/>
  <c r="K49" i="5"/>
  <c r="J52" i="5"/>
  <c r="L52" i="5" s="1"/>
  <c r="K53" i="5"/>
  <c r="R38" i="1" s="1"/>
  <c r="U54" i="1" l="1"/>
  <c r="U24" i="1"/>
  <c r="U72" i="1"/>
  <c r="U55" i="1"/>
  <c r="U6" i="1"/>
  <c r="U73" i="1"/>
  <c r="U8" i="1"/>
  <c r="U7" i="1"/>
  <c r="U50" i="1"/>
  <c r="U33" i="1"/>
  <c r="U39" i="1"/>
  <c r="U38" i="1"/>
  <c r="U11" i="1"/>
  <c r="T100" i="1"/>
  <c r="S101" i="1"/>
  <c r="T101" i="1"/>
  <c r="B92" i="1" l="1"/>
  <c r="S100" i="1"/>
  <c r="U74" i="1"/>
  <c r="E188" i="1"/>
  <c r="E59" i="11" s="1"/>
  <c r="E187" i="1"/>
  <c r="E58" i="11" s="1"/>
  <c r="E186" i="1"/>
  <c r="E57" i="11" s="1"/>
  <c r="E185" i="1"/>
  <c r="E56" i="11" s="1"/>
  <c r="E184" i="1"/>
  <c r="E55" i="11" s="1"/>
  <c r="E183" i="1"/>
  <c r="E54" i="11" s="1"/>
  <c r="E182" i="1"/>
  <c r="E53" i="11" s="1"/>
  <c r="E181" i="1"/>
  <c r="E52" i="11" s="1"/>
  <c r="E180" i="1"/>
  <c r="E51" i="11" s="1"/>
  <c r="E179" i="1"/>
  <c r="E50" i="11" s="1"/>
  <c r="E178" i="1"/>
  <c r="E49" i="11" s="1"/>
  <c r="E177" i="1"/>
  <c r="E48" i="11" s="1"/>
  <c r="E176" i="1"/>
  <c r="E47" i="11" s="1"/>
  <c r="E175" i="1"/>
  <c r="E46" i="11" s="1"/>
  <c r="E174" i="1"/>
  <c r="E45" i="11" s="1"/>
  <c r="E173" i="1"/>
  <c r="E44" i="11" s="1"/>
  <c r="E172" i="1"/>
  <c r="E43" i="11" s="1"/>
  <c r="E171" i="1"/>
  <c r="E42" i="11" s="1"/>
  <c r="E170" i="1"/>
  <c r="E41" i="11" s="1"/>
  <c r="E169" i="1"/>
  <c r="E40" i="11" s="1"/>
  <c r="E141" i="1"/>
  <c r="E12" i="11" s="1"/>
  <c r="E140" i="1"/>
  <c r="E11" i="11" s="1"/>
  <c r="E126" i="1"/>
  <c r="U126" i="1" s="1"/>
  <c r="E125" i="1"/>
  <c r="U125" i="1" s="1"/>
  <c r="E124" i="1"/>
  <c r="U124" i="1" s="1"/>
  <c r="E123" i="1"/>
  <c r="U123" i="1" s="1"/>
  <c r="E122" i="1"/>
  <c r="U122" i="1" s="1"/>
  <c r="E121" i="1"/>
  <c r="U121" i="1" s="1"/>
  <c r="E120" i="1"/>
  <c r="U120" i="1" s="1"/>
  <c r="E119" i="1"/>
  <c r="U119" i="1" s="1"/>
  <c r="E118" i="1"/>
  <c r="U118" i="1" s="1"/>
  <c r="E117" i="1"/>
  <c r="U117" i="1" s="1"/>
  <c r="E116" i="1"/>
  <c r="U116" i="1" s="1"/>
  <c r="E115" i="1"/>
  <c r="U115" i="1" s="1"/>
  <c r="E114" i="1"/>
  <c r="U114" i="1" s="1"/>
  <c r="E113" i="1"/>
  <c r="U113" i="1" s="1"/>
  <c r="E112" i="1"/>
  <c r="U112" i="1" s="1"/>
  <c r="E111" i="1"/>
  <c r="U111" i="1" s="1"/>
  <c r="E110" i="1"/>
  <c r="U110" i="1" s="1"/>
  <c r="E109" i="1"/>
  <c r="U109" i="1" s="1"/>
  <c r="E108" i="1"/>
  <c r="U108" i="1" s="1"/>
  <c r="E107" i="1"/>
  <c r="U107" i="1" s="1"/>
  <c r="E106" i="1"/>
  <c r="U106" i="1" s="1"/>
  <c r="E105" i="1"/>
  <c r="U105" i="1" s="1"/>
  <c r="E104" i="1"/>
  <c r="U104" i="1" s="1"/>
  <c r="E103" i="1"/>
  <c r="U103" i="1" s="1"/>
  <c r="E102" i="1"/>
  <c r="U102" i="1" s="1"/>
  <c r="E101" i="1"/>
  <c r="U101" i="1" l="1"/>
  <c r="E127" i="1"/>
  <c r="S97" i="1"/>
  <c r="AO35" i="2"/>
  <c r="T98" i="1"/>
  <c r="S98" i="1"/>
  <c r="S99" i="1"/>
  <c r="U99" i="1" s="1"/>
  <c r="E189" i="1"/>
  <c r="U98" i="1"/>
  <c r="E191" i="1"/>
  <c r="AQ35" i="2" l="1"/>
  <c r="A4" i="3"/>
  <c r="A6" i="3"/>
  <c r="A8" i="3"/>
  <c r="B3" i="7"/>
  <c r="B2" i="7"/>
  <c r="C3" i="7"/>
  <c r="T97" i="1"/>
  <c r="U97" i="1" l="1"/>
  <c r="B127" i="1" l="1"/>
  <c r="A14" i="3"/>
  <c r="A12" i="3"/>
  <c r="A18" i="3"/>
  <c r="A10" i="3"/>
  <c r="A16" i="3"/>
  <c r="O4" i="2"/>
  <c r="X4" i="2" s="1"/>
  <c r="AC4" i="2" s="1"/>
  <c r="T99" i="1" s="1"/>
  <c r="AQ4" i="2"/>
  <c r="AH4" i="2" l="1"/>
  <c r="T132" i="1" s="1"/>
  <c r="AM4" i="2"/>
  <c r="AO4" i="2"/>
  <c r="AB4" i="2"/>
  <c r="AF4" i="2" l="1"/>
  <c r="S132" i="1" s="1"/>
  <c r="C190" i="1" s="1"/>
  <c r="AK4" i="2"/>
  <c r="AN4" i="2" s="1"/>
  <c r="U132" i="1" s="1"/>
  <c r="B189" i="1" l="1"/>
  <c r="U189" i="1"/>
  <c r="B5" i="7" s="1"/>
  <c r="C5" i="7" s="1"/>
  <c r="B4" i="7"/>
  <c r="C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 Duhalde</author>
    <author>SUNDARA Deepa</author>
  </authors>
  <commentList>
    <comment ref="B70" authorId="0" shapeId="0" xr:uid="{5FCDF5D8-5554-433E-B74E-512F1A827CFF}">
      <text>
        <r>
          <rPr>
            <sz val="9"/>
            <color indexed="81"/>
            <rFont val="Tahoma"/>
            <family val="2"/>
          </rPr>
          <t>Le cas 1 se rapporte aux filières dans lesquelles l'électricité et la chaleur nécessaires au procédé sont fournies par le moteur de cogénération lui-même.
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t>
        </r>
        <r>
          <rPr>
            <sz val="9"/>
            <color indexed="81"/>
            <rFont val="Tahoma"/>
            <family val="2"/>
          </rPr>
          <t>able.
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30" authorId="1" shapeId="0" xr:uid="{2C4F77FC-300B-428C-996A-FEE4B7CDC317}">
      <text>
        <r>
          <rPr>
            <b/>
            <sz val="9"/>
            <color indexed="81"/>
            <rFont val="Tahoma"/>
            <family val="2"/>
          </rPr>
          <t>SUNDARA Deepa:</t>
        </r>
        <r>
          <rPr>
            <sz val="9"/>
            <color indexed="81"/>
            <rFont val="Tahoma"/>
            <family val="2"/>
          </rPr>
          <t xml:space="preserve">
Si le lot est constitué de plusieurs intrants, renseigner le même numéro X du lot à chaque ligne (Lot X)</t>
        </r>
      </text>
    </comment>
    <comment ref="D130" authorId="1" shapeId="0" xr:uid="{5AE8A27A-C60F-4413-8168-B9B4B8CC5EFD}">
      <text>
        <r>
          <rPr>
            <b/>
            <sz val="9"/>
            <color indexed="81"/>
            <rFont val="Tahoma"/>
            <family val="2"/>
          </rPr>
          <t>SUNDARA Deepa:</t>
        </r>
        <r>
          <rPr>
            <sz val="9"/>
            <color indexed="81"/>
            <rFont val="Tahoma"/>
            <family val="2"/>
          </rPr>
          <t xml:space="preserve">
A renseigner pour chaque intrant du lot</t>
        </r>
      </text>
    </comment>
    <comment ref="E130" authorId="1" shapeId="0" xr:uid="{D421EC91-54D1-423E-8E3D-A2066C867DE4}">
      <text>
        <r>
          <rPr>
            <b/>
            <sz val="9"/>
            <color indexed="81"/>
            <rFont val="Tahoma"/>
            <family val="2"/>
          </rPr>
          <t>SUNDARA Deepa:</t>
        </r>
        <r>
          <rPr>
            <sz val="9"/>
            <color indexed="81"/>
            <rFont val="Tahoma"/>
            <family val="2"/>
          </rPr>
          <t xml:space="preserve">
A renseigner pour chaque intrant du lot</t>
        </r>
      </text>
    </comment>
    <comment ref="F130" authorId="1" shapeId="0" xr:uid="{6B85D837-F7BA-4905-928F-526E8CB86BD8}">
      <text>
        <r>
          <rPr>
            <b/>
            <sz val="9"/>
            <color indexed="81"/>
            <rFont val="Tahoma"/>
            <family val="2"/>
          </rPr>
          <t>SUNDARA Deepa:</t>
        </r>
        <r>
          <rPr>
            <sz val="9"/>
            <color indexed="81"/>
            <rFont val="Tahoma"/>
            <family val="2"/>
          </rPr>
          <t xml:space="preserve">
A renseigner pour chaque intrant du lot</t>
        </r>
      </text>
    </comment>
    <comment ref="M130" authorId="1" shapeId="0" xr:uid="{BA66DCCF-F0B2-4385-82D3-188CD929CF70}">
      <text>
        <r>
          <rPr>
            <b/>
            <sz val="9"/>
            <color indexed="81"/>
            <rFont val="Tahoma"/>
            <family val="2"/>
          </rPr>
          <t>SUNDARA Deepa:</t>
        </r>
        <r>
          <rPr>
            <sz val="9"/>
            <color indexed="81"/>
            <rFont val="Tahoma"/>
            <family val="2"/>
          </rPr>
          <t xml:space="preserve">
A renseigner pour chaque intrant du lot</t>
        </r>
      </text>
    </comment>
    <comment ref="N130" authorId="1" shapeId="0" xr:uid="{8BFEB9B3-D1E0-44CC-8BFA-F634DE20FF8E}">
      <text>
        <r>
          <rPr>
            <b/>
            <sz val="9"/>
            <color indexed="81"/>
            <rFont val="Tahoma"/>
            <family val="2"/>
          </rPr>
          <t>SUNDARA Deepa:</t>
        </r>
        <r>
          <rPr>
            <sz val="9"/>
            <color indexed="81"/>
            <rFont val="Tahoma"/>
            <family val="2"/>
          </rPr>
          <t xml:space="preserve">
A renseigner pour chaque intrant du lot</t>
        </r>
      </text>
    </comment>
    <comment ref="O130" authorId="1" shapeId="0" xr:uid="{D94B0232-B9F9-40CE-88C5-A0DB5AEB6489}">
      <text>
        <r>
          <rPr>
            <b/>
            <sz val="9"/>
            <color indexed="81"/>
            <rFont val="Tahoma"/>
            <family val="2"/>
          </rPr>
          <t>SUNDARA Deepa:</t>
        </r>
        <r>
          <rPr>
            <sz val="9"/>
            <color indexed="81"/>
            <rFont val="Tahoma"/>
            <family val="2"/>
          </rPr>
          <t xml:space="preserve">
A renseigner pour chaque intrant du lot</t>
        </r>
      </text>
    </comment>
    <comment ref="R130" authorId="1" shapeId="0" xr:uid="{44F94E89-41D5-4081-B04F-1B4903D07C9B}">
      <text>
        <r>
          <rPr>
            <b/>
            <sz val="9"/>
            <color indexed="81"/>
            <rFont val="Tahoma"/>
            <family val="2"/>
          </rPr>
          <t>SUNDARA Deepa:</t>
        </r>
        <r>
          <rPr>
            <sz val="9"/>
            <color indexed="81"/>
            <rFont val="Tahoma"/>
            <family val="2"/>
          </rPr>
          <t xml:space="preserve">
Une unique valeur à renseigner par lot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SUNDARA Deepa</author>
    <author>Michel Duhalde</author>
  </authors>
  <commentList>
    <comment ref="C2" authorId="0" shapeId="0" xr:uid="{FD4E6006-5A01-4816-B152-870141A7E4BB}">
      <text>
        <r>
          <rPr>
            <b/>
            <sz val="9"/>
            <color indexed="81"/>
            <rFont val="Tahoma"/>
            <family val="2"/>
          </rPr>
          <t>SUNDARA Deepa:</t>
        </r>
        <r>
          <rPr>
            <sz val="9"/>
            <color indexed="81"/>
            <rFont val="Tahoma"/>
            <family val="2"/>
          </rPr>
          <t xml:space="preserve">
Reneseigner la part de l'intrant dans le lot</t>
        </r>
      </text>
    </comment>
    <comment ref="D2" authorId="0" shapeId="0" xr:uid="{E19BB479-499C-489F-86D0-A500AEBAF27F}">
      <text>
        <r>
          <rPr>
            <b/>
            <sz val="9"/>
            <color indexed="81"/>
            <rFont val="Tahoma"/>
            <family val="2"/>
          </rPr>
          <t>SUNDARA Deepa:</t>
        </r>
        <r>
          <rPr>
            <sz val="9"/>
            <color indexed="81"/>
            <rFont val="Tahoma"/>
            <family val="2"/>
          </rPr>
          <t xml:space="preserve">
A renseigner pour chaque intrant du lot</t>
        </r>
      </text>
    </comment>
    <comment ref="F2" authorId="0" shapeId="0" xr:uid="{FA325DB2-7DDB-4A9D-ACC2-DF6562C9C0F9}">
      <text>
        <r>
          <rPr>
            <b/>
            <sz val="9"/>
            <color indexed="81"/>
            <rFont val="Tahoma"/>
            <family val="2"/>
          </rPr>
          <t>SUNDARA Deepa:</t>
        </r>
        <r>
          <rPr>
            <sz val="9"/>
            <color indexed="81"/>
            <rFont val="Tahoma"/>
            <family val="2"/>
          </rPr>
          <t xml:space="preserve">
A renseigner pour chaque intrant du lot</t>
        </r>
      </text>
    </comment>
    <comment ref="H2" authorId="0" shapeId="0" xr:uid="{E842ED77-9A2E-452D-B4C8-F5EDCF8A0968}">
      <text>
        <r>
          <rPr>
            <b/>
            <sz val="9"/>
            <color indexed="81"/>
            <rFont val="Tahoma"/>
            <family val="2"/>
          </rPr>
          <t>SUNDARA Deepa:</t>
        </r>
        <r>
          <rPr>
            <sz val="9"/>
            <color indexed="81"/>
            <rFont val="Tahoma"/>
            <family val="2"/>
          </rPr>
          <t xml:space="preserve">
A renseigner pour chaque intrant du lot</t>
        </r>
      </text>
    </comment>
    <comment ref="J2" authorId="0" shapeId="0" xr:uid="{32645537-311C-4C63-83B2-AFFA975BF13D}">
      <text>
        <r>
          <rPr>
            <b/>
            <sz val="9"/>
            <color indexed="81"/>
            <rFont val="Tahoma"/>
            <family val="2"/>
          </rPr>
          <t>SUNDARA Deepa:</t>
        </r>
        <r>
          <rPr>
            <sz val="9"/>
            <color indexed="81"/>
            <rFont val="Tahoma"/>
            <family val="2"/>
          </rPr>
          <t xml:space="preserve">
A renseigner pour chaque intrant du lot</t>
        </r>
      </text>
    </comment>
    <comment ref="L2" authorId="0" shapeId="0" xr:uid="{25399223-E31F-4217-936F-435C34B4B2A7}">
      <text>
        <r>
          <rPr>
            <b/>
            <sz val="9"/>
            <color indexed="81"/>
            <rFont val="Tahoma"/>
            <family val="2"/>
          </rPr>
          <t>SUNDARA Deepa:</t>
        </r>
        <r>
          <rPr>
            <sz val="9"/>
            <color indexed="81"/>
            <rFont val="Tahoma"/>
            <family val="2"/>
          </rPr>
          <t xml:space="preserve">
Associé au lot - A renseigner une fois par lot</t>
        </r>
      </text>
    </comment>
    <comment ref="N2" authorId="0" shapeId="0" xr:uid="{C15FAFE9-0389-4F7E-B9FD-EA55C03AA319}">
      <text>
        <r>
          <rPr>
            <b/>
            <sz val="9"/>
            <color indexed="81"/>
            <rFont val="Tahoma"/>
            <family val="2"/>
          </rPr>
          <t>SUNDARA Deepa:</t>
        </r>
        <r>
          <rPr>
            <sz val="9"/>
            <color indexed="81"/>
            <rFont val="Tahoma"/>
            <family val="2"/>
          </rPr>
          <t xml:space="preserve">
Associé au lot - A renseigner une fois par lot</t>
        </r>
      </text>
    </comment>
    <comment ref="P2" authorId="0" shapeId="0" xr:uid="{2C5D6CF0-D5A1-4643-8F2A-67BACDD14052}">
      <text>
        <r>
          <rPr>
            <b/>
            <sz val="9"/>
            <color indexed="81"/>
            <rFont val="Tahoma"/>
            <family val="2"/>
          </rPr>
          <t>SUNDARA Deepa:</t>
        </r>
        <r>
          <rPr>
            <sz val="9"/>
            <color indexed="81"/>
            <rFont val="Tahoma"/>
            <family val="2"/>
          </rPr>
          <t xml:space="preserve">
Associé au lot - A renseigner une fois par lot</t>
        </r>
      </text>
    </comment>
    <comment ref="R2" authorId="0" shapeId="0" xr:uid="{950CE445-884A-45D9-88E5-B606661304A6}">
      <text>
        <r>
          <rPr>
            <b/>
            <sz val="9"/>
            <color indexed="81"/>
            <rFont val="Tahoma"/>
            <family val="2"/>
          </rPr>
          <t>SUNDARA Deepa:</t>
        </r>
        <r>
          <rPr>
            <sz val="9"/>
            <color indexed="81"/>
            <rFont val="Tahoma"/>
            <family val="2"/>
          </rPr>
          <t xml:space="preserve">
Associé au lot - A renseigner une fois par lot</t>
        </r>
      </text>
    </comment>
    <comment ref="T2" authorId="0" shapeId="0" xr:uid="{0340241B-D766-48DC-9303-E0B066E40366}">
      <text>
        <r>
          <rPr>
            <b/>
            <sz val="9"/>
            <color indexed="81"/>
            <rFont val="Tahoma"/>
            <family val="2"/>
          </rPr>
          <t>SUNDARA Deepa:</t>
        </r>
        <r>
          <rPr>
            <sz val="9"/>
            <color indexed="81"/>
            <rFont val="Tahoma"/>
            <family val="2"/>
          </rPr>
          <t xml:space="preserve">
Associé au lot - A renseigner une fois par lot</t>
        </r>
      </text>
    </comment>
    <comment ref="V2" authorId="0" shapeId="0" xr:uid="{C14C1BCD-620C-4C9A-BFB9-F05D230814E0}">
      <text>
        <r>
          <rPr>
            <b/>
            <sz val="9"/>
            <color indexed="81"/>
            <rFont val="Tahoma"/>
            <family val="2"/>
          </rPr>
          <t>SUNDARA Deepa:</t>
        </r>
        <r>
          <rPr>
            <sz val="9"/>
            <color indexed="81"/>
            <rFont val="Tahoma"/>
            <family val="2"/>
          </rPr>
          <t xml:space="preserve">
Associé au lot - A renseigner une fois par lot</t>
        </r>
      </text>
    </comment>
    <comment ref="Y2" authorId="1" shapeId="0" xr:uid="{3680612E-C520-4C73-AB78-EC6BE008FB9E}">
      <text>
        <r>
          <rPr>
            <sz val="9"/>
            <color indexed="81"/>
            <rFont val="Tahoma"/>
            <family val="2"/>
          </rPr>
          <t xml:space="preserve">Production annuelle d'électricité divisée par l'apport annuel de combustible sur la base de son contenu énergétique.
Reneigner 0 si production de chaleur seule.
</t>
        </r>
      </text>
    </comment>
    <comment ref="Z2" authorId="1" shapeId="0" xr:uid="{6D32DC43-3919-421D-92D8-D37694863955}">
      <text>
        <r>
          <rPr>
            <sz val="9"/>
            <color indexed="81"/>
            <rFont val="Tahoma"/>
            <family val="2"/>
          </rPr>
          <t>Production annuelle de chaleur utile divisée par l'apport annuel de combustible sur la base de son contenu énergétique.
Renseigner 0 si production électricité seule</t>
        </r>
      </text>
    </comment>
    <comment ref="AA2" authorId="1" shapeId="0" xr:uid="{799404A9-A16D-4C98-B619-B631DBBB3134}">
      <text>
        <r>
          <rPr>
            <sz val="9"/>
            <color indexed="81"/>
            <rFont val="Tahoma"/>
            <family val="2"/>
          </rPr>
          <t>Température de la chaleur utile au point de fourniture (°C)</t>
        </r>
      </text>
    </comment>
    <comment ref="D3" authorId="1" shapeId="0" xr:uid="{B9F45164-999B-4E6F-8B95-0A328732CF17}">
      <text>
        <r>
          <rPr>
            <sz val="9"/>
            <color indexed="81"/>
            <rFont val="Tahoma"/>
            <family val="2"/>
          </rPr>
          <t>Valeur Par défaut (tirée des annexes de la directive)</t>
        </r>
      </text>
    </comment>
    <comment ref="F3" authorId="1" shapeId="0" xr:uid="{D9A3EAF7-A840-4D60-B104-2A31EACBD033}">
      <text>
        <r>
          <rPr>
            <sz val="9"/>
            <color indexed="81"/>
            <rFont val="Tahoma"/>
            <family val="2"/>
          </rPr>
          <t>Valeur Par défaut (tirée des annexes de la directive)</t>
        </r>
      </text>
    </comment>
    <comment ref="H3" authorId="1" shapeId="0" xr:uid="{FCB26B97-72CE-44D4-947C-1BD9631DA3DB}">
      <text>
        <r>
          <rPr>
            <sz val="9"/>
            <color indexed="81"/>
            <rFont val="Tahoma"/>
            <family val="2"/>
          </rPr>
          <t>Valeur Par défaut (tirée des annexes de la directive)</t>
        </r>
      </text>
    </comment>
    <comment ref="J3" authorId="1" shapeId="0" xr:uid="{BB038E9C-6853-4817-97A5-2642E1D4EC82}">
      <text>
        <r>
          <rPr>
            <sz val="9"/>
            <color indexed="81"/>
            <rFont val="Tahoma"/>
            <family val="2"/>
          </rPr>
          <t>Valeur Par défaut (tirée des annexes de la directive)</t>
        </r>
      </text>
    </comment>
    <comment ref="L3" authorId="1" shapeId="0" xr:uid="{12EDF8A3-BEEC-491F-A1B7-B91BC2495BC7}">
      <text>
        <r>
          <rPr>
            <sz val="9"/>
            <color indexed="81"/>
            <rFont val="Tahoma"/>
            <family val="2"/>
          </rPr>
          <t>Valeur Par défaut (tirée des annexes de la directive)</t>
        </r>
      </text>
    </comment>
    <comment ref="N3" authorId="1" shapeId="0" xr:uid="{D3FA3564-28D0-449B-9CF2-2E5FFA20062F}">
      <text>
        <r>
          <rPr>
            <sz val="9"/>
            <color indexed="81"/>
            <rFont val="Tahoma"/>
            <family val="2"/>
          </rPr>
          <t>Valeur Par défaut (tirée des annexes de la directive)</t>
        </r>
      </text>
    </comment>
    <comment ref="P3" authorId="1" shapeId="0" xr:uid="{74C61DF0-1885-4D71-BA3D-979199FF1FE4}">
      <text>
        <r>
          <rPr>
            <sz val="9"/>
            <color indexed="81"/>
            <rFont val="Tahoma"/>
            <family val="2"/>
          </rPr>
          <t>Valeur Par défaut (tirée des annexes de la directive)</t>
        </r>
      </text>
    </comment>
    <comment ref="R3" authorId="1" shapeId="0" xr:uid="{ACCFC624-A85B-4ED8-8023-7C8F169A3F10}">
      <text>
        <r>
          <rPr>
            <sz val="9"/>
            <color indexed="81"/>
            <rFont val="Tahoma"/>
            <family val="2"/>
          </rPr>
          <t>Valeur Par défaut (tirée des annexes de la directive)</t>
        </r>
      </text>
    </comment>
    <comment ref="T3" authorId="1" shapeId="0" xr:uid="{9DE77516-D3A5-4948-B4BC-9D3FF8850E84}">
      <text>
        <r>
          <rPr>
            <sz val="9"/>
            <color indexed="81"/>
            <rFont val="Tahoma"/>
            <family val="2"/>
          </rPr>
          <t>Valeur Par défaut (tirée des annexes de la directive)</t>
        </r>
      </text>
    </comment>
    <comment ref="V3" authorId="1" shapeId="0" xr:uid="{DDF12F90-8F15-4966-AE8F-4C496DC1EECC}">
      <text>
        <r>
          <rPr>
            <sz val="9"/>
            <color indexed="81"/>
            <rFont val="Tahoma"/>
            <family val="2"/>
          </rPr>
          <t>Valeur Par défaut (tirée des annexes de la directive)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 Duhalde</author>
  </authors>
  <commentList>
    <comment ref="H13" authorId="0" shapeId="0" xr:uid="{96FFCF45-5AFC-4727-B49F-4AB28B4467CD}">
      <text>
        <r>
          <rPr>
            <sz val="9"/>
            <color indexed="81"/>
            <rFont val="Tahoma"/>
            <family val="2"/>
          </rPr>
          <t xml:space="preserve">Production annuelle d'électricité divisée par l'apport annuel de combustible sur la base de son contenu énergétique.
Reneigner 0 si production de chaleur seule.
</t>
        </r>
      </text>
    </comment>
    <comment ref="H14" authorId="0" shapeId="0" xr:uid="{9FD9672D-1A3B-4269-B1B3-6A5273F8D9DA}">
      <text>
        <r>
          <rPr>
            <sz val="9"/>
            <color indexed="81"/>
            <rFont val="Tahoma"/>
            <family val="2"/>
          </rPr>
          <t>Production annuelle de chaleur utile divisée par l'apport annuel de combustible sur la base de son contenu énergétique.
Renseigner 0 si production électricité seule</t>
        </r>
      </text>
    </comment>
    <comment ref="H15" authorId="0" shapeId="0" xr:uid="{7ECB6A2E-16F2-44C8-89B2-2DFC26BE483A}">
      <text>
        <r>
          <rPr>
            <sz val="9"/>
            <color indexed="81"/>
            <rFont val="Tahoma"/>
            <family val="2"/>
          </rPr>
          <t>Température de la chaleur utile au point de fourniture (°C)</t>
        </r>
      </text>
    </comment>
    <comment ref="A148" authorId="0" shapeId="0" xr:uid="{D61BF43D-D9CA-49B6-9FE0-80475E85FA96}">
      <text>
        <r>
          <rPr>
            <b/>
            <sz val="9"/>
            <color indexed="81"/>
            <rFont val="Tahoma"/>
            <family val="2"/>
          </rPr>
          <t>Uniquement dans les cas de production de biogaz pour électricité</t>
        </r>
      </text>
    </comment>
    <comment ref="C148" authorId="0" shapeId="0" xr:uid="{C25E439C-E7A4-4431-A95F-CF9856A5C741}">
      <text>
        <r>
          <rPr>
            <b/>
            <sz val="9"/>
            <color indexed="81"/>
            <rFont val="Tahoma"/>
            <family val="2"/>
          </rPr>
          <t>Le cas 1 se rapporte aux filières dans lesquelles l'électricité et la chaleur nécessaires au procédé sont fournies par le moteur de cogénération lui-même.</t>
        </r>
      </text>
    </comment>
    <comment ref="C149" authorId="0" shapeId="0" xr:uid="{C0A24155-65DE-45BE-BB0A-55D9EC437C1A}">
      <text>
        <r>
          <rPr>
            <b/>
            <sz val="9"/>
            <color indexed="81"/>
            <rFont val="Tahoma"/>
            <family val="2"/>
          </rPr>
          <t>Le cas 1 se rapporte aux filières dans lesquelles l'électricité et la chaleur nécessaires au procédé sont fournies par le moteur de cogénération lui-même.</t>
        </r>
      </text>
    </comment>
    <comment ref="C150" authorId="0" shapeId="0" xr:uid="{90356088-CF45-46EC-A7FE-82D725D7CEAC}">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1" authorId="0" shapeId="0" xr:uid="{CBC425A2-B274-481C-B944-3017EAC7D883}">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2" authorId="0" shapeId="0" xr:uid="{CBC00CC0-1B89-4523-8E9C-7E8D1D18B0B4}">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53" authorId="0" shapeId="0" xr:uid="{9BC63148-7EFE-4CBE-94FF-E7054EBCE659}">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54" authorId="0" shapeId="0" xr:uid="{64FD1665-F7DC-4A93-8FD4-CC54B67765E5}">
      <text>
        <r>
          <rPr>
            <b/>
            <sz val="9"/>
            <color indexed="81"/>
            <rFont val="Tahoma"/>
            <family val="2"/>
          </rPr>
          <t>Uniquement dans les cas de production de biogaz pour électricité</t>
        </r>
      </text>
    </comment>
    <comment ref="C154" authorId="0" shapeId="0" xr:uid="{CA46434B-031A-4D63-9CC7-08AFBFAA9A9A}">
      <text>
        <r>
          <rPr>
            <b/>
            <sz val="9"/>
            <color indexed="81"/>
            <rFont val="Tahoma"/>
            <family val="2"/>
          </rPr>
          <t>Le cas 1 se rapporte aux filières dans lesquelles l'électricité et la chaleur nécessaires au procédé sont fournies par le moteur de cogénération lui-même.</t>
        </r>
      </text>
    </comment>
    <comment ref="C155" authorId="0" shapeId="0" xr:uid="{9217EB5E-1E7A-48B7-898E-A647BB515DC3}">
      <text>
        <r>
          <rPr>
            <b/>
            <sz val="9"/>
            <color indexed="81"/>
            <rFont val="Tahoma"/>
            <family val="2"/>
          </rPr>
          <t>Le cas 1 se rapporte aux filières dans lesquelles l'électricité et la chaleur nécessaires au procédé sont fournies par le moteur de cogénération lui-même.</t>
        </r>
      </text>
    </comment>
    <comment ref="C156" authorId="0" shapeId="0" xr:uid="{36894544-DF81-460F-AA5B-4BE8A5237EF2}">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7" authorId="0" shapeId="0" xr:uid="{538DDA1F-06B2-42DF-A59A-C7F8F5C0830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8" authorId="0" shapeId="0" xr:uid="{F24D554E-7219-4084-9343-9FDB993454A9}">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59" authorId="0" shapeId="0" xr:uid="{07F14A18-7116-41E0-9B48-CA5152D0FF14}">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60" authorId="0" shapeId="0" xr:uid="{43B2DD9D-EFE0-4188-AC3C-3B57A007F993}">
      <text>
        <r>
          <rPr>
            <b/>
            <sz val="9"/>
            <color indexed="81"/>
            <rFont val="Tahoma"/>
            <family val="2"/>
          </rPr>
          <t>Uniquement dans les cas de production de biogaz pour électricité</t>
        </r>
      </text>
    </comment>
    <comment ref="C160" authorId="0" shapeId="0" xr:uid="{C6ADFD19-87B4-4308-B4D4-3C7DF4A3DAF3}">
      <text>
        <r>
          <rPr>
            <b/>
            <sz val="9"/>
            <color indexed="81"/>
            <rFont val="Tahoma"/>
            <family val="2"/>
          </rPr>
          <t>Le cas 1 se rapporte aux filières dans lesquelles l'électricité et la chaleur nécessaires au procédé sont fournies par le moteur de cogénération lui-même.</t>
        </r>
      </text>
    </comment>
    <comment ref="C161" authorId="0" shapeId="0" xr:uid="{62E80060-DD3C-4AA8-98F4-B27B88BCFCC3}">
      <text>
        <r>
          <rPr>
            <b/>
            <sz val="9"/>
            <color indexed="81"/>
            <rFont val="Tahoma"/>
            <family val="2"/>
          </rPr>
          <t>Le cas 1 se rapporte aux filières dans lesquelles l'électricité et la chaleur nécessaires au procédé sont fournies par le moteur de cogénération lui-même.</t>
        </r>
      </text>
    </comment>
    <comment ref="C162" authorId="0" shapeId="0" xr:uid="{BEE83463-9BA1-47D2-827A-259498F0C423}">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63" authorId="0" shapeId="0" xr:uid="{C8FB5753-6250-4967-B2F4-0359CEAC740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64" authorId="0" shapeId="0" xr:uid="{BDF755A7-A235-40A4-A59A-57737974A0D0}">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65" authorId="0" shapeId="0" xr:uid="{7AAAC00A-C180-4678-B18A-DC183F795C37}">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66" authorId="0" shapeId="0" xr:uid="{F91C492F-E6D1-4683-87D6-CA83075726A4}">
      <text>
        <r>
          <rPr>
            <b/>
            <sz val="9"/>
            <color indexed="81"/>
            <rFont val="Tahoma"/>
            <family val="2"/>
          </rPr>
          <t>Uniquement dans les cas de production de biogaz pour électricité</t>
        </r>
      </text>
    </comment>
    <comment ref="C166" authorId="0" shapeId="0" xr:uid="{7422BC3F-FD2B-40A7-86E6-8C58D878AB63}">
      <text>
        <r>
          <rPr>
            <b/>
            <sz val="9"/>
            <color indexed="81"/>
            <rFont val="Tahoma"/>
            <family val="2"/>
          </rPr>
          <t>Le cas 1 se rapporte aux filières dans lesquelles l'électricité et la chaleur nécessaires au procédé sont fournies par le moteur de cogénération lui-même.</t>
        </r>
      </text>
    </comment>
    <comment ref="C167" authorId="0" shapeId="0" xr:uid="{0FEFA2D9-0CBB-47E0-8661-826AE1C5D211}">
      <text>
        <r>
          <rPr>
            <b/>
            <sz val="9"/>
            <color indexed="81"/>
            <rFont val="Tahoma"/>
            <family val="2"/>
          </rPr>
          <t>Le cas 1 se rapporte aux filières dans lesquelles l'électricité et la chaleur nécessaires au procédé sont fournies par le moteur de cogénération lui-même.</t>
        </r>
      </text>
    </comment>
    <comment ref="C168" authorId="0" shapeId="0" xr:uid="{9F1A8E44-B01E-4CE1-A2C0-08E6AB6B5044}">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69" authorId="0" shapeId="0" xr:uid="{3549AEF5-619D-4C61-B940-D2DB8A2DAAED}">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70" authorId="0" shapeId="0" xr:uid="{906835C5-4066-45B5-81F4-326A615AEC40}">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71" authorId="0" shapeId="0" xr:uid="{36B3D8C8-4275-4CA6-8562-340B4D26C253}">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72" authorId="0" shapeId="0" xr:uid="{FC6B7E79-6D41-4C6E-810B-EB80DB45AB4F}">
      <text>
        <r>
          <rPr>
            <b/>
            <sz val="9"/>
            <color indexed="81"/>
            <rFont val="Tahoma"/>
            <family val="2"/>
          </rPr>
          <t>Uniquement dans les cas de production de biogaz pour électricité</t>
        </r>
      </text>
    </comment>
    <comment ref="C172" authorId="0" shapeId="0" xr:uid="{6ADDFE5A-25C8-4CD4-A5F4-A9A6EB308D6D}">
      <text>
        <r>
          <rPr>
            <b/>
            <sz val="9"/>
            <color indexed="81"/>
            <rFont val="Tahoma"/>
            <family val="2"/>
          </rPr>
          <t>Le cas 1 se rapporte aux filières dans lesquelles l'électricité et la chaleur nécessaires au procédé sont fournies par le moteur de cogénération lui-même.</t>
        </r>
      </text>
    </comment>
    <comment ref="C173" authorId="0" shapeId="0" xr:uid="{3A7F2115-23B2-4837-B961-CFFCC22BDC03}">
      <text>
        <r>
          <rPr>
            <b/>
            <sz val="9"/>
            <color indexed="81"/>
            <rFont val="Tahoma"/>
            <family val="2"/>
          </rPr>
          <t>Le cas 1 se rapporte aux filières dans lesquelles l'électricité et la chaleur nécessaires au procédé sont fournies par le moteur de cogénération lui-même.</t>
        </r>
      </text>
    </comment>
    <comment ref="C174" authorId="0" shapeId="0" xr:uid="{3F3F679A-A75F-41ED-9248-81D091275CA6}">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75" authorId="0" shapeId="0" xr:uid="{3A8653BD-802C-465F-A22D-148205C5FE50}">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76" authorId="0" shapeId="0" xr:uid="{5FBD9FBE-588A-424F-8773-E2E21E3AFAAB}">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77" authorId="0" shapeId="0" xr:uid="{A9EE2BAF-FDA1-4862-AFBB-9702C31571F4}">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78" authorId="0" shapeId="0" xr:uid="{38163D60-39AB-40D6-A1BD-2AA2CEBDCA72}">
      <text>
        <r>
          <rPr>
            <b/>
            <sz val="9"/>
            <color indexed="81"/>
            <rFont val="Tahoma"/>
            <family val="2"/>
          </rPr>
          <t>Uniquement dans les cas de production de biogaz pour électricité</t>
        </r>
      </text>
    </comment>
    <comment ref="C178" authorId="0" shapeId="0" xr:uid="{A2EFB9F2-FB01-458B-B01D-8101B1E619CB}">
      <text>
        <r>
          <rPr>
            <b/>
            <sz val="9"/>
            <color indexed="81"/>
            <rFont val="Tahoma"/>
            <family val="2"/>
          </rPr>
          <t>Le cas 1 se rapporte aux filières dans lesquelles l'électricité et la chaleur nécessaires au procédé sont fournies par le moteur de cogénération lui-même.</t>
        </r>
      </text>
    </comment>
    <comment ref="C179" authorId="0" shapeId="0" xr:uid="{8850B726-FBB1-4831-8B4D-1AB675380406}">
      <text>
        <r>
          <rPr>
            <b/>
            <sz val="9"/>
            <color indexed="81"/>
            <rFont val="Tahoma"/>
            <family val="2"/>
          </rPr>
          <t>Le cas 1 se rapporte aux filières dans lesquelles l'électricité et la chaleur nécessaires au procédé sont fournies par le moteur de cogénération lui-même.</t>
        </r>
      </text>
    </comment>
    <comment ref="C180" authorId="0" shapeId="0" xr:uid="{BC046C0A-5AE7-4DE0-8E6E-22BAB1831E47}">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81" authorId="0" shapeId="0" xr:uid="{44C9B6CC-3827-4FAC-9E4D-6720BE8CD722}">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82" authorId="0" shapeId="0" xr:uid="{27BE1A89-D65C-402C-A69E-ECF59D1CBE06}">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83" authorId="0" shapeId="0" xr:uid="{C20FEF09-BED0-4941-B9C2-49A83D9916DD}">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List>
</comments>
</file>

<file path=xl/sharedStrings.xml><?xml version="1.0" encoding="utf-8"?>
<sst xmlns="http://schemas.openxmlformats.org/spreadsheetml/2006/main" count="983" uniqueCount="425">
  <si>
    <t>Type de production</t>
  </si>
  <si>
    <t>Cogénération</t>
  </si>
  <si>
    <t>Type de production de chaleur le cas échéant</t>
  </si>
  <si>
    <t>Vapeur</t>
  </si>
  <si>
    <t>Rendement électrique (%)</t>
  </si>
  <si>
    <t>Rendement thermique (%)</t>
  </si>
  <si>
    <t>Production d'électricité, à partir d'un combustible solide ou gazeux, en outre-mer?</t>
  </si>
  <si>
    <t>Température utile au point de fourniture (°C)</t>
  </si>
  <si>
    <t>Date de "mise en service" de l'installation
(format : JJ/MM/AAAA)</t>
  </si>
  <si>
    <t>Stockage du digestat</t>
  </si>
  <si>
    <t>Stockage ouvert (cas 1)</t>
  </si>
  <si>
    <t>Cas 1 "Stockage ouvert : temps de séjour en digesteur &lt; 80 jours sans post-digesteur + stockage du digestat avec ou sans croûte ;
Cas 2 "Stockage couvert" : digesteur + post-digesteur OU digesteur avec un temps de séjour &gt; 80 jours + stockage du digestat couvert ou stockage ouvert avec croûte ;
Cas 3 "Stockage couvert avec récupération : stockage couvert du digestat avec récupération de biogaz résiduel.</t>
  </si>
  <si>
    <t>Statut du digestat</t>
  </si>
  <si>
    <t>Produit</t>
  </si>
  <si>
    <t>"Déchet" qui fait l'objet d'un plan d'épandage ou bien "produit" qui peut être utilisé sans plan d'épandage.</t>
  </si>
  <si>
    <t>Configurations des unités de méthanisation en cogénération (vente en surplus / vente en totalité)</t>
  </si>
  <si>
    <t>Cas 1</t>
  </si>
  <si>
    <t>Cas 1 : filières dans lesquelles l'électricité et la chaleur nécessaires au procédé sont fournies par le moteur de cogénération lui-même.
Cas 2 : filières dans lesquelles l'électricité nécessaire au procédé est fournie par le réseau et la chaleur industrielle est fournie par le moteur de cogénération lui-même.
Cas 3 : filières dans lesquelles l'électricité nécessaire au procédé est fournie par le réseau et la chaleur industrielle est fournie par une chaudière au biogaz.</t>
  </si>
  <si>
    <t>Distance d'appro.</t>
  </si>
  <si>
    <t>Quantités en tonnes</t>
  </si>
  <si>
    <t>1.Réduction GES par défaut 
(donnée directive RED)</t>
  </si>
  <si>
    <t>Objectif GES atteint?</t>
  </si>
  <si>
    <t>Système volontaire utilisé pour la traçabilité du lot (certification du fournisseur direct)</t>
  </si>
  <si>
    <t>Commentaire</t>
  </si>
  <si>
    <t>Elec</t>
  </si>
  <si>
    <t>Chaleur</t>
  </si>
  <si>
    <t>France</t>
  </si>
  <si>
    <t>Allemagne</t>
  </si>
  <si>
    <t>Espagne</t>
  </si>
  <si>
    <t>Italie</t>
  </si>
  <si>
    <t>Belgique</t>
  </si>
  <si>
    <t>Plaquette forestière</t>
  </si>
  <si>
    <t>1A_PFA</t>
  </si>
  <si>
    <t>0-500km</t>
  </si>
  <si>
    <t>500-2 500km</t>
  </si>
  <si>
    <t>2 500-10 000km</t>
  </si>
  <si>
    <t>plus de 10 000km</t>
  </si>
  <si>
    <t xml:space="preserve">Bois hors forêt </t>
  </si>
  <si>
    <t>Plaquettes bocagères ou agroforestières</t>
  </si>
  <si>
    <t>1B_PFA</t>
  </si>
  <si>
    <t>1C_PFA</t>
  </si>
  <si>
    <t xml:space="preserve">Produits connexes des industries 
de transformation du bois </t>
  </si>
  <si>
    <t>Ecorces</t>
  </si>
  <si>
    <t>2A-CIB</t>
  </si>
  <si>
    <t>Plaquettes Produits Connexes de Scierie (PCS)</t>
  </si>
  <si>
    <t>2B-CIB</t>
  </si>
  <si>
    <t>Bois déchets</t>
  </si>
  <si>
    <t>Bois SSD sortis du statut de déchet</t>
  </si>
  <si>
    <t>3A_BFVBD</t>
  </si>
  <si>
    <t>3B_BFVBD</t>
  </si>
  <si>
    <t>3C_BFVBD</t>
  </si>
  <si>
    <t>Granulés</t>
  </si>
  <si>
    <t>4A_GR / C_1</t>
  </si>
  <si>
    <r>
      <t xml:space="preserve">Granulés bois (connexe) - production type 2
</t>
    </r>
    <r>
      <rPr>
        <sz val="8"/>
        <color theme="1"/>
        <rFont val="Calibri"/>
        <family val="2"/>
        <scheme val="minor"/>
      </rPr>
      <t>(issus de procédés dans lesquels une chaudière à bois déchiqueté (plaquettes forestières ou produits connexes des industries de transformation du bois), alimentée avec du bois déchiqueté séché au préalable, est utilisée pour fournir la chaleur in­ dustrielle. La presse à granulés est alimentée en électricité par le réseau)</t>
    </r>
  </si>
  <si>
    <t>4A_GR / C_2</t>
  </si>
  <si>
    <r>
      <t xml:space="preserve">Granulés bois (connexe) - production type 3
</t>
    </r>
    <r>
      <rPr>
        <sz val="8"/>
        <color theme="1"/>
        <rFont val="Calibri"/>
        <family val="2"/>
        <scheme val="minor"/>
      </rPr>
      <t>(issus de procédés dans lesquels une centrale de cogénération, alimentée avec du bois déchiqueté séché au préalable, est utilisée pour alimenter la presse à granulés en électricité et chaleur)</t>
    </r>
  </si>
  <si>
    <t>4A_GR / C_3</t>
  </si>
  <si>
    <t>4A_GR / F_1</t>
  </si>
  <si>
    <r>
      <t xml:space="preserve">Granulés bois (forestier) - production type 2
</t>
    </r>
    <r>
      <rPr>
        <sz val="8"/>
        <color theme="1"/>
        <rFont val="Calibri"/>
        <family val="2"/>
        <scheme val="minor"/>
      </rPr>
      <t>(issus de procédés dans lesquels une chaudière à bois déchiqueté (plaquettes forestières ou produits forestiers des industries de transformation du bois), alimentée avec du bois déchiqueté séché au préalable, est utilisée pour fournir la chaleur in­ dustrielle. La presse à granulés est alimentée en électricité par le réseau)</t>
    </r>
  </si>
  <si>
    <t>4A_GR / F_2</t>
  </si>
  <si>
    <r>
      <t xml:space="preserve">Granulés bois (forestier) - production type 3
</t>
    </r>
    <r>
      <rPr>
        <sz val="8"/>
        <color theme="1"/>
        <rFont val="Calibri"/>
        <family val="2"/>
        <scheme val="minor"/>
      </rPr>
      <t>(issus de procédés dans lesquels une centrale de cogénération, alimentée avec du bois déchiqueté séché au préalable, est utilisée pour alimenter la presse à granulés en électricité et chaleur)</t>
    </r>
  </si>
  <si>
    <t>4A_GR / F_3</t>
  </si>
  <si>
    <t>Liqueur noire</t>
  </si>
  <si>
    <t>sur site</t>
  </si>
  <si>
    <t>Boue papetière</t>
  </si>
  <si>
    <t>N° de lot</t>
  </si>
  <si>
    <t>3. Valeur réelle 
(ex : calcul par outil filière)</t>
  </si>
  <si>
    <t>Type de combustible</t>
  </si>
  <si>
    <t>Distance de collecte (km)</t>
  </si>
  <si>
    <r>
      <t xml:space="preserve">Potentiel méthanogène en Nm3/t MB
</t>
    </r>
    <r>
      <rPr>
        <b/>
        <sz val="11"/>
        <color theme="1"/>
        <rFont val="Calibri"/>
        <family val="2"/>
        <scheme val="minor"/>
      </rPr>
      <t>(installation de métha.)</t>
    </r>
  </si>
  <si>
    <r>
      <t xml:space="preserve">Biogaz produit à partir du lot (MJ)
</t>
    </r>
    <r>
      <rPr>
        <b/>
        <sz val="11"/>
        <color theme="1"/>
        <rFont val="Calibri"/>
        <family val="2"/>
        <scheme val="minor"/>
      </rPr>
      <t>(installation de métha.)</t>
    </r>
  </si>
  <si>
    <r>
      <t xml:space="preserve">Culture principale?
</t>
    </r>
    <r>
      <rPr>
        <b/>
        <sz val="11"/>
        <color theme="1"/>
        <rFont val="Calibri"/>
        <family val="2"/>
        <scheme val="minor"/>
      </rPr>
      <t>(installation de métha.)</t>
    </r>
  </si>
  <si>
    <t>Précision sur le combustible (ex : G2000)</t>
  </si>
  <si>
    <t>Graisses de station d’épuration</t>
  </si>
  <si>
    <t xml:space="preserve">Boues de station d’épuration </t>
  </si>
  <si>
    <t>TOTAL approvisionnements (t)</t>
  </si>
  <si>
    <t>Date de mise en service de l'installation de production de bioliquides</t>
  </si>
  <si>
    <t>Electricité seule</t>
  </si>
  <si>
    <t>Avant le 6 octobre 2015</t>
  </si>
  <si>
    <t>Chaleur/froid seul(e)</t>
  </si>
  <si>
    <t>Entre le 6 octobre 2015 et le 31 décembre 2020</t>
  </si>
  <si>
    <t>A partir du 1er janvier 2021</t>
  </si>
  <si>
    <t>Déchet</t>
  </si>
  <si>
    <t>Date inconnue</t>
  </si>
  <si>
    <t>Non renseigné</t>
  </si>
  <si>
    <t>Eau chaude</t>
  </si>
  <si>
    <t>2BSvs</t>
  </si>
  <si>
    <t>Eau chaude et vapeur</t>
  </si>
  <si>
    <t>ISCC EU</t>
  </si>
  <si>
    <t>Process industriel</t>
  </si>
  <si>
    <t>SBP</t>
  </si>
  <si>
    <t>Cas 2</t>
  </si>
  <si>
    <t>SURE</t>
  </si>
  <si>
    <t>Cas 3</t>
  </si>
  <si>
    <t>Sans objet</t>
  </si>
  <si>
    <t>PEFC (attente de reconnaissance)</t>
  </si>
  <si>
    <t>OUI</t>
  </si>
  <si>
    <t>Better Biomass</t>
  </si>
  <si>
    <t>NON</t>
  </si>
  <si>
    <t>Bonsucro EU</t>
  </si>
  <si>
    <t>KZR INiG System</t>
  </si>
  <si>
    <t>Stockage couvert (cas 2)</t>
  </si>
  <si>
    <t>REDCert</t>
  </si>
  <si>
    <t>Stockage couvert avec récupération (cas 3)</t>
  </si>
  <si>
    <t>Red Tractor</t>
  </si>
  <si>
    <t>RSB EU RED</t>
  </si>
  <si>
    <t>Autre</t>
  </si>
  <si>
    <t>Plaquettes bocagères ou agroforestières : 1B_PFA</t>
  </si>
  <si>
    <t>RTRS EU RED</t>
  </si>
  <si>
    <t>SQC</t>
  </si>
  <si>
    <t>Attestation GES</t>
  </si>
  <si>
    <t>Ecorces 2A-CIB</t>
  </si>
  <si>
    <t>TASCC</t>
  </si>
  <si>
    <t>Plaquettes Produits Connexes de Scierie (PCS) 2B-CIB</t>
  </si>
  <si>
    <t>UFAS</t>
  </si>
  <si>
    <t>Bois SSD sortis du statut de déchet 3A_BFVBD</t>
  </si>
  <si>
    <t>AACS</t>
  </si>
  <si>
    <t>Déchets de bois non dangereux 2910-B ICPE 3B_BFVBD</t>
  </si>
  <si>
    <t>Pas de certification</t>
  </si>
  <si>
    <t>Déchets de bois non dangereux 2771 ICPE 3C_BFVBD</t>
  </si>
  <si>
    <t>Déchets de bois  dangereux 2770 ICPE 3D_BFVBD</t>
  </si>
  <si>
    <t xml:space="preserve">Granulés bois 4A_GR </t>
  </si>
  <si>
    <t>Etat de la certification</t>
  </si>
  <si>
    <t>Granulés bois d'origine agricole 4B_GR</t>
  </si>
  <si>
    <t>En place</t>
  </si>
  <si>
    <t>Granulés bois traités thermiquement 4C_GR</t>
  </si>
  <si>
    <t>Démarche en cours</t>
  </si>
  <si>
    <t>Démarche non lancée</t>
  </si>
  <si>
    <t>Inconnu du déclarant</t>
  </si>
  <si>
    <t>Biogaz</t>
  </si>
  <si>
    <t>Lisier</t>
  </si>
  <si>
    <t xml:space="preserve">Fumier </t>
  </si>
  <si>
    <t xml:space="preserve">Ensilage de cultures dédiées </t>
  </si>
  <si>
    <t xml:space="preserve">Ensilage de cultures intermédaires à vocation énergétique (CIVE) </t>
  </si>
  <si>
    <t xml:space="preserve">Ensilage herbe de prairie temporaire </t>
  </si>
  <si>
    <t xml:space="preserve">Ensilage herbe de culture permanente </t>
  </si>
  <si>
    <t xml:space="preserve">Déchets végétaux ensilés </t>
  </si>
  <si>
    <t xml:space="preserve">Résidus de culture (pailles) </t>
  </si>
  <si>
    <t>Déchets graisseux pâteux/solides agricoles</t>
  </si>
  <si>
    <t xml:space="preserve">Décharge (ISDND) </t>
  </si>
  <si>
    <t xml:space="preserve">Station d'épuration des eaux urbaines </t>
  </si>
  <si>
    <t xml:space="preserve">Autre produit agricole, co-produit agricole déjà certifié RED II </t>
  </si>
  <si>
    <t>Déchets IAA liquides (&lt;20% MS)</t>
  </si>
  <si>
    <t xml:space="preserve">Déchets IAA pâteux/solides (&gt;20% MS) </t>
  </si>
  <si>
    <t>Déchets graisseux pâteux/solides industriels</t>
  </si>
  <si>
    <t>Déchets liquides industriels</t>
  </si>
  <si>
    <t>Autre type de bioliquide (préciser)</t>
  </si>
  <si>
    <t>Autre type de combustible solide (préciser)</t>
  </si>
  <si>
    <t>Autres biodéchets industriels</t>
  </si>
  <si>
    <t>Autres biodéchets d'activités économiques non industrielles</t>
  </si>
  <si>
    <t>Déchets ménagers et assimilés</t>
  </si>
  <si>
    <t>Numéro de lot</t>
  </si>
  <si>
    <t>Calcul GES en valeur réelle</t>
  </si>
  <si>
    <t>Contrôle</t>
  </si>
  <si>
    <t>Ep (gCO2/MJ)</t>
  </si>
  <si>
    <t>Etd (gCO2/MJ)</t>
  </si>
  <si>
    <t>Eu (gCO2/MJ)</t>
  </si>
  <si>
    <t>Esca (gCO2/MJ)</t>
  </si>
  <si>
    <t>Eccs (gCO2/MJ)</t>
  </si>
  <si>
    <t>Eccr (gCO2/MJ)</t>
  </si>
  <si>
    <t>Etotal (gCO2e/MJ)</t>
  </si>
  <si>
    <t>Rendement élec.</t>
  </si>
  <si>
    <t>Rendement thermique</t>
  </si>
  <si>
    <t>Température utile Th</t>
  </si>
  <si>
    <t>ECel</t>
  </si>
  <si>
    <t>ECh</t>
  </si>
  <si>
    <t>Date de mise en service de l'installation de production d'élec./chaleur</t>
  </si>
  <si>
    <t>VPD</t>
  </si>
  <si>
    <t>Réel</t>
  </si>
  <si>
    <t>En cas d'utilisation de plaquettes bocagères ou agroforestières:</t>
  </si>
  <si>
    <t xml:space="preserve">A compléter : </t>
  </si>
  <si>
    <t>En cas d'utilisation de bois SSD sortis du statut de déchet :</t>
  </si>
  <si>
    <t>En cas d'utilisation de déchets de bois non dangereux rubrique réglementaire 2910-B ICPE BR1 :</t>
  </si>
  <si>
    <t>En cas d'utilisation de déchets de bois non dangereux rubrique réglementaire 2771 ICPE BR2 :</t>
  </si>
  <si>
    <t>En cas d'utilisation de liqueurs noires :</t>
  </si>
  <si>
    <t>En cas d'utilisation de boues papetières :</t>
  </si>
  <si>
    <t>Efficacité énergétique des installations produisant de l'électricité</t>
  </si>
  <si>
    <t>En application de l'article L. 281-11 du code de l'énergie, l'électricité produite à partir de biomasse doit respecter l'une ou plusieurs des conditions suivantes. Merci de préciser quelle option correspond à votre situation :</t>
  </si>
  <si>
    <t>1° Etre produite dans des installations dont la puissance thermique nominale totale est inférieure à 50 MW ;</t>
  </si>
  <si>
    <t>2° Pour les installations dont la puissance thermique nominale totale se situe entre 50 et 100 MW, être produite au moyen d'une technologie de cogénération à haut rendement ou dans une installation exclusivement électrique respectant un niveau d'efficacité énergétique associé aux meilleures technologies disponibles, au sens de la décision d'exécution prévue au paragraphe 5 de l'article 13 de la directive 2010/75/ UE du Parlement européen et du Conseil du 24 novembre 2010 relative aux émissions industrielles (prévention et réduction intégrées de la pollution), pour les grandes installations de combustion ;</t>
  </si>
  <si>
    <t>3° Pour les installations dont la puissance thermique nominale totale est supérieure à 100 MW, être produite au moyen d'une technologie de cogénération à haut rendement ou dans une installation exclusivement électrique atteignant un rendement électrique net d'au moins 36 % ;</t>
  </si>
  <si>
    <t>4° Etre produite dans des installations procédant au captage et au stockage de CO2 issu de la biomasse.</t>
  </si>
  <si>
    <t>Situation du lot en termes d'émission de GES</t>
  </si>
  <si>
    <t>Explication/référence</t>
  </si>
  <si>
    <t>Lot non soumis : solide ou gazeux, et entrée en service de l'installation &lt; 01/01/2021</t>
  </si>
  <si>
    <t xml:space="preserve">Rappel : une installation est considérée comme mise en service une fois que la production physique de biocarburants, de bioliquides, de biogaz, de chaleur et de froid ou d'électricité à partir de combustibles issus de la biomasse y a débuté. </t>
  </si>
  <si>
    <t>Lot non soumis : "déchets ménagers et assimilés" solides</t>
  </si>
  <si>
    <t>Cf article R. 2224-23 du Code Générale des Collectivités Territoriales des déchets ménagers et déchets assimilés</t>
  </si>
  <si>
    <t>Lot soumis aux exigences GES</t>
  </si>
  <si>
    <t>50% pour bioliquides</t>
  </si>
  <si>
    <t>Cf L. 281-5 du code de l'énergie</t>
  </si>
  <si>
    <t>60% pour bioliquides</t>
  </si>
  <si>
    <t>65% pour bioliquides</t>
  </si>
  <si>
    <t>70% pour combustible solide ou gazeux</t>
  </si>
  <si>
    <t>Cf L. 281-6 du code de l'énergie</t>
  </si>
  <si>
    <t>80% pour combustible solide ou gazeux</t>
  </si>
  <si>
    <t>Combustible fossile de référence</t>
  </si>
  <si>
    <t>Production d'électricité /bioliquides, solide, gazeux</t>
  </si>
  <si>
    <t>Production de chaleur ou froid /bioliquides, solide, gazeux</t>
  </si>
  <si>
    <t>Production d'électricité /solide ou gazeux en outre-mer</t>
  </si>
  <si>
    <t>Outre-mer</t>
  </si>
  <si>
    <t>Type de biomasse</t>
  </si>
  <si>
    <t>Annexe VI  directive RED II</t>
  </si>
  <si>
    <t>Distances</t>
  </si>
  <si>
    <t>Identifiant</t>
  </si>
  <si>
    <t xml:space="preserve">chaleur </t>
  </si>
  <si>
    <t>électricité</t>
  </si>
  <si>
    <t>Valeur GES représentative</t>
  </si>
  <si>
    <t>ECch</t>
  </si>
  <si>
    <t>Eec (Culture)</t>
  </si>
  <si>
    <t>Ep (transformation)</t>
  </si>
  <si>
    <t>Etd (Transport et distribution)</t>
  </si>
  <si>
    <t>Eu (émissions hors CO2 de l'utilisation)</t>
  </si>
  <si>
    <t>Bois SSD sortis du statut de déchet (des emballages en bois)</t>
  </si>
  <si>
    <t>Déchets de bois non dangereux rubrique
réglementaire 2910-B ICPE 
BR1 - classification CSF bois déchet</t>
  </si>
  <si>
    <t>Déchets de bois non dangereux rubrique
réglementaire 2771 ICPE 
BR2 - classification CSF bois déchet</t>
  </si>
  <si>
    <t>Granulés bois issus de connexes</t>
  </si>
  <si>
    <t>issus de procédés dan lesquels une chaudière au gaz naturel est utilisée pour fournir la chaleur industrielle à la presse à granulés, qui est alimentée en électricité par le réseau.</t>
  </si>
  <si>
    <t>issus de procédés dans lesquels une chaudière à bois déchiqueté (plaquettes forestières ou produits connexes des industries de transformation du bois), alimentée avec du bois déchiqueté séché au préalable, est utilisée pour fournir la chaleur in­ dustrielle. La presse à granulés est alimentée en électricité par le réseau</t>
  </si>
  <si>
    <t>issus de procédés dans lesquels une centrale de cogénération, alimentée avec du bois déchiqueté séché au préalable, est utilisée pour alimenter la presse à granulés en électricité et chaleur.</t>
  </si>
  <si>
    <t>Granulés bois issus de bois forestiers</t>
  </si>
  <si>
    <t>OUI/NON</t>
  </si>
  <si>
    <t>Contrôle GES sur combustibles solides et gazeux</t>
  </si>
  <si>
    <t>Contrôle GES sur combustibles liquides</t>
  </si>
  <si>
    <t>Format : "Lot X"</t>
  </si>
  <si>
    <t>Contrôle interne (ne pas modifier)</t>
  </si>
  <si>
    <t>Bois rond</t>
  </si>
  <si>
    <t>2. Réduction GES représentative 
(donnée filière bois énergie)</t>
  </si>
  <si>
    <t>Sans objet : combustible non utilisé d'après l'onglet "Déclaration", ou utilisé sans se référer aux valeurs représentatives de la filière bois énergie</t>
  </si>
  <si>
    <t>Rendements énergétiques</t>
  </si>
  <si>
    <t>Explication</t>
  </si>
  <si>
    <t>Résidus papetiers</t>
  </si>
  <si>
    <t>Résidus agricoles d'une densité &lt; 0,2 t/m 3 (*)</t>
  </si>
  <si>
    <t>(*) Le présent groupe de matières comprend les résidus agricoles à faible densité en vrac et notamment des matières telles que les balles de paille, les écales d'avoine, les balles de riz et les balles de bagasse (liste non exhaustive).</t>
  </si>
  <si>
    <t>Résidus agricoles d'une densité &gt; 0,2 t/m 3 (**)</t>
  </si>
  <si>
    <t>Paille granulée</t>
  </si>
  <si>
    <t>Résidus de transformation</t>
  </si>
  <si>
    <t>Bois déchet</t>
  </si>
  <si>
    <t>500-10 000km</t>
  </si>
  <si>
    <t>Briquettes de bagasse</t>
  </si>
  <si>
    <t>Tourteau de palmiste</t>
  </si>
  <si>
    <t>Tourteau de palmiste (pas d'émissions de CH 4 provenant de l'huilerie)</t>
  </si>
  <si>
    <t>Bloc 2 : autres types d'approvisionnements avec valeur par défaut dans la directive RED</t>
  </si>
  <si>
    <t>Fumier humide</t>
  </si>
  <si>
    <t>Les valeurs de la production de biogaz à partir de fumier comprennent les émissions négatives correspondant aux émissions évitées grâce à la gestion du fumier frais. La valeur e sca considérée est égale à - 45 gCO 2 eq/MJ de fumier utilisé en digestion anaérobique.</t>
  </si>
  <si>
    <t>Digestat ouvert</t>
  </si>
  <si>
    <t>Digestat fermé</t>
  </si>
  <si>
    <t>Par «plant de maïs entier», on entend le maïs récolté comme fourrage et ensilé pour le conserver.</t>
  </si>
  <si>
    <t>Plant de maïs entier</t>
  </si>
  <si>
    <t>Biodéchets</t>
  </si>
  <si>
    <t>Fumier - maïs 60% - 40%</t>
  </si>
  <si>
    <t>Fumier - maïs 80% - 20%</t>
  </si>
  <si>
    <t>Fumier - maïs 70% - 30%</t>
  </si>
  <si>
    <t>Bois hors forêt</t>
  </si>
  <si>
    <t>Plaquette provenant de taillis à courte rotation (eucalyptus)</t>
  </si>
  <si>
    <t>Plaquettes forestières provenant de taillis à courte rotation (peuplier — fertilisé)</t>
  </si>
  <si>
    <t>Plaquettes forestières provenant de taillis à courte rotation (peuplier — pas de fertilisation)</t>
  </si>
  <si>
    <t>par défaut à partir de rémanents forestiers (pour plaquette issue de billons, d'eucalyptus ou peuplier : voir plus bas)</t>
  </si>
  <si>
    <t>Plaquettes forestières issue de billons</t>
  </si>
  <si>
    <t>Briquettes ou granulés de bois provenant de taillis à courte rotation (eucalyptus)</t>
  </si>
  <si>
    <t>Briquettes ou granulés de bois provenant de taillis à courte rotation (peuplier — fertilisé)</t>
  </si>
  <si>
    <t>Briquettes ou granulés de bois provenant de taillis à courte rotation (peuplier — pas de fertilisation)</t>
  </si>
  <si>
    <t>Briquettes ou granulés de bois issus de billons</t>
  </si>
  <si>
    <t>Esca</t>
  </si>
  <si>
    <t>Combustibles du Bloc 1 de l'onglet "1. Déclaration"</t>
  </si>
  <si>
    <t>Combustibles du Bloc 2 de l'onglet "1. Déclaration"</t>
  </si>
  <si>
    <t>Cas</t>
  </si>
  <si>
    <t>Bloc 4 : autres biomasses agricoles et autres déchets/résidus industriels avec calculs GES réels</t>
  </si>
  <si>
    <t>Divers cas "biogaz électricité)</t>
  </si>
  <si>
    <t>Cas 1/Digestat ouvert</t>
  </si>
  <si>
    <t>Cas 1/Digestat fermé</t>
  </si>
  <si>
    <t>Cas 2/Digestat ouvert</t>
  </si>
  <si>
    <t>Cas 2/Digestat fermé</t>
  </si>
  <si>
    <t>Cas 3/Digestat ouvert</t>
  </si>
  <si>
    <t>Cas 3/Digestat fermé</t>
  </si>
  <si>
    <t>Bloc 4 : Biogaz, biomasse agricole, autres déchets et résidus</t>
  </si>
  <si>
    <t>Température utile en cogénération</t>
  </si>
  <si>
    <r>
      <t xml:space="preserve">Date de mise en service de l'installation de production </t>
    </r>
    <r>
      <rPr>
        <b/>
        <sz val="11"/>
        <color theme="1"/>
        <rFont val="Calibri"/>
        <family val="2"/>
        <scheme val="minor"/>
      </rPr>
      <t>du bioliquide</t>
    </r>
  </si>
  <si>
    <t>Solide uniquement
(*) Le présent groupe de matières comprend les résidus agricoles à faible densité en vrac et notamment des matières telles que les balles de paille, les écales d'avoine, les balles de riz et les balles de bagasse (liste non exhaustive).</t>
  </si>
  <si>
    <t>Solide uniquement
(**) Le groupe des résidus agricoles à densité en vrac plus élevée comprend des matières telles que les râpes de maïs, les coques de noix, les coques de soja, les enveloppes de coeur de palmier (liste non exhaustive).</t>
  </si>
  <si>
    <t>Référentiel ADEME</t>
  </si>
  <si>
    <t>Valeurs par défaut (VPD) de l'annexe VI  directive RED II</t>
  </si>
  <si>
    <t>Valeurs représentatives CIBE (décembre 2023)</t>
  </si>
  <si>
    <t>Valeurs par défaut de l'annexe VI  directive RED II / Valeurs représentatives CIBE (décembre 2023) pour les lignes en gras-italique</t>
  </si>
  <si>
    <t>Plaquettes paysagères ligneuses résiduelles</t>
  </si>
  <si>
    <t>Plaquette forestière issue de rémanents</t>
  </si>
  <si>
    <t>En cas d'utilisation de plaquettes paysagères ligneuses résiduelles :</t>
  </si>
  <si>
    <t>Filière de production des biocarburants et des bioliquides</t>
  </si>
  <si>
    <t>Émissions de gaz à effet de serre</t>
  </si>
  <si>
    <r>
      <t>— valeurs types (gCO</t>
    </r>
    <r>
      <rPr>
        <vertAlign val="subscript"/>
        <sz val="7"/>
        <color theme="1"/>
        <rFont val="Times New Roman"/>
        <family val="1"/>
      </rPr>
      <t>2</t>
    </r>
    <r>
      <rPr>
        <sz val="7"/>
        <color theme="1"/>
        <rFont val="Times New Roman"/>
        <family val="1"/>
      </rPr>
      <t>eq/MJ)</t>
    </r>
  </si>
  <si>
    <r>
      <t>— valeurs par défaut (gCO</t>
    </r>
    <r>
      <rPr>
        <vertAlign val="subscript"/>
        <sz val="7"/>
        <color theme="1"/>
        <rFont val="Times New Roman"/>
        <family val="1"/>
      </rPr>
      <t>2</t>
    </r>
    <r>
      <rPr>
        <sz val="7"/>
        <color theme="1"/>
        <rFont val="Times New Roman"/>
        <family val="1"/>
      </rPr>
      <t>eq/MJ)</t>
    </r>
  </si>
  <si>
    <t>Éthanol de betterave</t>
  </si>
  <si>
    <t>Éthanol de maïs</t>
  </si>
  <si>
    <t>Éthanol d'autres céréales à l'exclusion de l'éthanol de maïs</t>
  </si>
  <si>
    <t>Éthanol de canne à sucre</t>
  </si>
  <si>
    <t>Fraction de l'ETBE issue de sources renouvelables</t>
  </si>
  <si>
    <t>Mêmes valeurs que pour la filière de production de l'éthanol choisie</t>
  </si>
  <si>
    <t>Fraction du TAEE issue de sources renouvelables</t>
  </si>
  <si>
    <t>Biogazole de colza</t>
  </si>
  <si>
    <t>Biogazole de tournesol</t>
  </si>
  <si>
    <t>Biogazole de soja</t>
  </si>
  <si>
    <t>Biogazole d’huile de palme</t>
  </si>
  <si>
    <t>Biogazole d'huiles de cuisson usagées</t>
  </si>
  <si>
    <t>Biogazole provenant de graisses animales fondues (**)</t>
  </si>
  <si>
    <t>Huile végétale hydrotraitée, colza</t>
  </si>
  <si>
    <t>Huile végétale hydrotraitée, tournesol</t>
  </si>
  <si>
    <t>Huile végétale hydrotraitée, soja</t>
  </si>
  <si>
    <t>Huile végétale hydrotraitée, huile de palme</t>
  </si>
  <si>
    <t>Huile hydrotraitée provenant d'huiles de cuisson usagées</t>
  </si>
  <si>
    <t>Huile hydrotraitée provenant de graisses animales fondues (**)</t>
  </si>
  <si>
    <t>Huile végétale pure, colza</t>
  </si>
  <si>
    <t>Huile végétale pure, tournesol</t>
  </si>
  <si>
    <t>Huile végétale pure, soja</t>
  </si>
  <si>
    <t>Huile végétale pure, huile de palme</t>
  </si>
  <si>
    <t>Huile provenant d'huiles de cuisson usagées</t>
  </si>
  <si>
    <t>Eec</t>
  </si>
  <si>
    <t>Après couverture des auxiliaires, produite par l'installation biomasse (= périmètre des unités techniques consommant de la biomasse en tout ou partie des combustibles)</t>
  </si>
  <si>
    <t>Pays d'origine (tonnage de chaque pays)</t>
  </si>
  <si>
    <t>Part du lot (en t) bénéficiant d'une certification en place</t>
  </si>
  <si>
    <t>Système volontaire couvrant l'installation</t>
  </si>
  <si>
    <t>N° de certificat RED de l'installation</t>
  </si>
  <si>
    <t>Puissance thermique nominale totale de l'installation (MW PCI) au sens RED</t>
  </si>
  <si>
    <t>Pour la RED : somme des puissances thermiques de toutes les unités techniques qui la composent, pouvant fonctionner simultanément et dans lesquelles des combustibles ou carburants issus de biomasse ou des bioliquides sont utilisés. Ces puissances sont fixées et garanties par le constructeur, exprimées en pouvoir calorifique inférieur et susceptibles d'être consommées en marche continue.</t>
  </si>
  <si>
    <t>Puissance thermique nominale totale de l'installation (MW PCI) au sens de l'ETS</t>
  </si>
  <si>
    <t>Uniquement pour les installations ETS</t>
  </si>
  <si>
    <r>
      <t xml:space="preserve">Pays d'origine (tonnage de chaque pays)
</t>
    </r>
    <r>
      <rPr>
        <b/>
        <sz val="11"/>
        <color theme="1"/>
        <rFont val="Calibri"/>
        <family val="2"/>
        <scheme val="minor"/>
      </rPr>
      <t>1 seul pays par ligne</t>
    </r>
  </si>
  <si>
    <t>Le cas échéant, si certification de l'installation en place</t>
  </si>
  <si>
    <t>Production annuelle d'électricité divisée par l'apport annuel de combustible sur la base de son contenu énergétique.
A renseigner si au moins un des approvisionnements en biomasse est soumis au critère GES.</t>
  </si>
  <si>
    <t>Production annuelle de chaleur utile divisée par l'apport annuel de combustible sur la base de son contenu énergétique.
A renseigner si au moins un des approvisionnements en biomasse est soumis au critère GES.</t>
  </si>
  <si>
    <t>Uniquement pour les cas de cogénération</t>
  </si>
  <si>
    <t>Lacune détectée sur calcul GES</t>
  </si>
  <si>
    <t>Contrôle sur bioliquides</t>
  </si>
  <si>
    <t>Une installation est considérée comme mise en service une fois que la production physique de biocarburants, de bioliquides, de biogaz, de chaleur et de froid ou d'électricité à partir de combustibles issus de la biomasse y a débuté (date de 1ère utilisation de la biomasse)</t>
  </si>
  <si>
    <t>Numéro d’identification ETS de l'installation</t>
  </si>
  <si>
    <t>Uniquement pour les installations ETS : https://www.legifrance.gouv.fr/loda/id/JORFTEXT000044537559/2024-01-12/</t>
  </si>
  <si>
    <t>Descriptif des approvisionnements</t>
  </si>
  <si>
    <t>Bloc 1 : référentiel ADEME, résidus papetiers (valeurs GES par défaut ou représentatives)</t>
  </si>
  <si>
    <t>Seuil à respecter</t>
  </si>
  <si>
    <r>
      <t xml:space="preserve">Cas 1/2/3 - Digestat ouvert/fermé </t>
    </r>
    <r>
      <rPr>
        <b/>
        <sz val="11"/>
        <color theme="1"/>
        <rFont val="Calibri"/>
        <family val="2"/>
        <scheme val="minor"/>
      </rPr>
      <t>(uniquement pour électricité à partir de biogaz)</t>
    </r>
  </si>
  <si>
    <t>Bloc 3 : Référentiel ADEME, bois rond, autres granulés et combustibles avec calculs GES réels</t>
  </si>
  <si>
    <t>Systèmes volontaires actuellement reconnus/en phase de reconnaissance au niveau UE</t>
  </si>
  <si>
    <t>Plaquettes bocagères / bois de verger</t>
  </si>
  <si>
    <t>1B_PFA(V)</t>
  </si>
  <si>
    <t>1B_PFA (V)</t>
  </si>
  <si>
    <t>Si pas de certificat, date prévue de l'audit (format : JJ/MM/AAAA)</t>
  </si>
  <si>
    <t>Le cas échéant, si certification de l'installation à venir</t>
  </si>
  <si>
    <t>En cas d'utilisation de biomasse forestière :</t>
  </si>
  <si>
    <t>En cas d'utilisation de biomasse agricole :</t>
  </si>
  <si>
    <t>Déclaration individuelle concernant les données relatives à la durabilité de la biomasse (critère "amont" concernant l'origine de la biomasse)</t>
  </si>
  <si>
    <t>En cas d'utilisation de plaquettes bocagère / bois de verger</t>
  </si>
  <si>
    <t>Plaquettes bocagères / bois de verger : 1B_PFA (V)</t>
  </si>
  <si>
    <t>Rendt élec.</t>
  </si>
  <si>
    <t>Rendt therm.</t>
  </si>
  <si>
    <t>T° utile Th</t>
  </si>
  <si>
    <t>Valeur fossile de réf. élec.</t>
  </si>
  <si>
    <t>Réduc. totale calculée élec.</t>
  </si>
  <si>
    <t>Valeur fossile de réf. chaleur</t>
  </si>
  <si>
    <t>Réduc. totale calculée chaleur</t>
  </si>
  <si>
    <t>Uniquement pour les installations concernées par les exigences du code de l'énergie (non applicable dans le cadre de l'ETS).
L'article L. 281-11 du code de l'énergie concernant l'efficacité énergétique ne s'applique qu'aux installations "mises en service" ou converties à l'utilisation de combustibles ou carburants issus de la biomasse après le 25 décembre 2021.
Dans le contexte de ce formulaire, une installation est considérée comme mise en service une fois que la production physique de biocarburants, de bioliquides, de biogaz, de chaleur et de froid ou d'électricité à partir de combustibles issus de la biomasse y a débuté.</t>
  </si>
  <si>
    <t>Problème sur l'atteinte des seuils GES</t>
  </si>
  <si>
    <t>Données GES renseignées</t>
  </si>
  <si>
    <t>Valeur par défaut ou représentative / valeur réelle sur un même lot</t>
  </si>
  <si>
    <t>Point de contrôle</t>
  </si>
  <si>
    <t>Problème identifiée?</t>
  </si>
  <si>
    <t xml:space="preserve">L’onglet « 4. Attestations GES » est à compléter dès lors que l’opérateur utilise l’une des catégories de biomasse ci-dessous dans l’onglet 1, et que l’opérateur a recouru à des valeurs représentatives de la filière bois-énergie déjà renseignées dans le tableur :
•	soit en utilisant le bloc 1 de déclaration avec des valeurs globales (valeur GES représentative automatiquement renseignée), 
•	soit en utilisant le bloc 3 et en utilisant certaines des « valeurs par défaut détaillées » qui doivent être renseignées comme des valeurs par défaut détaillées (colonnes C, G, I, K de l’onglet 2). </t>
  </si>
  <si>
    <t>Descriptif de l'installation de production d'électricité et/ou de chaleur/froid</t>
  </si>
  <si>
    <t>Uniquement pour les installations produisant du biogaz en première étape :</t>
  </si>
  <si>
    <t>Déchets de bois non dangereux rubrique réglementaire 2910-B ICPE BR1 -  classification  bois déchet ADEME**</t>
  </si>
  <si>
    <t>Déchets de bois non dangereux rubrique réglementaire 2771 ICPE BR2 - classification  bois déchet ADEME**</t>
  </si>
  <si>
    <r>
      <t xml:space="preserve">Granulés bois (connexe) - production type 1
</t>
    </r>
    <r>
      <rPr>
        <sz val="8"/>
        <color theme="1"/>
        <rFont val="Calibri"/>
        <family val="2"/>
        <scheme val="minor"/>
      </rPr>
      <t>(issus de procédés dans lesquels une chaudière au gaz naturel est utilisée pour fournir la chaleur industrielle à la presse à granulés, qui est alimentée en électricité par le réseau)</t>
    </r>
  </si>
  <si>
    <r>
      <t xml:space="preserve">Granulés bois (forestier) - production type 1
</t>
    </r>
    <r>
      <rPr>
        <sz val="8"/>
        <color theme="1"/>
        <rFont val="Calibri"/>
        <family val="2"/>
        <scheme val="minor"/>
      </rPr>
      <t>(issus de procédés dans lesquels une chaudière au gaz naturel est utilisée pour fournir la chaleur industrielle à la presse à granulés, qui est alimentée en électricité par le réseau)</t>
    </r>
  </si>
  <si>
    <t>Je déclare avoir pris connaissance des hypothèses utilisées pour le calcul des données de réduction de GES représentatives utilisées pour la présente déclaration et j'atteste que ces hypothèses sont bien représentatives de la situation de mon installation. En cas d'invalidation de ces hypothèses lors d'un audit par un organisme certificateur indépendant, j'atteste être informé de la nécessité d'effectuer un calcul corrigé pour toutes les données qui seront déclarées postérieurement à cet audit</t>
  </si>
  <si>
    <t>Plaquette forestière issue de rémanents 1A_PFA</t>
  </si>
  <si>
    <t>Plaquettes paysagères ligneuses résiduelles : 1C_PFA</t>
  </si>
  <si>
    <t>Part de l'intrant du lot (en t) bénéficiant d'une certification en place</t>
  </si>
  <si>
    <t>Eec,n (gCO2/MJ)</t>
  </si>
  <si>
    <t>Etd,n (gCO2/MJ)</t>
  </si>
  <si>
    <t>El,n (gCO2/MJ)</t>
  </si>
  <si>
    <t>Esca,n (gCO2/MJ)</t>
  </si>
  <si>
    <t>Intrant</t>
  </si>
  <si>
    <t>Lot</t>
  </si>
  <si>
    <t>Qté</t>
  </si>
  <si>
    <t>Type</t>
  </si>
  <si>
    <t>Rappel biomasse</t>
  </si>
  <si>
    <t>%</t>
  </si>
  <si>
    <t>Part de l'intrant dans le 
lot (exemple : 10% de résidus de cultures et 90% de boues de STEP)</t>
  </si>
  <si>
    <t>Nom de l'installation / entreprise</t>
  </si>
  <si>
    <t>Région administrative de l'installation</t>
  </si>
  <si>
    <t>Type d'installation (grandes catégories)</t>
  </si>
  <si>
    <t xml:space="preserve">A titre indicatif afin de faciliter le traitement </t>
  </si>
  <si>
    <t>Précision du type d'installation si nécessaire</t>
  </si>
  <si>
    <t>Auvergne-Rhône-Alpes</t>
  </si>
  <si>
    <t>Production d'élec/chaleur à partir de bois-énergie (plaquettes, bois déchet, produits connexes de scierie...)</t>
  </si>
  <si>
    <t>Bourgogne-Franche-Comté</t>
  </si>
  <si>
    <t>Production d'élec/chaleur à partir de biogaz en cogénération</t>
  </si>
  <si>
    <t>Bretagne</t>
  </si>
  <si>
    <t>Production d'élec/chaleur à partir de bioliquides</t>
  </si>
  <si>
    <t>Centre-Val de Loire</t>
  </si>
  <si>
    <t>Installation de la filière déchets (ISDND, UVE, chaufferie CSR...)</t>
  </si>
  <si>
    <t>Corse</t>
  </si>
  <si>
    <t>Cimenterie</t>
  </si>
  <si>
    <t>Grand Est</t>
  </si>
  <si>
    <t>Autre (Expliciter ci-dessous)</t>
  </si>
  <si>
    <t>Hauts-de-France</t>
  </si>
  <si>
    <t>Ile-de-France</t>
  </si>
  <si>
    <t>Normandie</t>
  </si>
  <si>
    <t>Nouvelle-Aquitaine</t>
  </si>
  <si>
    <t>Occitanie</t>
  </si>
  <si>
    <t>Pays de la Loire</t>
  </si>
  <si>
    <t>Provence-Alpes-Côte d’Azur</t>
  </si>
  <si>
    <t>Guadeloupe</t>
  </si>
  <si>
    <t>Réunion</t>
  </si>
  <si>
    <t>Martinique</t>
  </si>
  <si>
    <t>Guyane</t>
  </si>
  <si>
    <t>Mayotte</t>
  </si>
  <si>
    <r>
      <t xml:space="preserve">Autre pays </t>
    </r>
    <r>
      <rPr>
        <b/>
        <sz val="8"/>
        <color theme="1"/>
        <rFont val="Calibri"/>
        <family val="2"/>
        <scheme val="minor"/>
      </rPr>
      <t>(préciser le nom du ou des pays concernés dans cette colonne)</t>
    </r>
  </si>
  <si>
    <r>
      <t xml:space="preserve">Tonnages autres pays </t>
    </r>
    <r>
      <rPr>
        <b/>
        <sz val="8"/>
        <color theme="1"/>
        <rFont val="Calibri"/>
        <family val="2"/>
        <scheme val="minor"/>
      </rPr>
      <t>(indiquer ici la somme des tonnages issus d'autres pays)</t>
    </r>
  </si>
  <si>
    <r>
      <t xml:space="preserve">N° de lot </t>
    </r>
    <r>
      <rPr>
        <b/>
        <sz val="11"/>
        <color theme="1"/>
        <rFont val="Calibri"/>
        <family val="2"/>
        <scheme val="minor"/>
      </rPr>
      <t>(plusieurs intrants 
peuvent intégrer le même lot : dans ce cas, merci de bien modifier le numéro de lot rempli automatiquement afin que ce soit le même pour tous les intrants du même lot)</t>
    </r>
  </si>
  <si>
    <t>Information supplémentaire pour faciliter le traitement des dossiers :</t>
  </si>
  <si>
    <t>Production de biogaz sur l'année 2025 (MJ)</t>
  </si>
  <si>
    <t>Production d'électricité sur l'année 2025 (MJ)</t>
  </si>
  <si>
    <t>Production de chaleur/froid sur l'année 2025 (MJ)</t>
  </si>
  <si>
    <t>Concernant l'application des articles L. 281-9 et L. 281-10 du code de l'énergie relatifs à la durabilité de la biomasse forestière, j'atteste : 
    - disposer des analyses de niveau national ou infranational de la législation des pays permettant de démontrer le respect des critères de durabilité, en considérant la clause grand-père applicable uniquement en France pour la biomasse produite après le 21 mai 2025  ;
    - à défaut, avoir engagé toutes les démarches nécessaires, y compris auprès de mes fournisseurs, pour disposer de la traçabilité nécessaire relative aux zones d'approvisionnement dont est originaire cette biomasse forestière permettant de démontrer le respect des critères de durabilité.
Je suis informé que cette traçabilité doit être en place et certifiée, dans le cadre d'un système volontaire reconnu par la Commission Européenne, pour l’ensemble de la biomasse forestière concernée, d’ici la fin d’année 2025.</t>
  </si>
  <si>
    <t>Concernant l'application des articles L. 281-7 et R. 281-2  du code de l'énergie relatifs à la durabilité de la biomasse agricole, j'atteste avoir engagé toutes les démarches nécessaires, y compris auprès de mes fournisseurs, pour disposer de la traçabilité nécessaire relative aux zones d'approvisionnement dont est originaire cette biomasse agricole.
Je suis informé que cette traçabilité doit être en place et certifiée, dans le cadre d'un système volontaire reconnu par la Commission Européenne, pour l'ensemble de la biomasse agricole utilisée.</t>
  </si>
  <si>
    <t>Déclaration individuelle concernant les données relatives aux réduction d'émissions de gaz à effet de serre des valeurs représentatives de la filière forêt-bois - A ne remplir que pour les installations concernées par le critère 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</si>
</sst>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General&quot; °C&quot;"/>
    <numFmt numFmtId="165" formatCode="_-* #,##0_-;\-* #,##0_-;_-* &quot;-&quot;??_-;_-@_-"/>
    <numFmt numFmtId="166" formatCode="#,##0.00&quot; gCO2/MJ&quot;"/>
    <numFmt numFmtId="167" formatCode="General&quot; gCO2/MJ&quot;"/>
    <numFmt numFmtId="168" formatCode="0.0%"/>
    <numFmt numFmtId="169" formatCode="General&quot; MW PCI&quot;"/>
    <numFmt numFmtId="170" formatCode="General&quot; t&quot;"/>
    <numFmt numFmtId="171" formatCode="#,##0&quot; t&quot;"/>
  </numFmts>
  <fonts count="45">
    <font>
      <sz val="11"/>
      <color theme="1"/>
      <name val="Calibri"/>
      <family val="2"/>
      <scheme val="minor"/>
    </font>
    <font>
      <sz val="11"/>
      <color theme="1"/>
      <name val="Calibri"/>
      <family val="2"/>
      <scheme val="minor"/>
    </font>
    <font>
      <b/>
      <sz val="11"/>
      <color theme="1"/>
      <name val="Calibri"/>
      <family val="2"/>
      <scheme val="minor"/>
    </font>
    <font>
      <sz val="11"/>
      <color rgb="FFFF00FF"/>
      <name val="Calibri"/>
      <family val="2"/>
      <scheme val="minor"/>
    </font>
    <font>
      <b/>
      <sz val="14"/>
      <color rgb="FFFF0000"/>
      <name val="Calibri"/>
      <family val="2"/>
      <scheme val="minor"/>
    </font>
    <font>
      <b/>
      <u/>
      <sz val="18"/>
      <color theme="1"/>
      <name val="Calibri"/>
      <family val="2"/>
      <scheme val="minor"/>
    </font>
    <font>
      <b/>
      <u/>
      <sz val="11"/>
      <color theme="1"/>
      <name val="Calibri"/>
      <family val="2"/>
      <scheme val="minor"/>
    </font>
    <font>
      <sz val="8"/>
      <color theme="1"/>
      <name val="Calibri"/>
      <family val="2"/>
      <scheme val="minor"/>
    </font>
    <font>
      <sz val="11"/>
      <color rgb="FF000000"/>
      <name val="Calibri"/>
      <family val="2"/>
      <scheme val="minor"/>
    </font>
    <font>
      <sz val="11"/>
      <color theme="9" tint="-0.249977111117893"/>
      <name val="Calibri"/>
      <family val="2"/>
      <scheme val="minor"/>
    </font>
    <font>
      <sz val="8"/>
      <color rgb="FFFF00FF"/>
      <name val="Calibri"/>
      <family val="2"/>
      <scheme val="minor"/>
    </font>
    <font>
      <sz val="16"/>
      <color theme="1"/>
      <name val="Calibri"/>
      <family val="2"/>
      <scheme val="minor"/>
    </font>
    <font>
      <sz val="9"/>
      <color indexed="81"/>
      <name val="Tahoma"/>
      <family val="2"/>
    </font>
    <font>
      <sz val="11"/>
      <color rgb="FFFF0000"/>
      <name val="Calibri"/>
      <family val="2"/>
      <scheme val="minor"/>
    </font>
    <font>
      <b/>
      <u/>
      <sz val="14"/>
      <color theme="1"/>
      <name val="Calibri"/>
      <family val="2"/>
      <scheme val="minor"/>
    </font>
    <font>
      <i/>
      <sz val="11"/>
      <color theme="1"/>
      <name val="Calibri"/>
      <family val="2"/>
      <scheme val="minor"/>
    </font>
    <font>
      <b/>
      <sz val="14"/>
      <color theme="1"/>
      <name val="Calibri"/>
      <family val="2"/>
      <scheme val="minor"/>
    </font>
    <font>
      <b/>
      <sz val="14"/>
      <color rgb="FF000000"/>
      <name val="Calibri (Corps)_x0000_"/>
    </font>
    <font>
      <b/>
      <sz val="11"/>
      <color rgb="FF000000"/>
      <name val="Calibri"/>
      <family val="2"/>
      <scheme val="minor"/>
    </font>
    <font>
      <b/>
      <sz val="14"/>
      <color rgb="FF000000"/>
      <name val="Calibri"/>
      <family val="2"/>
      <scheme val="minor"/>
    </font>
    <font>
      <b/>
      <sz val="14"/>
      <color rgb="FFEA48F0"/>
      <name val="Calibri"/>
      <family val="2"/>
      <scheme val="minor"/>
    </font>
    <font>
      <b/>
      <sz val="14"/>
      <color rgb="FF7030A0"/>
      <name val="Calibri"/>
      <family val="2"/>
      <scheme val="minor"/>
    </font>
    <font>
      <b/>
      <sz val="10"/>
      <color rgb="FFEA48F0"/>
      <name val="Calibri"/>
      <family val="2"/>
      <scheme val="minor"/>
    </font>
    <font>
      <b/>
      <sz val="10"/>
      <color rgb="FF7030A0"/>
      <name val="Calibri"/>
      <family val="2"/>
      <scheme val="minor"/>
    </font>
    <font>
      <sz val="11"/>
      <color rgb="FFEA48F0"/>
      <name val="Calibri"/>
      <family val="2"/>
      <scheme val="minor"/>
    </font>
    <font>
      <sz val="11"/>
      <color rgb="FF7030A0"/>
      <name val="Calibri"/>
      <family val="2"/>
      <scheme val="minor"/>
    </font>
    <font>
      <sz val="12"/>
      <color theme="1"/>
      <name val="Calibri"/>
      <family val="2"/>
      <scheme val="minor"/>
    </font>
    <font>
      <sz val="12"/>
      <color rgb="FFFF00FF"/>
      <name val="Calibri"/>
      <family val="2"/>
      <scheme val="minor"/>
    </font>
    <font>
      <b/>
      <u/>
      <sz val="11"/>
      <name val="Calibri"/>
      <family val="2"/>
      <scheme val="minor"/>
    </font>
    <font>
      <sz val="11"/>
      <color theme="7" tint="0.39997558519241921"/>
      <name val="Calibri"/>
      <family val="2"/>
      <scheme val="minor"/>
    </font>
    <font>
      <b/>
      <u/>
      <sz val="11"/>
      <color rgb="FFFF0000"/>
      <name val="Calibri"/>
      <family val="2"/>
      <scheme val="minor"/>
    </font>
    <font>
      <b/>
      <sz val="9"/>
      <color indexed="81"/>
      <name val="Tahoma"/>
      <family val="2"/>
    </font>
    <font>
      <b/>
      <u/>
      <sz val="26"/>
      <color theme="1"/>
      <name val="Calibri"/>
      <family val="2"/>
      <scheme val="minor"/>
    </font>
    <font>
      <b/>
      <sz val="11"/>
      <color rgb="FFFF0000"/>
      <name val="Calibri"/>
      <family val="2"/>
      <scheme val="minor"/>
    </font>
    <font>
      <sz val="10"/>
      <color theme="1"/>
      <name val="Calibri"/>
      <family val="2"/>
      <scheme val="minor"/>
    </font>
    <font>
      <b/>
      <i/>
      <sz val="11"/>
      <color rgb="FF7030A0"/>
      <name val="Calibri"/>
      <family val="2"/>
      <scheme val="minor"/>
    </font>
    <font>
      <b/>
      <i/>
      <sz val="11"/>
      <color theme="1"/>
      <name val="Calibri"/>
      <family val="2"/>
      <scheme val="minor"/>
    </font>
    <font>
      <sz val="11"/>
      <color theme="1"/>
      <name val="Times New Roman"/>
      <family val="1"/>
    </font>
    <font>
      <sz val="7"/>
      <color theme="1"/>
      <name val="Times New Roman"/>
      <family val="1"/>
    </font>
    <font>
      <vertAlign val="subscript"/>
      <sz val="7"/>
      <color theme="1"/>
      <name val="Times New Roman"/>
      <family val="1"/>
    </font>
    <font>
      <sz val="8.5"/>
      <color theme="1"/>
      <name val="Times New Roman"/>
      <family val="1"/>
    </font>
    <font>
      <sz val="9"/>
      <color theme="1"/>
      <name val="Times New Roman"/>
      <family val="1"/>
    </font>
    <font>
      <sz val="11"/>
      <name val="Calibri"/>
      <family val="2"/>
      <scheme val="minor"/>
    </font>
    <font>
      <sz val="8"/>
      <name val="Calibri"/>
      <family val="2"/>
      <scheme val="minor"/>
    </font>
    <font>
      <b/>
      <sz val="8"/>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lightUp">
        <bgColor rgb="FFFFC000"/>
      </patternFill>
    </fill>
    <fill>
      <patternFill patternType="solid">
        <fgColor theme="7" tint="0.39997558519241921"/>
        <bgColor indexed="64"/>
      </patternFill>
    </fill>
    <fill>
      <patternFill patternType="lightUp">
        <bgColor theme="0"/>
      </patternFill>
    </fill>
    <fill>
      <patternFill patternType="solid">
        <fgColor theme="6" tint="0.59999389629810485"/>
        <bgColor indexed="64"/>
      </patternFill>
    </fill>
    <fill>
      <patternFill patternType="solid">
        <fgColor rgb="FFD9D9D9"/>
        <bgColor indexed="64"/>
      </patternFill>
    </fill>
    <fill>
      <patternFill patternType="solid">
        <fgColor theme="2"/>
        <bgColor indexed="64"/>
      </patternFill>
    </fill>
    <fill>
      <patternFill patternType="solid">
        <fgColor rgb="FF92D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5" tint="0.59999389629810485"/>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medium">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top style="double">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thin">
        <color indexed="64"/>
      </top>
      <bottom style="thin">
        <color indexed="64"/>
      </bottom>
      <diagonal/>
    </border>
    <border>
      <left/>
      <right style="hair">
        <color indexed="64"/>
      </right>
      <top style="thin">
        <color indexed="64"/>
      </top>
      <bottom/>
      <diagonal/>
    </border>
    <border>
      <left style="thin">
        <color indexed="64"/>
      </left>
      <right style="thick">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bottom style="thin">
        <color indexed="64"/>
      </bottom>
      <diagonal/>
    </border>
    <border diagonalUp="1">
      <left/>
      <right/>
      <top/>
      <bottom/>
      <diagonal style="thin">
        <color auto="1"/>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2">
    <xf numFmtId="0" fontId="0" fillId="0" borderId="0" xfId="0"/>
    <xf numFmtId="0" fontId="0" fillId="0" borderId="0" xfId="0" applyAlignment="1">
      <alignment wrapText="1"/>
    </xf>
    <xf numFmtId="0" fontId="0" fillId="3" borderId="5" xfId="0" applyFill="1" applyBorder="1"/>
    <xf numFmtId="0" fontId="0" fillId="3" borderId="5" xfId="0" applyFill="1" applyBorder="1" applyAlignment="1">
      <alignment horizontal="center" wrapText="1"/>
    </xf>
    <xf numFmtId="0" fontId="0" fillId="4" borderId="5" xfId="0" applyFill="1" applyBorder="1"/>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7" xfId="0" applyFill="1" applyBorder="1"/>
    <xf numFmtId="0" fontId="7" fillId="3" borderId="5" xfId="0" applyFont="1" applyFill="1" applyBorder="1" applyAlignment="1">
      <alignment horizontal="center" wrapText="1"/>
    </xf>
    <xf numFmtId="0" fontId="0" fillId="0" borderId="5" xfId="0" applyBorder="1"/>
    <xf numFmtId="0" fontId="8" fillId="0" borderId="8" xfId="0" applyFont="1" applyBorder="1" applyAlignment="1">
      <alignment horizontal="center" vertical="center" wrapText="1"/>
    </xf>
    <xf numFmtId="0" fontId="1" fillId="0" borderId="5" xfId="0" applyFont="1" applyBorder="1" applyAlignment="1">
      <alignment horizontal="center" vertical="center" wrapText="1"/>
    </xf>
    <xf numFmtId="0" fontId="3" fillId="2" borderId="5" xfId="0" applyFont="1" applyFill="1" applyBorder="1"/>
    <xf numFmtId="9" fontId="0" fillId="5" borderId="5" xfId="2" applyFont="1" applyFill="1" applyBorder="1"/>
    <xf numFmtId="0" fontId="0" fillId="6" borderId="5" xfId="0" applyFill="1" applyBorder="1"/>
    <xf numFmtId="0" fontId="0" fillId="5" borderId="5" xfId="0" applyFill="1" applyBorder="1"/>
    <xf numFmtId="0" fontId="0" fillId="2" borderId="5" xfId="0" applyFill="1" applyBorder="1"/>
    <xf numFmtId="9" fontId="9" fillId="2" borderId="5" xfId="2" applyFont="1" applyFill="1" applyBorder="1" applyAlignment="1">
      <alignment horizontal="center"/>
    </xf>
    <xf numFmtId="9" fontId="10" fillId="2" borderId="5" xfId="2" applyFont="1" applyFill="1" applyBorder="1" applyAlignment="1">
      <alignment horizontal="center"/>
    </xf>
    <xf numFmtId="0" fontId="0" fillId="0" borderId="8" xfId="0" applyBorder="1" applyAlignment="1">
      <alignment horizontal="center" vertical="center"/>
    </xf>
    <xf numFmtId="0" fontId="1" fillId="0" borderId="8" xfId="0" applyFont="1" applyBorder="1" applyAlignment="1">
      <alignment horizontal="center" vertical="center" wrapText="1"/>
    </xf>
    <xf numFmtId="0" fontId="3" fillId="2" borderId="8" xfId="0" applyFont="1" applyFill="1" applyBorder="1"/>
    <xf numFmtId="0" fontId="0" fillId="6" borderId="8" xfId="0" applyFill="1" applyBorder="1"/>
    <xf numFmtId="0" fontId="0" fillId="5" borderId="8" xfId="0" applyFill="1" applyBorder="1"/>
    <xf numFmtId="0" fontId="0" fillId="2" borderId="8" xfId="0" applyFill="1" applyBorder="1"/>
    <xf numFmtId="0" fontId="0" fillId="0" borderId="5" xfId="0" applyBorder="1" applyAlignment="1">
      <alignment horizontal="center" vertical="center"/>
    </xf>
    <xf numFmtId="0" fontId="6"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5" borderId="5" xfId="0" applyFill="1" applyBorder="1" applyAlignment="1">
      <alignment horizontal="center"/>
    </xf>
    <xf numFmtId="0" fontId="11" fillId="0" borderId="2" xfId="0" applyFont="1" applyBorder="1"/>
    <xf numFmtId="165" fontId="11" fillId="5" borderId="10" xfId="1" applyNumberFormat="1" applyFont="1" applyFill="1" applyBorder="1"/>
    <xf numFmtId="0" fontId="11" fillId="0" borderId="0" xfId="0" applyFont="1"/>
    <xf numFmtId="0" fontId="6" fillId="0" borderId="0" xfId="0" applyFont="1"/>
    <xf numFmtId="0" fontId="2"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0" borderId="15" xfId="0" applyBorder="1"/>
    <xf numFmtId="0" fontId="0" fillId="0" borderId="16" xfId="0" applyBorder="1"/>
    <xf numFmtId="164" fontId="0" fillId="5" borderId="5" xfId="0" applyNumberFormat="1" applyFill="1" applyBorder="1"/>
    <xf numFmtId="166" fontId="0" fillId="5" borderId="5" xfId="0" applyNumberFormat="1" applyFill="1" applyBorder="1"/>
    <xf numFmtId="14" fontId="0" fillId="5" borderId="5" xfId="0" applyNumberFormat="1" applyFill="1" applyBorder="1"/>
    <xf numFmtId="167" fontId="0" fillId="5" borderId="5" xfId="2" applyNumberFormat="1" applyFont="1" applyFill="1" applyBorder="1"/>
    <xf numFmtId="168" fontId="0" fillId="5" borderId="5" xfId="2" applyNumberFormat="1" applyFont="1" applyFill="1" applyBorder="1" applyAlignment="1">
      <alignment horizontal="center"/>
    </xf>
    <xf numFmtId="168" fontId="0" fillId="2" borderId="5" xfId="2" applyNumberFormat="1" applyFont="1" applyFill="1" applyBorder="1"/>
    <xf numFmtId="168" fontId="0" fillId="5" borderId="5" xfId="2" applyNumberFormat="1" applyFont="1" applyFill="1" applyBorder="1"/>
    <xf numFmtId="0" fontId="13" fillId="5" borderId="5" xfId="0" applyFont="1" applyFill="1" applyBorder="1"/>
    <xf numFmtId="0" fontId="6" fillId="0" borderId="0" xfId="0" applyFont="1" applyAlignment="1">
      <alignment horizontal="center"/>
    </xf>
    <xf numFmtId="0" fontId="15" fillId="0" borderId="0" xfId="0" applyFont="1" applyAlignment="1">
      <alignment vertical="center" wrapText="1"/>
    </xf>
    <xf numFmtId="0" fontId="3" fillId="2" borderId="5" xfId="0" applyFont="1" applyFill="1" applyBorder="1" applyAlignment="1">
      <alignment horizontal="center" vertical="center"/>
    </xf>
    <xf numFmtId="0" fontId="0" fillId="0" borderId="0" xfId="0" applyAlignment="1">
      <alignment horizontal="center" vertical="center"/>
    </xf>
    <xf numFmtId="0" fontId="6" fillId="3" borderId="5" xfId="0" applyFont="1" applyFill="1" applyBorder="1"/>
    <xf numFmtId="168" fontId="0" fillId="0" borderId="0" xfId="0" applyNumberFormat="1"/>
    <xf numFmtId="0" fontId="0" fillId="3" borderId="5" xfId="0" applyFill="1" applyBorder="1" applyAlignment="1">
      <alignment wrapText="1"/>
    </xf>
    <xf numFmtId="0" fontId="6" fillId="2" borderId="5" xfId="0" applyFont="1" applyFill="1" applyBorder="1"/>
    <xf numFmtId="0" fontId="6" fillId="7" borderId="5" xfId="0" applyFont="1" applyFill="1" applyBorder="1"/>
    <xf numFmtId="0" fontId="0" fillId="5" borderId="12" xfId="0" applyFill="1" applyBorder="1"/>
    <xf numFmtId="0" fontId="0" fillId="5" borderId="13" xfId="0" applyFill="1" applyBorder="1"/>
    <xf numFmtId="168" fontId="0" fillId="5" borderId="13" xfId="0" applyNumberFormat="1" applyFill="1" applyBorder="1"/>
    <xf numFmtId="168" fontId="0" fillId="5" borderId="14" xfId="0" applyNumberFormat="1" applyFill="1" applyBorder="1"/>
    <xf numFmtId="0" fontId="0" fillId="7" borderId="5" xfId="0" applyFill="1" applyBorder="1"/>
    <xf numFmtId="167" fontId="0" fillId="7" borderId="5" xfId="0" applyNumberFormat="1" applyFill="1" applyBorder="1"/>
    <xf numFmtId="0" fontId="0" fillId="5" borderId="15" xfId="0" applyFill="1" applyBorder="1"/>
    <xf numFmtId="0" fontId="0" fillId="5" borderId="0" xfId="0" applyFill="1"/>
    <xf numFmtId="168" fontId="0" fillId="5" borderId="0" xfId="0" applyNumberFormat="1" applyFill="1"/>
    <xf numFmtId="168" fontId="0" fillId="5" borderId="16" xfId="0" applyNumberFormat="1" applyFill="1" applyBorder="1"/>
    <xf numFmtId="0" fontId="0" fillId="5" borderId="17" xfId="0" applyFill="1" applyBorder="1"/>
    <xf numFmtId="0" fontId="0" fillId="5" borderId="18" xfId="0" applyFill="1" applyBorder="1"/>
    <xf numFmtId="168" fontId="0" fillId="5" borderId="18" xfId="0" applyNumberFormat="1" applyFill="1" applyBorder="1"/>
    <xf numFmtId="168" fontId="0" fillId="5" borderId="19" xfId="0" applyNumberFormat="1" applyFill="1" applyBorder="1"/>
    <xf numFmtId="0" fontId="19" fillId="8" borderId="20" xfId="0" applyFont="1" applyFill="1" applyBorder="1" applyAlignment="1">
      <alignment vertical="center" wrapText="1"/>
    </xf>
    <xf numFmtId="0" fontId="19" fillId="8" borderId="12" xfId="0" applyFont="1" applyFill="1" applyBorder="1" applyAlignment="1">
      <alignment horizontal="center" vertical="center" wrapText="1"/>
    </xf>
    <xf numFmtId="0" fontId="8" fillId="0" borderId="0" xfId="0" applyFont="1" applyAlignment="1">
      <alignment horizontal="right" vertical="center" wrapText="1"/>
    </xf>
    <xf numFmtId="0" fontId="1" fillId="0" borderId="9" xfId="0" applyFont="1" applyBorder="1" applyAlignment="1">
      <alignment horizontal="center" vertical="center" wrapText="1"/>
    </xf>
    <xf numFmtId="9" fontId="24" fillId="5" borderId="9" xfId="0" applyNumberFormat="1" applyFont="1" applyFill="1" applyBorder="1" applyAlignment="1">
      <alignment horizontal="center" vertical="center" wrapText="1"/>
    </xf>
    <xf numFmtId="2" fontId="24" fillId="0" borderId="0" xfId="0" applyNumberFormat="1" applyFont="1" applyAlignment="1">
      <alignment horizontal="center" vertical="center" wrapText="1"/>
    </xf>
    <xf numFmtId="168" fontId="24" fillId="0" borderId="0" xfId="0" applyNumberFormat="1" applyFont="1" applyAlignment="1">
      <alignment horizontal="center" vertical="center" wrapText="1"/>
    </xf>
    <xf numFmtId="168" fontId="8" fillId="0" borderId="9" xfId="0" applyNumberFormat="1" applyFont="1" applyBorder="1" applyAlignment="1">
      <alignment horizontal="center" vertical="center" wrapText="1"/>
    </xf>
    <xf numFmtId="0" fontId="0" fillId="10" borderId="0" xfId="0" applyFill="1"/>
    <xf numFmtId="0" fontId="1" fillId="0" borderId="24" xfId="0" applyFont="1" applyBorder="1" applyAlignment="1">
      <alignment horizontal="center" vertical="center" wrapText="1"/>
    </xf>
    <xf numFmtId="9" fontId="24" fillId="5" borderId="24" xfId="0" applyNumberFormat="1" applyFont="1" applyFill="1" applyBorder="1" applyAlignment="1">
      <alignment horizontal="center" vertical="center" wrapText="1"/>
    </xf>
    <xf numFmtId="2" fontId="24" fillId="0" borderId="25" xfId="0" applyNumberFormat="1" applyFont="1" applyBorder="1" applyAlignment="1">
      <alignment horizontal="center" vertical="center" wrapText="1"/>
    </xf>
    <xf numFmtId="168" fontId="24" fillId="0" borderId="25" xfId="0" applyNumberFormat="1" applyFont="1" applyBorder="1" applyAlignment="1">
      <alignment horizontal="center" vertical="center" wrapText="1"/>
    </xf>
    <xf numFmtId="168" fontId="8" fillId="0" borderId="24" xfId="0" applyNumberFormat="1" applyFont="1" applyBorder="1" applyAlignment="1">
      <alignment horizontal="center" vertical="center" wrapText="1"/>
    </xf>
    <xf numFmtId="0" fontId="1" fillId="0" borderId="27" xfId="0" applyFont="1" applyBorder="1" applyAlignment="1">
      <alignment horizontal="right"/>
    </xf>
    <xf numFmtId="9" fontId="24" fillId="0" borderId="9" xfId="0" applyNumberFormat="1" applyFont="1" applyBorder="1" applyAlignment="1">
      <alignment horizontal="center" vertical="center" wrapText="1"/>
    </xf>
    <xf numFmtId="2" fontId="24" fillId="5" borderId="5" xfId="0" applyNumberFormat="1" applyFont="1" applyFill="1" applyBorder="1" applyAlignment="1">
      <alignment horizontal="center" vertical="center" wrapText="1"/>
    </xf>
    <xf numFmtId="168" fontId="25" fillId="5" borderId="5" xfId="2" applyNumberFormat="1" applyFont="1" applyFill="1" applyBorder="1" applyAlignment="1">
      <alignment horizontal="center" vertical="center" wrapText="1"/>
    </xf>
    <xf numFmtId="0" fontId="1" fillId="0" borderId="11" xfId="0" applyFont="1" applyBorder="1" applyAlignment="1">
      <alignment horizontal="right"/>
    </xf>
    <xf numFmtId="0" fontId="1" fillId="0" borderId="23" xfId="0" applyFont="1" applyBorder="1" applyAlignment="1">
      <alignment horizontal="right"/>
    </xf>
    <xf numFmtId="9" fontId="24" fillId="0" borderId="24" xfId="0" applyNumberFormat="1" applyFont="1" applyBorder="1" applyAlignment="1">
      <alignment horizontal="center" vertical="center" wrapText="1"/>
    </xf>
    <xf numFmtId="0" fontId="8" fillId="0" borderId="26" xfId="0" applyFont="1" applyBorder="1" applyAlignment="1">
      <alignment horizontal="right" vertical="center" wrapText="1"/>
    </xf>
    <xf numFmtId="0" fontId="1" fillId="0" borderId="28" xfId="0" applyFont="1" applyBorder="1" applyAlignment="1">
      <alignment horizontal="center" vertical="center" wrapText="1"/>
    </xf>
    <xf numFmtId="0" fontId="8" fillId="0" borderId="11" xfId="0" applyFont="1" applyBorder="1" applyAlignment="1">
      <alignment horizontal="right" vertical="center" wrapText="1"/>
    </xf>
    <xf numFmtId="0" fontId="8" fillId="0" borderId="23" xfId="0" applyFont="1" applyBorder="1" applyAlignment="1">
      <alignment horizontal="right" vertical="center" wrapText="1"/>
    </xf>
    <xf numFmtId="168" fontId="8" fillId="0" borderId="0" xfId="0" applyNumberFormat="1" applyFont="1" applyAlignment="1">
      <alignment horizontal="center" vertical="center" wrapText="1"/>
    </xf>
    <xf numFmtId="168" fontId="8" fillId="0" borderId="25"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2" fillId="0" borderId="27" xfId="0" applyFont="1" applyBorder="1" applyAlignment="1">
      <alignment horizontal="left"/>
    </xf>
    <xf numFmtId="0" fontId="0" fillId="0" borderId="0" xfId="0" applyFont="1"/>
    <xf numFmtId="1" fontId="0" fillId="5" borderId="16" xfId="0" applyNumberFormat="1" applyFill="1" applyBorder="1"/>
    <xf numFmtId="0" fontId="0" fillId="0" borderId="0" xfId="0" applyFont="1" applyAlignment="1">
      <alignment wrapText="1"/>
    </xf>
    <xf numFmtId="0" fontId="0" fillId="0" borderId="5" xfId="0" applyFont="1" applyBorder="1" applyAlignment="1">
      <alignment horizontal="center" vertical="center"/>
    </xf>
    <xf numFmtId="0" fontId="0" fillId="3" borderId="5" xfId="0" applyFont="1" applyFill="1" applyBorder="1" applyAlignment="1">
      <alignment horizontal="center" wrapText="1"/>
    </xf>
    <xf numFmtId="0" fontId="14" fillId="0" borderId="1" xfId="0" applyFont="1" applyBorder="1" applyAlignment="1">
      <alignment wrapText="1"/>
    </xf>
    <xf numFmtId="0" fontId="0" fillId="3" borderId="5" xfId="0" applyFill="1" applyBorder="1" applyAlignment="1">
      <alignment horizontal="center" vertical="center"/>
    </xf>
    <xf numFmtId="0" fontId="0" fillId="3" borderId="5" xfId="0" applyFill="1" applyBorder="1" applyAlignment="1">
      <alignment horizontal="center" wrapText="1"/>
    </xf>
    <xf numFmtId="0" fontId="0" fillId="3" borderId="5" xfId="0" applyFill="1" applyBorder="1" applyAlignment="1">
      <alignment horizontal="center" vertical="center" wrapText="1"/>
    </xf>
    <xf numFmtId="0" fontId="15" fillId="0" borderId="11" xfId="0" applyFont="1" applyBorder="1" applyAlignment="1">
      <alignment vertical="top" wrapText="1"/>
    </xf>
    <xf numFmtId="0" fontId="15" fillId="0" borderId="23" xfId="0" applyFont="1" applyBorder="1" applyAlignment="1">
      <alignment vertical="top" wrapText="1"/>
    </xf>
    <xf numFmtId="0" fontId="28" fillId="3" borderId="17"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0" fillId="0" borderId="34" xfId="0" applyBorder="1"/>
    <xf numFmtId="0" fontId="29" fillId="5" borderId="0" xfId="0" applyFont="1" applyFill="1"/>
    <xf numFmtId="0" fontId="30" fillId="5" borderId="10" xfId="0" applyFont="1" applyFill="1" applyBorder="1" applyAlignment="1">
      <alignment horizontal="center" vertical="center" wrapText="1"/>
    </xf>
    <xf numFmtId="0" fontId="29" fillId="5" borderId="0" xfId="0" applyFont="1" applyFill="1" applyAlignment="1">
      <alignment wrapText="1"/>
    </xf>
    <xf numFmtId="0" fontId="0" fillId="3" borderId="5" xfId="0" applyFill="1" applyBorder="1" applyAlignment="1">
      <alignment horizontal="center" vertical="center" wrapText="1"/>
    </xf>
    <xf numFmtId="0" fontId="8" fillId="9" borderId="0" xfId="0" applyFont="1" applyFill="1" applyBorder="1" applyAlignment="1">
      <alignment horizontal="center" vertical="center"/>
    </xf>
    <xf numFmtId="0" fontId="2"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0" borderId="33" xfId="0" applyBorder="1" applyAlignment="1">
      <alignment vertical="top" wrapText="1"/>
    </xf>
    <xf numFmtId="0" fontId="8" fillId="0" borderId="39" xfId="0" applyFont="1" applyBorder="1" applyAlignment="1">
      <alignment horizontal="right" vertical="center" wrapText="1"/>
    </xf>
    <xf numFmtId="0" fontId="1" fillId="0" borderId="37" xfId="0" applyFont="1" applyBorder="1" applyAlignment="1">
      <alignment horizontal="center" vertical="center" wrapText="1"/>
    </xf>
    <xf numFmtId="9" fontId="24" fillId="0" borderId="37" xfId="0" applyNumberFormat="1" applyFont="1" applyBorder="1" applyAlignment="1">
      <alignment horizontal="center" vertical="center" wrapText="1"/>
    </xf>
    <xf numFmtId="0" fontId="19" fillId="8" borderId="40"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168" fontId="23" fillId="9" borderId="3" xfId="0" applyNumberFormat="1" applyFont="1" applyFill="1" applyBorder="1" applyAlignment="1">
      <alignment horizontal="center" vertical="center" wrapText="1"/>
    </xf>
    <xf numFmtId="0" fontId="8" fillId="0" borderId="25" xfId="0" applyFont="1" applyBorder="1" applyAlignment="1">
      <alignment horizontal="right" vertical="center" wrapText="1"/>
    </xf>
    <xf numFmtId="0" fontId="0" fillId="10" borderId="25" xfId="0" applyFill="1" applyBorder="1"/>
    <xf numFmtId="0" fontId="8" fillId="0" borderId="23" xfId="0" applyFont="1" applyBorder="1" applyAlignment="1">
      <alignment horizontal="center" vertical="center" wrapText="1"/>
    </xf>
    <xf numFmtId="168" fontId="25" fillId="5" borderId="7" xfId="2" applyNumberFormat="1" applyFont="1" applyFill="1" applyBorder="1" applyAlignment="1">
      <alignment horizontal="center" vertical="center" wrapText="1"/>
    </xf>
    <xf numFmtId="168" fontId="25" fillId="5" borderId="35" xfId="2" applyNumberFormat="1" applyFont="1" applyFill="1" applyBorder="1" applyAlignment="1">
      <alignment horizontal="center" vertical="center" wrapText="1"/>
    </xf>
    <xf numFmtId="0" fontId="8" fillId="0" borderId="41" xfId="0" applyFont="1" applyBorder="1" applyAlignment="1">
      <alignment horizontal="right" vertical="center" wrapText="1"/>
    </xf>
    <xf numFmtId="0" fontId="8" fillId="0" borderId="42" xfId="0" applyFont="1" applyBorder="1" applyAlignment="1">
      <alignment horizontal="right" vertical="center" wrapText="1"/>
    </xf>
    <xf numFmtId="0" fontId="8" fillId="9" borderId="22" xfId="0" applyFont="1" applyFill="1" applyBorder="1" applyAlignment="1">
      <alignment horizontal="center" vertical="center" wrapText="1"/>
    </xf>
    <xf numFmtId="0" fontId="0" fillId="0" borderId="36" xfId="0" applyBorder="1"/>
    <xf numFmtId="9" fontId="24" fillId="5" borderId="28"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9" fontId="24" fillId="5" borderId="43" xfId="0" applyNumberFormat="1" applyFont="1" applyFill="1" applyBorder="1" applyAlignment="1">
      <alignment horizontal="center" vertical="center" wrapText="1"/>
    </xf>
    <xf numFmtId="0" fontId="0" fillId="6" borderId="44" xfId="0" applyFill="1" applyBorder="1"/>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0" xfId="0" applyBorder="1"/>
    <xf numFmtId="0" fontId="2" fillId="0" borderId="11" xfId="0" applyFont="1" applyBorder="1" applyAlignment="1">
      <alignment horizontal="left"/>
    </xf>
    <xf numFmtId="0" fontId="8" fillId="0" borderId="43" xfId="0" applyFont="1" applyBorder="1" applyAlignment="1">
      <alignment horizontal="right" vertical="center" wrapText="1"/>
    </xf>
    <xf numFmtId="0" fontId="8" fillId="9" borderId="41" xfId="0" applyFont="1" applyFill="1" applyBorder="1" applyAlignment="1">
      <alignment horizontal="center" vertical="center"/>
    </xf>
    <xf numFmtId="0" fontId="2" fillId="0" borderId="23" xfId="0" applyFont="1" applyBorder="1" applyAlignment="1">
      <alignment horizontal="left"/>
    </xf>
    <xf numFmtId="0" fontId="18" fillId="8" borderId="16" xfId="0" applyFont="1" applyFill="1" applyBorder="1" applyAlignment="1">
      <alignment vertical="center" wrapText="1"/>
    </xf>
    <xf numFmtId="0" fontId="18" fillId="8" borderId="19" xfId="0" applyFont="1" applyFill="1" applyBorder="1" applyAlignment="1">
      <alignment vertical="center" wrapText="1"/>
    </xf>
    <xf numFmtId="0" fontId="0" fillId="0" borderId="25" xfId="0" applyBorder="1" applyAlignment="1">
      <alignment vertical="top" wrapText="1"/>
    </xf>
    <xf numFmtId="0" fontId="8" fillId="0" borderId="0" xfId="0" applyFont="1" applyBorder="1" applyAlignment="1">
      <alignment horizontal="right" vertical="center" wrapText="1"/>
    </xf>
    <xf numFmtId="2" fontId="24" fillId="0" borderId="0" xfId="0" applyNumberFormat="1" applyFont="1" applyBorder="1" applyAlignment="1">
      <alignment horizontal="center" vertical="center" wrapText="1"/>
    </xf>
    <xf numFmtId="168" fontId="24" fillId="0" borderId="0" xfId="0" applyNumberFormat="1" applyFont="1" applyBorder="1" applyAlignment="1">
      <alignment horizontal="center" vertical="center" wrapText="1"/>
    </xf>
    <xf numFmtId="168" fontId="8" fillId="0" borderId="0" xfId="0" applyNumberFormat="1" applyFont="1" applyBorder="1" applyAlignment="1">
      <alignment horizontal="center" vertical="center" wrapText="1"/>
    </xf>
    <xf numFmtId="0" fontId="0" fillId="10" borderId="0" xfId="0" applyFill="1" applyBorder="1"/>
    <xf numFmtId="0" fontId="1" fillId="0" borderId="48" xfId="0" applyFont="1" applyBorder="1" applyAlignment="1">
      <alignment horizontal="center" vertical="center" wrapText="1"/>
    </xf>
    <xf numFmtId="9" fontId="24" fillId="5" borderId="48" xfId="0" applyNumberFormat="1" applyFont="1" applyFill="1" applyBorder="1" applyAlignment="1">
      <alignment horizontal="center" vertical="center" wrapText="1"/>
    </xf>
    <xf numFmtId="2" fontId="24" fillId="0" borderId="33" xfId="0" applyNumberFormat="1" applyFont="1" applyBorder="1" applyAlignment="1">
      <alignment horizontal="center" vertical="center" wrapText="1"/>
    </xf>
    <xf numFmtId="168" fontId="24" fillId="0" borderId="33"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0" fontId="0" fillId="10" borderId="33" xfId="0" applyFill="1" applyBorder="1"/>
    <xf numFmtId="2" fontId="24" fillId="0" borderId="45" xfId="0" applyNumberFormat="1" applyFont="1" applyBorder="1" applyAlignment="1">
      <alignment horizontal="center" vertical="center" wrapText="1"/>
    </xf>
    <xf numFmtId="168" fontId="24" fillId="0" borderId="45" xfId="0" applyNumberFormat="1" applyFont="1" applyBorder="1" applyAlignment="1">
      <alignment horizontal="center" vertical="center" wrapText="1"/>
    </xf>
    <xf numFmtId="168" fontId="8" fillId="0" borderId="45" xfId="0" applyNumberFormat="1" applyFont="1" applyBorder="1" applyAlignment="1">
      <alignment horizontal="center" vertical="center" wrapText="1"/>
    </xf>
    <xf numFmtId="0" fontId="8" fillId="0" borderId="45" xfId="0" applyFont="1" applyBorder="1" applyAlignment="1">
      <alignment horizontal="right" vertical="center" wrapText="1"/>
    </xf>
    <xf numFmtId="0" fontId="15" fillId="0" borderId="32" xfId="0" applyFont="1" applyBorder="1" applyAlignment="1">
      <alignment vertical="top" wrapText="1"/>
    </xf>
    <xf numFmtId="0" fontId="0" fillId="0" borderId="0" xfId="0" applyFill="1"/>
    <xf numFmtId="0" fontId="0" fillId="0" borderId="25" xfId="0" applyFill="1" applyBorder="1"/>
    <xf numFmtId="0" fontId="0" fillId="0" borderId="39" xfId="0" applyFill="1" applyBorder="1"/>
    <xf numFmtId="0" fontId="0" fillId="0" borderId="33" xfId="0" applyFill="1" applyBorder="1"/>
    <xf numFmtId="0" fontId="0" fillId="0" borderId="0" xfId="0" applyFill="1" applyBorder="1"/>
    <xf numFmtId="0" fontId="0" fillId="0" borderId="45" xfId="0" applyFill="1" applyBorder="1"/>
    <xf numFmtId="0" fontId="0" fillId="10" borderId="23" xfId="0" applyFill="1" applyBorder="1"/>
    <xf numFmtId="0" fontId="2" fillId="0" borderId="39" xfId="0" applyFont="1" applyBorder="1" applyAlignment="1">
      <alignment vertical="center"/>
    </xf>
    <xf numFmtId="0" fontId="2" fillId="0" borderId="6" xfId="0" applyFont="1" applyBorder="1" applyAlignment="1">
      <alignment vertical="top" wrapText="1"/>
    </xf>
    <xf numFmtId="0" fontId="0" fillId="0" borderId="4" xfId="0" applyBorder="1" applyAlignment="1">
      <alignment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4" xfId="0" applyFill="1" applyBorder="1"/>
    <xf numFmtId="0" fontId="0" fillId="0" borderId="0" xfId="0" applyFill="1" applyBorder="1" applyAlignment="1">
      <alignment vertical="top" wrapText="1"/>
    </xf>
    <xf numFmtId="2" fontId="24" fillId="0" borderId="0" xfId="0" applyNumberFormat="1" applyFont="1" applyFill="1" applyBorder="1" applyAlignment="1">
      <alignment horizontal="center" vertical="center" wrapText="1"/>
    </xf>
    <xf numFmtId="168" fontId="25" fillId="0" borderId="0" xfId="2" applyNumberFormat="1" applyFont="1" applyFill="1" applyBorder="1" applyAlignment="1">
      <alignment horizontal="center" vertical="center" wrapText="1"/>
    </xf>
    <xf numFmtId="168" fontId="8" fillId="0" borderId="43" xfId="0" applyNumberFormat="1" applyFont="1" applyBorder="1" applyAlignment="1">
      <alignment horizontal="center" vertical="center" wrapText="1"/>
    </xf>
    <xf numFmtId="168" fontId="8" fillId="0" borderId="41" xfId="0" applyNumberFormat="1" applyFont="1" applyBorder="1" applyAlignment="1">
      <alignment horizontal="center" vertical="center" wrapText="1"/>
    </xf>
    <xf numFmtId="0" fontId="17" fillId="8" borderId="15" xfId="0" applyFont="1" applyFill="1" applyBorder="1" applyAlignment="1">
      <alignment vertical="center" wrapText="1"/>
    </xf>
    <xf numFmtId="0" fontId="17" fillId="8" borderId="0" xfId="0" applyFont="1" applyFill="1" applyBorder="1" applyAlignment="1">
      <alignment vertical="center" wrapText="1"/>
    </xf>
    <xf numFmtId="0" fontId="17" fillId="7" borderId="0" xfId="0" applyFont="1" applyFill="1" applyBorder="1" applyAlignment="1">
      <alignment vertical="center" wrapText="1"/>
    </xf>
    <xf numFmtId="0" fontId="19" fillId="7" borderId="0" xfId="0" applyFont="1" applyFill="1" applyBorder="1" applyAlignment="1">
      <alignment vertical="center" wrapText="1"/>
    </xf>
    <xf numFmtId="0" fontId="22" fillId="7" borderId="19" xfId="0" applyFont="1" applyFill="1" applyBorder="1" applyAlignment="1">
      <alignment horizontal="center" vertical="center" wrapText="1"/>
    </xf>
    <xf numFmtId="0" fontId="17" fillId="7" borderId="14" xfId="0" applyFont="1" applyFill="1" applyBorder="1" applyAlignment="1">
      <alignment vertical="center" wrapText="1"/>
    </xf>
    <xf numFmtId="0" fontId="18" fillId="7" borderId="20" xfId="0" applyFont="1" applyFill="1" applyBorder="1" applyAlignment="1">
      <alignment vertical="center" wrapText="1"/>
    </xf>
    <xf numFmtId="0" fontId="16" fillId="7" borderId="40"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5" xfId="0" applyFont="1" applyBorder="1" applyAlignment="1">
      <alignment horizontal="center" vertical="center"/>
    </xf>
    <xf numFmtId="9" fontId="0" fillId="5" borderId="5" xfId="2" applyFont="1" applyFill="1" applyBorder="1" applyAlignment="1">
      <alignment wrapText="1"/>
    </xf>
    <xf numFmtId="0" fontId="3" fillId="2" borderId="4" xfId="0" applyFont="1" applyFill="1" applyBorder="1"/>
    <xf numFmtId="0" fontId="0" fillId="2" borderId="4" xfId="0" applyFill="1" applyBorder="1"/>
    <xf numFmtId="0" fontId="0" fillId="0" borderId="50" xfId="0" applyBorder="1"/>
    <xf numFmtId="0" fontId="0" fillId="6" borderId="4" xfId="0" applyFill="1" applyBorder="1"/>
    <xf numFmtId="0" fontId="3" fillId="2" borderId="49" xfId="0" applyFont="1" applyFill="1" applyBorder="1"/>
    <xf numFmtId="0" fontId="0" fillId="2" borderId="49" xfId="0" applyFill="1" applyBorder="1"/>
    <xf numFmtId="0" fontId="3" fillId="2" borderId="8" xfId="0" applyFont="1" applyFill="1" applyBorder="1" applyAlignment="1">
      <alignment wrapText="1"/>
    </xf>
    <xf numFmtId="0" fontId="33" fillId="5" borderId="0" xfId="0" applyFont="1" applyFill="1" applyAlignment="1">
      <alignment wrapText="1"/>
    </xf>
    <xf numFmtId="9" fontId="0" fillId="0" borderId="0" xfId="0" applyNumberFormat="1"/>
    <xf numFmtId="2" fontId="25" fillId="5" borderId="5" xfId="0" applyNumberFormat="1" applyFont="1" applyFill="1" applyBorder="1" applyAlignment="1">
      <alignment horizontal="center" vertical="center" wrapText="1"/>
    </xf>
    <xf numFmtId="2" fontId="25" fillId="5" borderId="35" xfId="0" applyNumberFormat="1" applyFont="1" applyFill="1" applyBorder="1" applyAlignment="1">
      <alignment horizontal="center" vertical="center" wrapText="1"/>
    </xf>
    <xf numFmtId="2" fontId="25" fillId="5" borderId="7" xfId="0" applyNumberFormat="1" applyFont="1" applyFill="1" applyBorder="1" applyAlignment="1">
      <alignment horizontal="center" vertical="center" wrapText="1"/>
    </xf>
    <xf numFmtId="0" fontId="35" fillId="0" borderId="0" xfId="0" applyFont="1"/>
    <xf numFmtId="0" fontId="35" fillId="0" borderId="25" xfId="0" applyFont="1" applyBorder="1"/>
    <xf numFmtId="0" fontId="36" fillId="0" borderId="38" xfId="0" applyFont="1" applyBorder="1"/>
    <xf numFmtId="0" fontId="36" fillId="0" borderId="39" xfId="0" applyFont="1" applyBorder="1"/>
    <xf numFmtId="0" fontId="36" fillId="0" borderId="29" xfId="0" applyFont="1" applyBorder="1"/>
    <xf numFmtId="0" fontId="36" fillId="0" borderId="0" xfId="0" applyFont="1"/>
    <xf numFmtId="0" fontId="36" fillId="0" borderId="25" xfId="0" applyFont="1" applyBorder="1"/>
    <xf numFmtId="0" fontId="38" fillId="0" borderId="53"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56" xfId="0" applyFont="1" applyBorder="1" applyAlignment="1">
      <alignment horizontal="center" vertical="center" wrapText="1"/>
    </xf>
    <xf numFmtId="0" fontId="38" fillId="0" borderId="57" xfId="0" applyFont="1" applyBorder="1" applyAlignment="1">
      <alignment horizontal="center" vertical="center" wrapText="1"/>
    </xf>
    <xf numFmtId="0" fontId="40" fillId="0" borderId="54" xfId="0" applyFont="1" applyBorder="1" applyAlignment="1">
      <alignment horizontal="left" vertical="center" wrapText="1"/>
    </xf>
    <xf numFmtId="0" fontId="40" fillId="0" borderId="54" xfId="0" applyFont="1" applyBorder="1" applyAlignment="1">
      <alignment horizontal="center" vertical="center" wrapText="1"/>
    </xf>
    <xf numFmtId="0" fontId="40" fillId="0" borderId="57" xfId="0" applyFont="1" applyBorder="1" applyAlignment="1">
      <alignment horizontal="center" vertical="center" wrapText="1"/>
    </xf>
    <xf numFmtId="0" fontId="37" fillId="0" borderId="53" xfId="0" applyFont="1" applyBorder="1" applyAlignment="1">
      <alignment horizontal="left" vertical="center" wrapText="1"/>
    </xf>
    <xf numFmtId="0" fontId="37" fillId="0" borderId="54" xfId="0" applyFont="1" applyBorder="1" applyAlignment="1">
      <alignment horizontal="left" vertical="center" wrapText="1" indent="1"/>
    </xf>
    <xf numFmtId="0" fontId="37" fillId="0" borderId="54" xfId="0" applyFont="1" applyBorder="1" applyAlignment="1">
      <alignment horizontal="left" vertical="center" wrapText="1"/>
    </xf>
    <xf numFmtId="0" fontId="40" fillId="0" borderId="52" xfId="0" applyFont="1" applyBorder="1" applyAlignment="1">
      <alignment horizontal="left" vertical="center" wrapText="1"/>
    </xf>
    <xf numFmtId="0" fontId="41" fillId="0" borderId="0" xfId="0" applyFont="1" applyAlignment="1">
      <alignment horizontal="left" vertical="center" wrapText="1"/>
    </xf>
    <xf numFmtId="0" fontId="38" fillId="0" borderId="0" xfId="0" applyFont="1" applyAlignment="1">
      <alignment horizontal="left" vertical="center" wrapText="1"/>
    </xf>
    <xf numFmtId="0" fontId="41" fillId="0" borderId="58" xfId="0" applyFont="1" applyBorder="1" applyAlignment="1">
      <alignment horizontal="left" vertical="center" wrapText="1"/>
    </xf>
    <xf numFmtId="0" fontId="38" fillId="0" borderId="58" xfId="0" applyFont="1" applyBorder="1" applyAlignment="1">
      <alignment horizontal="left" vertical="center" wrapText="1"/>
    </xf>
    <xf numFmtId="170" fontId="27" fillId="2" borderId="5" xfId="1" applyNumberFormat="1" applyFont="1" applyFill="1" applyBorder="1" applyAlignment="1">
      <alignment horizontal="right" vertical="center"/>
    </xf>
    <xf numFmtId="0" fontId="0" fillId="3" borderId="7" xfId="0" applyFill="1" applyBorder="1" applyAlignment="1">
      <alignment horizontal="center" vertical="center"/>
    </xf>
    <xf numFmtId="0" fontId="34" fillId="3" borderId="7" xfId="0" applyFont="1" applyFill="1" applyBorder="1" applyAlignment="1">
      <alignment horizontal="center" vertical="center"/>
    </xf>
    <xf numFmtId="0" fontId="0" fillId="3" borderId="7" xfId="0" applyFill="1" applyBorder="1" applyAlignment="1">
      <alignment horizontal="center" vertical="center" wrapText="1"/>
    </xf>
    <xf numFmtId="0" fontId="0" fillId="4" borderId="7" xfId="0" applyFill="1" applyBorder="1"/>
    <xf numFmtId="0" fontId="0" fillId="3" borderId="7" xfId="0" applyFill="1" applyBorder="1" applyAlignment="1">
      <alignment horizontal="center" wrapText="1"/>
    </xf>
    <xf numFmtId="0" fontId="0" fillId="3" borderId="7" xfId="0" applyFill="1" applyBorder="1" applyAlignment="1">
      <alignment horizontal="center" vertical="center" wrapText="1"/>
    </xf>
    <xf numFmtId="0" fontId="5" fillId="3" borderId="7" xfId="0" applyFont="1" applyFill="1" applyBorder="1" applyAlignment="1">
      <alignment vertical="center" wrapText="1"/>
    </xf>
    <xf numFmtId="165" fontId="11" fillId="5" borderId="2" xfId="1" applyNumberFormat="1" applyFont="1" applyFill="1" applyBorder="1"/>
    <xf numFmtId="170" fontId="27" fillId="2" borderId="5" xfId="1" applyNumberFormat="1" applyFont="1" applyFill="1" applyBorder="1" applyAlignment="1">
      <alignment horizontal="right"/>
    </xf>
    <xf numFmtId="0" fontId="0" fillId="0" borderId="0" xfId="0" applyBorder="1" applyAlignment="1">
      <alignment horizontal="center" vertical="center" wrapText="1"/>
    </xf>
    <xf numFmtId="0" fontId="0" fillId="0" borderId="0" xfId="0" applyBorder="1" applyAlignment="1">
      <alignment vertical="center"/>
    </xf>
    <xf numFmtId="0" fontId="0" fillId="0" borderId="5" xfId="0" applyFont="1" applyBorder="1" applyAlignment="1">
      <alignment horizontal="left" vertical="center" wrapText="1"/>
    </xf>
    <xf numFmtId="0" fontId="27" fillId="2" borderId="5" xfId="0" applyFont="1" applyFill="1" applyBorder="1" applyAlignment="1">
      <alignment horizontal="center" vertical="center"/>
    </xf>
    <xf numFmtId="14" fontId="27" fillId="2" borderId="5" xfId="0" applyNumberFormat="1" applyFont="1" applyFill="1" applyBorder="1" applyAlignment="1">
      <alignment horizontal="center" vertical="center"/>
    </xf>
    <xf numFmtId="9" fontId="27" fillId="2" borderId="5" xfId="2" applyFont="1" applyFill="1" applyBorder="1" applyAlignment="1">
      <alignment horizontal="center" vertical="center"/>
    </xf>
    <xf numFmtId="164" fontId="27" fillId="2" borderId="5" xfId="1" applyNumberFormat="1" applyFont="1" applyFill="1" applyBorder="1" applyAlignment="1">
      <alignment horizontal="center" vertical="center"/>
    </xf>
    <xf numFmtId="169" fontId="27" fillId="2" borderId="5" xfId="1" applyNumberFormat="1" applyFont="1" applyFill="1" applyBorder="1" applyAlignment="1">
      <alignment horizontal="center" vertical="center"/>
    </xf>
    <xf numFmtId="43" fontId="27" fillId="2" borderId="5" xfId="1" applyFont="1" applyFill="1" applyBorder="1" applyAlignment="1">
      <alignment horizontal="center" vertical="center"/>
    </xf>
    <xf numFmtId="0" fontId="2" fillId="0" borderId="5" xfId="0" applyFont="1" applyBorder="1"/>
    <xf numFmtId="0" fontId="26" fillId="0" borderId="5" xfId="0" applyFont="1" applyBorder="1"/>
    <xf numFmtId="0" fontId="0" fillId="0" borderId="5" xfId="0" applyFont="1" applyBorder="1" applyAlignment="1">
      <alignment vertical="center" wrapText="1"/>
    </xf>
    <xf numFmtId="0" fontId="0" fillId="0" borderId="5" xfId="0" applyFont="1" applyBorder="1" applyAlignment="1">
      <alignment wrapText="1"/>
    </xf>
    <xf numFmtId="0" fontId="8" fillId="0" borderId="8" xfId="0" applyFont="1" applyBorder="1" applyAlignment="1">
      <alignment horizontal="center" vertical="center" wrapText="1"/>
    </xf>
    <xf numFmtId="171" fontId="27" fillId="2" borderId="5" xfId="1" applyNumberFormat="1" applyFont="1" applyFill="1" applyBorder="1" applyAlignment="1">
      <alignment horizontal="right"/>
    </xf>
    <xf numFmtId="2" fontId="0" fillId="0" borderId="0" xfId="0" applyNumberFormat="1" applyFont="1"/>
    <xf numFmtId="0" fontId="0" fillId="11" borderId="61" xfId="0" applyFill="1" applyBorder="1"/>
    <xf numFmtId="0" fontId="36" fillId="0" borderId="0" xfId="0" applyFont="1" applyBorder="1"/>
    <xf numFmtId="0" fontId="1" fillId="0" borderId="27" xfId="0" applyFont="1" applyFill="1" applyBorder="1" applyAlignment="1">
      <alignment horizontal="right"/>
    </xf>
    <xf numFmtId="0" fontId="8" fillId="0" borderId="0" xfId="0" applyFont="1" applyFill="1" applyAlignment="1">
      <alignment horizontal="right"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right"/>
    </xf>
    <xf numFmtId="0" fontId="1" fillId="0" borderId="24" xfId="0" applyFont="1" applyFill="1" applyBorder="1" applyAlignment="1">
      <alignment horizontal="center" vertical="center" wrapText="1"/>
    </xf>
    <xf numFmtId="0" fontId="7" fillId="0" borderId="15" xfId="0" applyFont="1" applyBorder="1" applyAlignment="1">
      <alignment horizontal="center" wrapText="1"/>
    </xf>
    <xf numFmtId="0" fontId="0" fillId="0" borderId="0" xfId="0" applyAlignment="1">
      <alignment vertical="top" wrapText="1"/>
    </xf>
    <xf numFmtId="0" fontId="6" fillId="0" borderId="0" xfId="0" applyFont="1" applyAlignment="1">
      <alignment horizontal="center" wrapText="1"/>
    </xf>
    <xf numFmtId="0" fontId="0" fillId="0" borderId="0" xfId="0" applyFill="1" applyAlignment="1">
      <alignment wrapText="1"/>
    </xf>
    <xf numFmtId="0" fontId="42" fillId="0" borderId="0" xfId="0" applyFont="1" applyFill="1" applyAlignment="1">
      <alignment wrapText="1"/>
    </xf>
    <xf numFmtId="0" fontId="0" fillId="3" borderId="7" xfId="0" applyFill="1" applyBorder="1" applyAlignment="1">
      <alignment horizontal="center" vertical="center" wrapText="1"/>
    </xf>
    <xf numFmtId="0" fontId="0" fillId="3" borderId="0" xfId="0" applyFill="1"/>
    <xf numFmtId="0" fontId="3" fillId="2" borderId="5" xfId="0" applyFont="1" applyFill="1" applyBorder="1" applyAlignment="1">
      <alignment wrapText="1"/>
    </xf>
    <xf numFmtId="0" fontId="0" fillId="2" borderId="62" xfId="0" applyFill="1" applyBorder="1"/>
    <xf numFmtId="0" fontId="0" fillId="0" borderId="36" xfId="0" applyFill="1" applyBorder="1"/>
    <xf numFmtId="0" fontId="3" fillId="0" borderId="36" xfId="0" applyFont="1" applyFill="1" applyBorder="1"/>
    <xf numFmtId="0" fontId="6" fillId="3" borderId="1" xfId="0" applyFont="1" applyFill="1" applyBorder="1" applyAlignment="1">
      <alignment horizontal="center" vertical="center" wrapText="1"/>
    </xf>
    <xf numFmtId="0" fontId="10" fillId="5" borderId="60" xfId="0" applyFont="1" applyFill="1" applyBorder="1" applyAlignment="1">
      <alignment wrapText="1"/>
    </xf>
    <xf numFmtId="0" fontId="7" fillId="0" borderId="6" xfId="0" applyFont="1" applyBorder="1"/>
    <xf numFmtId="0" fontId="3" fillId="2" borderId="6" xfId="0" applyFont="1" applyFill="1" applyBorder="1"/>
    <xf numFmtId="0" fontId="10" fillId="5" borderId="63" xfId="0" applyFont="1" applyFill="1" applyBorder="1" applyAlignment="1">
      <alignment wrapText="1"/>
    </xf>
    <xf numFmtId="0" fontId="0" fillId="0" borderId="65" xfId="0" applyBorder="1"/>
    <xf numFmtId="0" fontId="10" fillId="5" borderId="64" xfId="0" applyFont="1" applyFill="1" applyBorder="1" applyAlignment="1">
      <alignment wrapText="1"/>
    </xf>
    <xf numFmtId="0" fontId="10" fillId="5" borderId="66" xfId="0" applyFont="1" applyFill="1" applyBorder="1" applyAlignment="1">
      <alignment wrapText="1"/>
    </xf>
    <xf numFmtId="0" fontId="7" fillId="0" borderId="67" xfId="0" applyFont="1" applyBorder="1"/>
    <xf numFmtId="9" fontId="10" fillId="5" borderId="64" xfId="2" applyFont="1" applyFill="1" applyBorder="1" applyAlignment="1">
      <alignment wrapText="1"/>
    </xf>
    <xf numFmtId="9" fontId="10" fillId="5" borderId="66" xfId="2" applyFont="1" applyFill="1" applyBorder="1" applyAlignment="1">
      <alignment wrapText="1"/>
    </xf>
    <xf numFmtId="9" fontId="0" fillId="0" borderId="0" xfId="2" applyFont="1"/>
    <xf numFmtId="2" fontId="0" fillId="5" borderId="4" xfId="0" applyNumberFormat="1" applyFill="1" applyBorder="1"/>
    <xf numFmtId="0" fontId="0" fillId="3" borderId="7" xfId="0" applyFill="1" applyBorder="1" applyAlignment="1">
      <alignment horizontal="center" vertical="center" wrapText="1"/>
    </xf>
    <xf numFmtId="0" fontId="7" fillId="0" borderId="68" xfId="0" applyFont="1" applyBorder="1" applyAlignment="1">
      <alignment wrapText="1"/>
    </xf>
    <xf numFmtId="0" fontId="0" fillId="0" borderId="5" xfId="0" applyBorder="1" applyAlignment="1">
      <alignment horizontal="left" vertical="center" wrapText="1"/>
    </xf>
    <xf numFmtId="0" fontId="2" fillId="0" borderId="5" xfId="0" applyFont="1" applyBorder="1" applyAlignment="1">
      <alignment vertical="center" wrapText="1"/>
    </xf>
    <xf numFmtId="0" fontId="0" fillId="0" borderId="5" xfId="0" applyBorder="1" applyAlignment="1">
      <alignment vertical="center" wrapText="1"/>
    </xf>
    <xf numFmtId="0" fontId="0" fillId="0" borderId="5" xfId="0" applyBorder="1"/>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29"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5" xfId="0" applyBorder="1" applyAlignment="1">
      <alignment horizontal="left" vertical="center" wrapText="1"/>
    </xf>
    <xf numFmtId="0" fontId="42" fillId="0" borderId="5" xfId="0" applyFont="1" applyFill="1" applyBorder="1" applyAlignment="1">
      <alignment horizontal="center" vertical="center" wrapText="1"/>
    </xf>
    <xf numFmtId="0" fontId="0" fillId="0" borderId="5"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5" xfId="0" applyFont="1" applyBorder="1" applyAlignment="1">
      <alignment horizontal="center" vertical="center" wrapText="1"/>
    </xf>
    <xf numFmtId="0" fontId="0" fillId="0" borderId="5" xfId="0" applyBorder="1" applyAlignment="1">
      <alignment horizontal="center" vertical="center"/>
    </xf>
    <xf numFmtId="0" fontId="8" fillId="0" borderId="5" xfId="0" applyFont="1" applyBorder="1" applyAlignment="1">
      <alignment horizontal="center" vertical="center" wrapText="1"/>
    </xf>
    <xf numFmtId="0" fontId="0" fillId="0" borderId="5" xfId="0" applyBorder="1" applyAlignment="1">
      <alignment horizontal="center" vertical="center" wrapText="1"/>
    </xf>
    <xf numFmtId="0" fontId="5" fillId="3" borderId="1" xfId="0" applyFont="1" applyFill="1" applyBorder="1" applyAlignment="1">
      <alignment horizontal="center" vertical="center"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7" xfId="0" applyFont="1" applyBorder="1" applyAlignment="1">
      <alignment horizontal="center"/>
    </xf>
    <xf numFmtId="0" fontId="0" fillId="3" borderId="6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0" fillId="3" borderId="7" xfId="0" applyFill="1" applyBorder="1" applyAlignment="1">
      <alignment horizontal="center" vertical="center" wrapText="1"/>
    </xf>
    <xf numFmtId="0" fontId="0" fillId="3" borderId="7" xfId="0" applyFill="1" applyBorder="1" applyAlignment="1">
      <alignment horizontal="center" wrapText="1"/>
    </xf>
    <xf numFmtId="0" fontId="0" fillId="3" borderId="60" xfId="0" applyFill="1" applyBorder="1" applyAlignment="1">
      <alignment horizontal="center" wrapText="1"/>
    </xf>
    <xf numFmtId="0" fontId="0" fillId="3" borderId="31" xfId="0" applyFill="1" applyBorder="1" applyAlignment="1">
      <alignment horizont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0" fillId="13" borderId="31" xfId="0" applyFill="1" applyBorder="1" applyAlignment="1">
      <alignment horizontal="center" wrapText="1"/>
    </xf>
    <xf numFmtId="0" fontId="0" fillId="13" borderId="51" xfId="0" applyFill="1" applyBorder="1" applyAlignment="1">
      <alignment horizontal="center" wrapText="1"/>
    </xf>
    <xf numFmtId="0" fontId="0" fillId="12" borderId="31" xfId="0" applyFill="1" applyBorder="1" applyAlignment="1">
      <alignment horizontal="center" wrapText="1"/>
    </xf>
    <xf numFmtId="0" fontId="0" fillId="12" borderId="51" xfId="0" applyFill="1" applyBorder="1" applyAlignment="1">
      <alignment horizontal="center" wrapText="1"/>
    </xf>
    <xf numFmtId="0" fontId="14"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8" fillId="9" borderId="15" xfId="0" applyFont="1" applyFill="1" applyBorder="1" applyAlignment="1">
      <alignment horizontal="center" vertical="center" wrapText="1"/>
    </xf>
    <xf numFmtId="0" fontId="15" fillId="0" borderId="11" xfId="0" applyFont="1" applyBorder="1" applyAlignment="1">
      <alignment vertical="top" wrapText="1"/>
    </xf>
    <xf numFmtId="0" fontId="15" fillId="0" borderId="23" xfId="0" applyFont="1" applyBorder="1" applyAlignment="1">
      <alignment vertical="top" wrapText="1"/>
    </xf>
    <xf numFmtId="0" fontId="8" fillId="9" borderId="3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0" fontId="8" fillId="9" borderId="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42"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15" fillId="0" borderId="4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3" xfId="0" applyFont="1" applyBorder="1" applyAlignment="1">
      <alignment horizontal="center" vertical="center" wrapText="1"/>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20" fillId="9" borderId="2"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8" fillId="0" borderId="47" xfId="0" applyFont="1" applyBorder="1" applyAlignment="1">
      <alignment horizontal="center" vertical="center" wrapText="1"/>
    </xf>
    <xf numFmtId="0" fontId="20" fillId="7" borderId="1"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40" fillId="0" borderId="59" xfId="0" applyFont="1" applyBorder="1" applyAlignment="1">
      <alignment horizontal="left" vertical="center" wrapText="1"/>
    </xf>
    <xf numFmtId="0" fontId="40" fillId="0" borderId="55" xfId="0" applyFont="1" applyBorder="1" applyAlignment="1">
      <alignment horizontal="left" vertical="center" wrapText="1"/>
    </xf>
  </cellXfs>
  <cellStyles count="3">
    <cellStyle name="Milliers" xfId="1" builtinId="3"/>
    <cellStyle name="Normal" xfId="0" builtinId="0"/>
    <cellStyle name="Pourcentage" xfId="2" builtinId="5"/>
  </cellStyles>
  <dxfs count="13">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E1FE-3EED-4AF8-A373-4603F0C8B5D2}">
  <dimension ref="A1:U26"/>
  <sheetViews>
    <sheetView topLeftCell="A15" zoomScale="70" zoomScaleNormal="70" workbookViewId="0">
      <selection activeCell="A13" sqref="A13"/>
    </sheetView>
  </sheetViews>
  <sheetFormatPr baseColWidth="10" defaultRowHeight="14.4"/>
  <cols>
    <col min="1" max="1" width="47.88671875" customWidth="1"/>
    <col min="2" max="2" width="30.5546875" customWidth="1"/>
    <col min="3" max="12" width="11.109375" customWidth="1"/>
    <col min="13" max="21" width="16.44140625" customWidth="1"/>
  </cols>
  <sheetData>
    <row r="1" spans="1:21" ht="41.25" customHeight="1" thickBot="1">
      <c r="A1" s="305" t="s">
        <v>365</v>
      </c>
      <c r="B1" s="306"/>
      <c r="C1" s="307"/>
      <c r="D1" s="307"/>
      <c r="E1" s="307"/>
      <c r="F1" s="307"/>
      <c r="G1" s="307"/>
      <c r="H1" s="307"/>
      <c r="I1" s="307"/>
      <c r="J1" s="307"/>
      <c r="K1" s="307"/>
      <c r="L1" s="307"/>
      <c r="M1" s="307"/>
      <c r="N1" s="307"/>
      <c r="O1" s="307"/>
      <c r="P1" s="307"/>
      <c r="Q1" s="307"/>
      <c r="R1" s="307"/>
      <c r="S1" s="307"/>
      <c r="T1" s="307"/>
      <c r="U1" s="308"/>
    </row>
    <row r="2" spans="1:21" ht="25.5" customHeight="1">
      <c r="A2" s="254" t="s">
        <v>0</v>
      </c>
      <c r="B2" s="255"/>
      <c r="C2" s="147"/>
      <c r="D2" s="147"/>
      <c r="E2" s="147"/>
      <c r="F2" s="147"/>
      <c r="G2" s="147"/>
      <c r="H2" s="147"/>
      <c r="I2" s="147"/>
      <c r="J2" s="147"/>
      <c r="K2" s="147"/>
      <c r="L2" s="147"/>
      <c r="M2" s="147"/>
      <c r="N2" s="147"/>
      <c r="O2" s="147"/>
      <c r="P2" s="147"/>
      <c r="Q2" s="147"/>
      <c r="R2" s="147"/>
      <c r="S2" s="147"/>
      <c r="T2" s="147"/>
      <c r="U2" s="147"/>
    </row>
    <row r="3" spans="1:21" ht="30.75" customHeight="1">
      <c r="A3" s="254" t="s">
        <v>2</v>
      </c>
      <c r="B3" s="255"/>
      <c r="C3" s="147"/>
      <c r="D3" s="147"/>
      <c r="E3" s="147"/>
      <c r="F3" s="147"/>
      <c r="G3" s="147"/>
      <c r="H3" s="147"/>
      <c r="I3" s="147"/>
      <c r="J3" s="147"/>
      <c r="K3" s="147"/>
      <c r="L3" s="147"/>
      <c r="M3" s="147"/>
      <c r="N3" s="147"/>
      <c r="O3" s="147"/>
      <c r="P3" s="147"/>
      <c r="Q3" s="147"/>
      <c r="R3" s="147"/>
      <c r="S3" s="147"/>
      <c r="T3" s="147"/>
      <c r="U3" s="147"/>
    </row>
    <row r="4" spans="1:21" ht="47.25" customHeight="1">
      <c r="A4" s="254" t="s">
        <v>8</v>
      </c>
      <c r="B4" s="256"/>
      <c r="C4" s="309" t="s">
        <v>332</v>
      </c>
      <c r="D4" s="310"/>
      <c r="E4" s="310"/>
      <c r="F4" s="310"/>
      <c r="G4" s="310"/>
      <c r="H4" s="310"/>
      <c r="I4" s="310"/>
      <c r="J4" s="310"/>
      <c r="K4" s="310"/>
      <c r="L4" s="311"/>
      <c r="M4" s="312" t="str">
        <f>IF(B4&lt;DATE(2021,1,1),"Pas d'exigence de réduction des émissions de GES à respecter pour les combustibles solides et gazeux, uniquement pour le cas où les combustibles utilisés sont liquides (voir consignes)","Des exigences de réduction des émissions de GES s'appliquent : elles doivent apparaître, une fois le tableur complété, et sans erreur dans l'onglet '1. Déclaration', colonne O à U")</f>
        <v>Pas d'exigence de réduction des émissions de GES à respecter pour les combustibles solides et gazeux, uniquement pour le cas où les combustibles utilisés sont liquides (voir consignes)</v>
      </c>
      <c r="N4" s="313"/>
      <c r="O4" s="313"/>
      <c r="P4" s="313"/>
      <c r="Q4" s="313"/>
      <c r="R4" s="313"/>
      <c r="S4" s="313"/>
      <c r="T4" s="313"/>
      <c r="U4" s="314"/>
    </row>
    <row r="5" spans="1:21" ht="39.75" customHeight="1">
      <c r="A5" s="254" t="s">
        <v>4</v>
      </c>
      <c r="B5" s="257"/>
      <c r="C5" s="309" t="s">
        <v>327</v>
      </c>
      <c r="D5" s="310"/>
      <c r="E5" s="310"/>
      <c r="F5" s="310"/>
      <c r="G5" s="310"/>
      <c r="H5" s="310"/>
      <c r="I5" s="310"/>
      <c r="J5" s="310"/>
      <c r="K5" s="310"/>
      <c r="L5" s="311"/>
      <c r="M5" s="312" t="str">
        <f>IF(AND(B$2="Cogénération",OR(B5=0,B5="")),"Erreur : un rendement électrique non nul doit être renseigné",IF(AND(B$2="Electricité seule",OR(B5=0,B5="")),"Erreur : un rendement électrique non nul doit être renseigné",""))
&amp;
IF(AND(B2="Chaleur/froid seul(e)",B5&gt;0),"Erreur : vous avez indiqué une production de chaleur ou froid seul(e), le rendement électrique doit être nul (=&gt; renseigner uniquement un rendement thermique)","")</f>
        <v/>
      </c>
      <c r="N5" s="313"/>
      <c r="O5" s="313"/>
      <c r="P5" s="313"/>
      <c r="Q5" s="313"/>
      <c r="R5" s="313"/>
      <c r="S5" s="313"/>
      <c r="T5" s="313"/>
      <c r="U5" s="314"/>
    </row>
    <row r="6" spans="1:21" ht="39.75" customHeight="1">
      <c r="A6" s="254" t="s">
        <v>5</v>
      </c>
      <c r="B6" s="257"/>
      <c r="C6" s="309" t="s">
        <v>328</v>
      </c>
      <c r="D6" s="310"/>
      <c r="E6" s="310"/>
      <c r="F6" s="310"/>
      <c r="G6" s="310"/>
      <c r="H6" s="310"/>
      <c r="I6" s="310"/>
      <c r="J6" s="310"/>
      <c r="K6" s="310"/>
      <c r="L6" s="311"/>
      <c r="M6" s="312" t="str">
        <f>IF(AND(B$2="Cogénération",OR(B6=0,B6="")),"Erreur : un rendement thermique non nul doit être renseigné",IF(AND(B$2="Chaleur/froid seul(e)",OR(B6=0,B6="")),"Erreur : un rendement thermique non nul doit être renseigné",""))
&amp;
IF(AND(B2="Electricité seule",B6&gt;0),"Erreur : vous avez indiqué une production d'électricité seule, le rendement thermique doit être nul (=&gt; renseigner uniquement un rendement électrique)","")</f>
        <v/>
      </c>
      <c r="N6" s="313"/>
      <c r="O6" s="313"/>
      <c r="P6" s="313"/>
      <c r="Q6" s="313"/>
      <c r="R6" s="313"/>
      <c r="S6" s="313"/>
      <c r="T6" s="313"/>
      <c r="U6" s="314"/>
    </row>
    <row r="7" spans="1:21" ht="38.25" customHeight="1">
      <c r="A7" s="254" t="s">
        <v>7</v>
      </c>
      <c r="B7" s="258"/>
      <c r="C7" s="309" t="s">
        <v>329</v>
      </c>
      <c r="D7" s="310"/>
      <c r="E7" s="310"/>
      <c r="F7" s="310"/>
      <c r="G7" s="310"/>
      <c r="H7" s="310"/>
      <c r="I7" s="310"/>
      <c r="J7" s="310"/>
      <c r="K7" s="310"/>
      <c r="L7" s="311"/>
      <c r="M7" s="312" t="str">
        <f>IF(AND(B$2="Cogénération",OR(B7=0,B7="")),"Cogénération : une température utile non nulle doit être renseignée","")</f>
        <v/>
      </c>
      <c r="N7" s="313"/>
      <c r="O7" s="313"/>
      <c r="P7" s="313"/>
      <c r="Q7" s="313"/>
      <c r="R7" s="313"/>
      <c r="S7" s="313"/>
      <c r="T7" s="313"/>
      <c r="U7" s="314"/>
    </row>
    <row r="8" spans="1:21" ht="33.75" customHeight="1">
      <c r="A8" s="254" t="s">
        <v>6</v>
      </c>
      <c r="B8" s="256"/>
      <c r="C8" s="252"/>
      <c r="D8" s="252"/>
      <c r="E8" s="252"/>
      <c r="F8" s="252"/>
      <c r="G8" s="252"/>
      <c r="H8" s="252"/>
      <c r="I8" s="252"/>
      <c r="J8" s="252"/>
      <c r="K8" s="252"/>
      <c r="L8" s="252"/>
      <c r="M8" s="252"/>
      <c r="N8" s="252"/>
      <c r="O8" s="252"/>
      <c r="P8" s="252"/>
      <c r="Q8" s="252"/>
      <c r="R8" s="252"/>
      <c r="S8" s="252"/>
      <c r="T8" s="252"/>
      <c r="U8" s="252"/>
    </row>
    <row r="9" spans="1:21" ht="38.25" customHeight="1">
      <c r="A9" s="254" t="s">
        <v>321</v>
      </c>
      <c r="B9" s="259"/>
      <c r="C9" s="316" t="s">
        <v>322</v>
      </c>
      <c r="D9" s="316"/>
      <c r="E9" s="316"/>
      <c r="F9" s="316"/>
      <c r="G9" s="316"/>
      <c r="H9" s="316"/>
      <c r="I9" s="316"/>
      <c r="J9" s="316"/>
      <c r="K9" s="316"/>
      <c r="L9" s="316"/>
      <c r="M9" s="316"/>
      <c r="N9" s="316"/>
      <c r="O9" s="316"/>
      <c r="P9" s="316"/>
      <c r="Q9" s="316"/>
      <c r="R9" s="316"/>
      <c r="S9" s="316"/>
      <c r="T9" s="316"/>
      <c r="U9" s="316"/>
    </row>
    <row r="10" spans="1:21" ht="38.25" customHeight="1">
      <c r="A10" s="254" t="s">
        <v>323</v>
      </c>
      <c r="B10" s="259"/>
      <c r="C10" s="316" t="s">
        <v>324</v>
      </c>
      <c r="D10" s="316"/>
      <c r="E10" s="316"/>
      <c r="F10" s="316"/>
      <c r="G10" s="316"/>
      <c r="H10" s="316"/>
      <c r="I10" s="316"/>
      <c r="J10" s="316"/>
      <c r="K10" s="316"/>
      <c r="L10" s="316"/>
      <c r="M10" s="316"/>
      <c r="N10" s="316"/>
      <c r="O10" s="316"/>
      <c r="P10" s="316"/>
      <c r="Q10" s="316"/>
      <c r="R10" s="316"/>
      <c r="S10" s="316"/>
      <c r="T10" s="316"/>
      <c r="U10" s="316"/>
    </row>
    <row r="11" spans="1:21" ht="22.5" customHeight="1">
      <c r="A11" s="254" t="s">
        <v>420</v>
      </c>
      <c r="B11" s="260"/>
      <c r="C11" s="316" t="s">
        <v>316</v>
      </c>
      <c r="D11" s="316"/>
      <c r="E11" s="316"/>
      <c r="F11" s="316"/>
      <c r="G11" s="316"/>
      <c r="H11" s="316"/>
      <c r="I11" s="316"/>
      <c r="J11" s="316"/>
      <c r="K11" s="316"/>
      <c r="L11" s="316"/>
      <c r="M11" s="316"/>
      <c r="N11" s="316"/>
      <c r="O11" s="316"/>
      <c r="P11" s="316"/>
      <c r="Q11" s="316"/>
      <c r="R11" s="316"/>
      <c r="S11" s="316"/>
      <c r="T11" s="316"/>
      <c r="U11" s="316"/>
    </row>
    <row r="12" spans="1:21" ht="22.5" customHeight="1">
      <c r="A12" s="254" t="s">
        <v>421</v>
      </c>
      <c r="B12" s="260"/>
      <c r="C12" s="316" t="s">
        <v>316</v>
      </c>
      <c r="D12" s="316"/>
      <c r="E12" s="316"/>
      <c r="F12" s="316"/>
      <c r="G12" s="316"/>
      <c r="H12" s="316"/>
      <c r="I12" s="316"/>
      <c r="J12" s="316"/>
      <c r="K12" s="316"/>
      <c r="L12" s="316"/>
      <c r="M12" s="316"/>
      <c r="N12" s="316"/>
      <c r="O12" s="316"/>
      <c r="P12" s="316"/>
      <c r="Q12" s="316"/>
      <c r="R12" s="316"/>
      <c r="S12" s="316"/>
      <c r="T12" s="316"/>
      <c r="U12" s="316"/>
    </row>
    <row r="13" spans="1:21" ht="22.5" customHeight="1">
      <c r="A13" s="264" t="s">
        <v>320</v>
      </c>
      <c r="B13" s="260"/>
      <c r="C13" s="311" t="s">
        <v>326</v>
      </c>
      <c r="D13" s="316"/>
      <c r="E13" s="316"/>
      <c r="F13" s="316"/>
      <c r="G13" s="316"/>
      <c r="H13" s="316"/>
      <c r="I13" s="316"/>
      <c r="J13" s="316"/>
      <c r="K13" s="316"/>
      <c r="L13" s="316"/>
      <c r="M13" s="316"/>
      <c r="N13" s="316"/>
      <c r="O13" s="316"/>
      <c r="P13" s="316"/>
      <c r="Q13" s="316"/>
      <c r="R13" s="316"/>
      <c r="S13" s="316"/>
      <c r="T13" s="316"/>
      <c r="U13" s="316"/>
    </row>
    <row r="14" spans="1:21" ht="22.5" customHeight="1">
      <c r="A14" s="264" t="s">
        <v>319</v>
      </c>
      <c r="B14" s="260"/>
      <c r="C14" s="311" t="s">
        <v>326</v>
      </c>
      <c r="D14" s="316"/>
      <c r="E14" s="316"/>
      <c r="F14" s="316"/>
      <c r="G14" s="316"/>
      <c r="H14" s="316"/>
      <c r="I14" s="316"/>
      <c r="J14" s="316"/>
      <c r="K14" s="316"/>
      <c r="L14" s="316"/>
      <c r="M14" s="316"/>
      <c r="N14" s="316"/>
      <c r="O14" s="316"/>
      <c r="P14" s="316"/>
      <c r="Q14" s="316"/>
      <c r="R14" s="316"/>
      <c r="S14" s="316"/>
      <c r="T14" s="316"/>
      <c r="U14" s="316"/>
    </row>
    <row r="15" spans="1:21" ht="35.25" customHeight="1">
      <c r="A15" s="264" t="s">
        <v>344</v>
      </c>
      <c r="B15" s="260"/>
      <c r="C15" s="311" t="s">
        <v>345</v>
      </c>
      <c r="D15" s="316"/>
      <c r="E15" s="316"/>
      <c r="F15" s="316"/>
      <c r="G15" s="316"/>
      <c r="H15" s="316"/>
      <c r="I15" s="316"/>
      <c r="J15" s="316"/>
      <c r="K15" s="316"/>
      <c r="L15" s="316"/>
      <c r="M15" s="316"/>
      <c r="N15" s="316"/>
      <c r="O15" s="316"/>
      <c r="P15" s="316"/>
      <c r="Q15" s="316"/>
      <c r="R15" s="316"/>
      <c r="S15" s="316"/>
      <c r="T15" s="316"/>
      <c r="U15" s="316"/>
    </row>
    <row r="16" spans="1:21" ht="22.5" customHeight="1">
      <c r="A16" s="264" t="s">
        <v>333</v>
      </c>
      <c r="B16" s="260"/>
      <c r="C16" s="311" t="s">
        <v>334</v>
      </c>
      <c r="D16" s="316"/>
      <c r="E16" s="316"/>
      <c r="F16" s="316"/>
      <c r="G16" s="316"/>
      <c r="H16" s="316"/>
      <c r="I16" s="316"/>
      <c r="J16" s="316"/>
      <c r="K16" s="316"/>
      <c r="L16" s="316"/>
      <c r="M16" s="316"/>
      <c r="N16" s="316"/>
      <c r="O16" s="316"/>
      <c r="P16" s="316"/>
      <c r="Q16" s="316"/>
      <c r="R16" s="316"/>
      <c r="S16" s="316"/>
      <c r="T16" s="316"/>
      <c r="U16" s="316"/>
    </row>
    <row r="17" spans="1:21" ht="38.25" customHeight="1">
      <c r="A17" s="261" t="s">
        <v>366</v>
      </c>
      <c r="B17" s="262"/>
      <c r="C17" s="253"/>
      <c r="D17" s="253"/>
      <c r="E17" s="253"/>
      <c r="F17" s="253"/>
      <c r="G17" s="253"/>
      <c r="H17" s="253"/>
      <c r="I17" s="253"/>
      <c r="J17" s="253"/>
      <c r="K17" s="253"/>
      <c r="L17" s="253"/>
      <c r="M17" s="253"/>
      <c r="N17" s="253"/>
      <c r="O17" s="253"/>
      <c r="P17" s="253"/>
      <c r="Q17" s="253"/>
      <c r="R17" s="253"/>
      <c r="S17" s="253"/>
      <c r="T17" s="253"/>
      <c r="U17" s="253"/>
    </row>
    <row r="18" spans="1:21" ht="51" customHeight="1">
      <c r="A18" s="263" t="s">
        <v>9</v>
      </c>
      <c r="B18" s="255"/>
      <c r="C18" s="315" t="s">
        <v>11</v>
      </c>
      <c r="D18" s="317"/>
      <c r="E18" s="317"/>
      <c r="F18" s="317"/>
      <c r="G18" s="317"/>
      <c r="H18" s="317"/>
      <c r="I18" s="317"/>
      <c r="J18" s="317"/>
      <c r="K18" s="317"/>
      <c r="L18" s="317"/>
      <c r="M18" s="317"/>
      <c r="N18" s="317"/>
      <c r="O18" s="317"/>
      <c r="P18" s="317"/>
      <c r="Q18" s="317"/>
      <c r="R18" s="317"/>
      <c r="S18" s="317"/>
      <c r="T18" s="317"/>
      <c r="U18" s="317"/>
    </row>
    <row r="19" spans="1:21" ht="24" customHeight="1">
      <c r="A19" s="263" t="s">
        <v>12</v>
      </c>
      <c r="B19" s="255"/>
      <c r="C19" s="317" t="s">
        <v>14</v>
      </c>
      <c r="D19" s="317"/>
      <c r="E19" s="317"/>
      <c r="F19" s="317"/>
      <c r="G19" s="317"/>
      <c r="H19" s="317"/>
      <c r="I19" s="317"/>
      <c r="J19" s="317"/>
      <c r="K19" s="317"/>
      <c r="L19" s="317"/>
      <c r="M19" s="317"/>
      <c r="N19" s="317"/>
      <c r="O19" s="317"/>
      <c r="P19" s="317"/>
      <c r="Q19" s="317"/>
      <c r="R19" s="317"/>
      <c r="S19" s="317"/>
      <c r="T19" s="317"/>
      <c r="U19" s="317"/>
    </row>
    <row r="20" spans="1:21" ht="48" customHeight="1">
      <c r="A20" s="263" t="s">
        <v>15</v>
      </c>
      <c r="B20" s="255"/>
      <c r="C20" s="315" t="s">
        <v>17</v>
      </c>
      <c r="D20" s="315"/>
      <c r="E20" s="315"/>
      <c r="F20" s="315"/>
      <c r="G20" s="315"/>
      <c r="H20" s="315"/>
      <c r="I20" s="315"/>
      <c r="J20" s="315"/>
      <c r="K20" s="315"/>
      <c r="L20" s="315"/>
      <c r="M20" s="315"/>
      <c r="N20" s="315"/>
      <c r="O20" s="315"/>
      <c r="P20" s="315"/>
      <c r="Q20" s="315"/>
      <c r="R20" s="315"/>
      <c r="S20" s="315"/>
      <c r="T20" s="315"/>
      <c r="U20" s="315"/>
    </row>
    <row r="21" spans="1:21" ht="38.25" customHeight="1">
      <c r="A21" s="254" t="s">
        <v>419</v>
      </c>
      <c r="B21" s="260"/>
      <c r="C21" s="147"/>
      <c r="D21" s="147"/>
      <c r="E21" s="147"/>
      <c r="F21" s="147"/>
      <c r="G21" s="147"/>
      <c r="H21" s="147"/>
      <c r="I21" s="147"/>
      <c r="J21" s="147"/>
      <c r="K21" s="147"/>
      <c r="L21" s="147"/>
      <c r="M21" s="147"/>
      <c r="N21" s="147"/>
      <c r="O21" s="147"/>
      <c r="P21" s="147"/>
      <c r="Q21" s="147"/>
      <c r="R21" s="147"/>
      <c r="S21" s="147"/>
      <c r="T21" s="147"/>
      <c r="U21" s="147"/>
    </row>
    <row r="22" spans="1:21" ht="40.799999999999997" customHeight="1">
      <c r="A22" s="302" t="s">
        <v>418</v>
      </c>
      <c r="B22" s="303"/>
    </row>
    <row r="23" spans="1:21" ht="31.8" customHeight="1">
      <c r="A23" s="301" t="s">
        <v>386</v>
      </c>
      <c r="B23" s="255"/>
    </row>
    <row r="24" spans="1:21" ht="33" customHeight="1">
      <c r="A24" s="301" t="s">
        <v>387</v>
      </c>
      <c r="B24" s="255"/>
    </row>
    <row r="25" spans="1:21" ht="33" customHeight="1">
      <c r="A25" s="301" t="s">
        <v>388</v>
      </c>
      <c r="B25" s="255"/>
      <c r="C25" s="304" t="s">
        <v>389</v>
      </c>
      <c r="D25" s="304"/>
      <c r="E25" s="304"/>
      <c r="F25" s="304"/>
    </row>
    <row r="26" spans="1:21" ht="39.6" customHeight="1">
      <c r="A26" s="301" t="s">
        <v>390</v>
      </c>
      <c r="B26" s="255"/>
    </row>
  </sheetData>
  <mergeCells count="22">
    <mergeCell ref="C13:U13"/>
    <mergeCell ref="C14:U14"/>
    <mergeCell ref="C16:U16"/>
    <mergeCell ref="C18:U18"/>
    <mergeCell ref="C19:U19"/>
    <mergeCell ref="C15:U15"/>
    <mergeCell ref="A22:B22"/>
    <mergeCell ref="C25:F25"/>
    <mergeCell ref="A1:U1"/>
    <mergeCell ref="C5:L5"/>
    <mergeCell ref="M5:U5"/>
    <mergeCell ref="C6:L6"/>
    <mergeCell ref="M6:U6"/>
    <mergeCell ref="M4:U4"/>
    <mergeCell ref="C4:L4"/>
    <mergeCell ref="C20:U20"/>
    <mergeCell ref="C7:L7"/>
    <mergeCell ref="M7:U7"/>
    <mergeCell ref="C9:U9"/>
    <mergeCell ref="C10:U10"/>
    <mergeCell ref="C11:U11"/>
    <mergeCell ref="C12:U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9ED316EB-C1C6-499C-9ADD-3706DD395591}">
          <x14:formula1>
            <xm:f>Listes!$O$7:$O$9</xm:f>
          </x14:formula1>
          <xm:sqref>B20</xm:sqref>
        </x14:dataValidation>
        <x14:dataValidation type="list" allowBlank="1" showInputMessage="1" showErrorMessage="1" xr:uid="{AFD47F25-1F73-4B05-B4F6-F0E260B65D61}">
          <x14:formula1>
            <xm:f>Listes!$O$2:$O$4</xm:f>
          </x14:formula1>
          <xm:sqref>B19</xm:sqref>
        </x14:dataValidation>
        <x14:dataValidation type="list" allowBlank="1" showInputMessage="1" showErrorMessage="1" xr:uid="{2FDCF353-1607-4DE8-B6E4-FB821AA484E7}">
          <x14:formula1>
            <xm:f>Listes!$O$12:$O$16</xm:f>
          </x14:formula1>
          <xm:sqref>B18</xm:sqref>
        </x14:dataValidation>
        <x14:dataValidation type="list" allowBlank="1" showInputMessage="1" showErrorMessage="1" xr:uid="{A610A0E7-1C30-4D4D-8A32-127FE17BD11C}">
          <x14:formula1>
            <xm:f>Listes!$A$13:$A$14</xm:f>
          </x14:formula1>
          <xm:sqref>B8</xm:sqref>
        </x14:dataValidation>
        <x14:dataValidation type="list" allowBlank="1" showInputMessage="1" showErrorMessage="1" xr:uid="{80E04DEA-B46C-428D-9824-08A05D14408E}">
          <x14:formula1>
            <xm:f>Listes!$A$7:$A$10</xm:f>
          </x14:formula1>
          <xm:sqref>B3</xm:sqref>
        </x14:dataValidation>
        <x14:dataValidation type="list" allowBlank="1" showInputMessage="1" showErrorMessage="1" xr:uid="{6FCAFEF2-3D33-45BA-A8EB-CEEF375D50FB}">
          <x14:formula1>
            <xm:f>Listes!$A$2:$A$4</xm:f>
          </x14:formula1>
          <xm:sqref>B2</xm:sqref>
        </x14:dataValidation>
        <x14:dataValidation type="list" allowBlank="1" showInputMessage="1" showErrorMessage="1" xr:uid="{3EE59CE2-B3C8-4042-BCBA-B8E65C0A0981}">
          <x14:formula1>
            <xm:f>Feuil1!$F$17:$F$34</xm:f>
          </x14:formula1>
          <xm:sqref>B24</xm:sqref>
        </x14:dataValidation>
        <x14:dataValidation type="list" allowBlank="1" showInputMessage="1" showErrorMessage="1" xr:uid="{D3D87A76-EE0E-4FF3-9E9D-09CC7B803942}">
          <x14:formula1>
            <xm:f>Feuil1!$I$17:$I$22</xm:f>
          </x14:formula1>
          <xm:sqref>B25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C1FD-1056-443B-94A1-4E53E6962A78}">
  <dimension ref="A1:I55"/>
  <sheetViews>
    <sheetView zoomScale="85" zoomScaleNormal="85" workbookViewId="0">
      <selection activeCell="F17" sqref="F17:I34"/>
    </sheetView>
  </sheetViews>
  <sheetFormatPr baseColWidth="10" defaultRowHeight="14.4"/>
  <cols>
    <col min="1" max="1" width="31" style="101" customWidth="1"/>
  </cols>
  <sheetData>
    <row r="1" spans="1:1">
      <c r="A1" s="101" t="s">
        <v>254</v>
      </c>
    </row>
    <row r="2" spans="1:1">
      <c r="A2" s="101" t="s">
        <v>255</v>
      </c>
    </row>
    <row r="3" spans="1:1">
      <c r="A3" s="101" t="s">
        <v>256</v>
      </c>
    </row>
    <row r="4" spans="1:1">
      <c r="A4" s="101" t="s">
        <v>258</v>
      </c>
    </row>
    <row r="5" spans="1:1">
      <c r="A5" s="101" t="s">
        <v>259</v>
      </c>
    </row>
    <row r="6" spans="1:1">
      <c r="A6" s="101" t="s">
        <v>260</v>
      </c>
    </row>
    <row r="7" spans="1:1">
      <c r="A7" s="101" t="s">
        <v>261</v>
      </c>
    </row>
    <row r="8" spans="1:1">
      <c r="A8" s="101" t="s">
        <v>262</v>
      </c>
    </row>
    <row r="9" spans="1:1">
      <c r="A9" s="101" t="s">
        <v>232</v>
      </c>
    </row>
    <row r="10" spans="1:1">
      <c r="A10" s="101" t="s">
        <v>234</v>
      </c>
    </row>
    <row r="11" spans="1:1">
      <c r="A11" s="101" t="s">
        <v>235</v>
      </c>
    </row>
    <row r="12" spans="1:1">
      <c r="A12" s="101" t="s">
        <v>239</v>
      </c>
    </row>
    <row r="13" spans="1:1">
      <c r="A13" s="101" t="s">
        <v>240</v>
      </c>
    </row>
    <row r="14" spans="1:1">
      <c r="A14" s="101" t="s">
        <v>241</v>
      </c>
    </row>
    <row r="15" spans="1:1">
      <c r="A15" s="101" t="s">
        <v>243</v>
      </c>
    </row>
    <row r="16" spans="1:1">
      <c r="A16" s="101" t="s">
        <v>248</v>
      </c>
    </row>
    <row r="17" spans="1:9">
      <c r="A17" s="101" t="s">
        <v>249</v>
      </c>
      <c r="F17" t="s">
        <v>391</v>
      </c>
      <c r="I17" t="s">
        <v>392</v>
      </c>
    </row>
    <row r="18" spans="1:9">
      <c r="A18" s="101" t="s">
        <v>251</v>
      </c>
      <c r="F18" t="s">
        <v>393</v>
      </c>
      <c r="I18" t="s">
        <v>394</v>
      </c>
    </row>
    <row r="19" spans="1:9">
      <c r="A19" s="101" t="s">
        <v>252</v>
      </c>
      <c r="F19" t="s">
        <v>395</v>
      </c>
      <c r="I19" t="s">
        <v>396</v>
      </c>
    </row>
    <row r="20" spans="1:9">
      <c r="A20" s="101" t="s">
        <v>250</v>
      </c>
      <c r="F20" t="s">
        <v>397</v>
      </c>
      <c r="I20" t="s">
        <v>398</v>
      </c>
    </row>
    <row r="21" spans="1:9">
      <c r="F21" t="s">
        <v>399</v>
      </c>
      <c r="I21" t="s">
        <v>400</v>
      </c>
    </row>
    <row r="22" spans="1:9" ht="15" thickBot="1">
      <c r="A22" s="101" t="s">
        <v>315</v>
      </c>
      <c r="F22" t="s">
        <v>401</v>
      </c>
      <c r="I22" t="s">
        <v>402</v>
      </c>
    </row>
    <row r="23" spans="1:9" ht="19.2">
      <c r="A23" s="234"/>
      <c r="B23" s="227" t="s">
        <v>288</v>
      </c>
      <c r="C23" s="229" t="s">
        <v>288</v>
      </c>
      <c r="F23" t="s">
        <v>403</v>
      </c>
    </row>
    <row r="24" spans="1:9" ht="30.6" thickBot="1">
      <c r="A24" s="235" t="s">
        <v>287</v>
      </c>
      <c r="B24" s="228" t="s">
        <v>289</v>
      </c>
      <c r="C24" s="230" t="s">
        <v>290</v>
      </c>
      <c r="F24" t="s">
        <v>404</v>
      </c>
    </row>
    <row r="25" spans="1:9" ht="15" thickBot="1">
      <c r="A25" s="236" t="s">
        <v>291</v>
      </c>
      <c r="B25" s="232">
        <v>9.6</v>
      </c>
      <c r="C25" s="233">
        <v>9.6</v>
      </c>
      <c r="F25" t="s">
        <v>405</v>
      </c>
    </row>
    <row r="26" spans="1:9" ht="15" thickBot="1">
      <c r="A26" s="236" t="s">
        <v>292</v>
      </c>
      <c r="B26" s="232">
        <v>25.5</v>
      </c>
      <c r="C26" s="233">
        <v>25.5</v>
      </c>
      <c r="F26" t="s">
        <v>406</v>
      </c>
    </row>
    <row r="27" spans="1:9" ht="28.2" thickBot="1">
      <c r="A27" s="236" t="s">
        <v>293</v>
      </c>
      <c r="B27" s="232">
        <v>27</v>
      </c>
      <c r="C27" s="233">
        <v>27</v>
      </c>
      <c r="F27" t="s">
        <v>407</v>
      </c>
    </row>
    <row r="28" spans="1:9" ht="15" thickBot="1">
      <c r="A28" s="236" t="s">
        <v>294</v>
      </c>
      <c r="B28" s="232">
        <v>17.100000000000001</v>
      </c>
      <c r="C28" s="233">
        <v>17.100000000000001</v>
      </c>
      <c r="F28" t="s">
        <v>408</v>
      </c>
    </row>
    <row r="29" spans="1:9" ht="22.2" thickBot="1">
      <c r="A29" s="237" t="s">
        <v>295</v>
      </c>
      <c r="B29" s="400" t="s">
        <v>296</v>
      </c>
      <c r="C29" s="401"/>
      <c r="F29" t="s">
        <v>409</v>
      </c>
    </row>
    <row r="30" spans="1:9" ht="22.2" thickBot="1">
      <c r="A30" s="231" t="s">
        <v>297</v>
      </c>
      <c r="B30" s="400" t="s">
        <v>296</v>
      </c>
      <c r="C30" s="401"/>
      <c r="F30" t="s">
        <v>410</v>
      </c>
    </row>
    <row r="31" spans="1:9" ht="15" thickBot="1">
      <c r="A31" s="231" t="s">
        <v>298</v>
      </c>
      <c r="B31" s="232">
        <v>32</v>
      </c>
      <c r="C31" s="233">
        <v>32</v>
      </c>
      <c r="F31" t="s">
        <v>411</v>
      </c>
    </row>
    <row r="32" spans="1:9" ht="15" thickBot="1">
      <c r="A32" s="231" t="s">
        <v>299</v>
      </c>
      <c r="B32" s="232">
        <v>26.1</v>
      </c>
      <c r="C32" s="233">
        <v>26.1</v>
      </c>
      <c r="F32" t="s">
        <v>412</v>
      </c>
    </row>
    <row r="33" spans="1:6" ht="15" thickBot="1">
      <c r="A33" s="231" t="s">
        <v>300</v>
      </c>
      <c r="B33" s="232">
        <v>21.2</v>
      </c>
      <c r="C33" s="233">
        <v>21.2</v>
      </c>
      <c r="F33" t="s">
        <v>413</v>
      </c>
    </row>
    <row r="34" spans="1:6">
      <c r="A34" s="240"/>
      <c r="B34" s="240"/>
      <c r="C34" s="238"/>
      <c r="F34" t="s">
        <v>414</v>
      </c>
    </row>
    <row r="35" spans="1:6">
      <c r="A35" s="241"/>
      <c r="B35" s="241"/>
      <c r="C35" s="239"/>
    </row>
    <row r="36" spans="1:6" ht="15" thickBot="1">
      <c r="A36" s="231" t="s">
        <v>301</v>
      </c>
      <c r="B36" s="232">
        <v>26</v>
      </c>
      <c r="C36" s="233">
        <v>26</v>
      </c>
    </row>
    <row r="37" spans="1:6">
      <c r="A37" s="240"/>
      <c r="B37" s="240"/>
      <c r="C37" s="238"/>
    </row>
    <row r="38" spans="1:6">
      <c r="A38" s="241"/>
      <c r="B38" s="241"/>
      <c r="C38" s="239"/>
    </row>
    <row r="39" spans="1:6" ht="15" thickBot="1">
      <c r="A39" s="231" t="s">
        <v>302</v>
      </c>
      <c r="B39" s="232">
        <v>0</v>
      </c>
      <c r="C39" s="233">
        <v>0</v>
      </c>
    </row>
    <row r="40" spans="1:6" ht="22.2" thickBot="1">
      <c r="A40" s="231" t="s">
        <v>303</v>
      </c>
      <c r="B40" s="232">
        <v>0</v>
      </c>
      <c r="C40" s="233">
        <v>0</v>
      </c>
    </row>
    <row r="41" spans="1:6" ht="15" thickBot="1">
      <c r="A41" s="231" t="s">
        <v>304</v>
      </c>
      <c r="B41" s="232">
        <v>33.4</v>
      </c>
      <c r="C41" s="233">
        <v>33.4</v>
      </c>
    </row>
    <row r="42" spans="1:6" ht="15" thickBot="1">
      <c r="A42" s="231" t="s">
        <v>305</v>
      </c>
      <c r="B42" s="232">
        <v>26.9</v>
      </c>
      <c r="C42" s="233">
        <v>26.9</v>
      </c>
    </row>
    <row r="43" spans="1:6" ht="15" thickBot="1">
      <c r="A43" s="231" t="s">
        <v>306</v>
      </c>
      <c r="B43" s="232">
        <v>22.1</v>
      </c>
      <c r="C43" s="233">
        <v>22.1</v>
      </c>
    </row>
    <row r="44" spans="1:6">
      <c r="A44" s="240"/>
      <c r="B44" s="240"/>
      <c r="C44" s="238"/>
    </row>
    <row r="45" spans="1:6">
      <c r="A45" s="241"/>
      <c r="B45" s="241"/>
      <c r="C45" s="239"/>
    </row>
    <row r="46" spans="1:6" ht="15" thickBot="1">
      <c r="A46" s="231" t="s">
        <v>307</v>
      </c>
      <c r="B46" s="232">
        <v>27.3</v>
      </c>
      <c r="C46" s="233">
        <v>27.3</v>
      </c>
    </row>
    <row r="47" spans="1:6">
      <c r="A47" s="240"/>
      <c r="B47" s="240"/>
      <c r="C47" s="238"/>
    </row>
    <row r="48" spans="1:6">
      <c r="A48" s="241"/>
      <c r="B48" s="241"/>
      <c r="C48" s="239"/>
    </row>
    <row r="49" spans="1:3" ht="22.2" thickBot="1">
      <c r="A49" s="231" t="s">
        <v>308</v>
      </c>
      <c r="B49" s="232">
        <v>0</v>
      </c>
      <c r="C49" s="233">
        <v>0</v>
      </c>
    </row>
    <row r="50" spans="1:3" ht="22.2" thickBot="1">
      <c r="A50" s="231" t="s">
        <v>309</v>
      </c>
      <c r="B50" s="232">
        <v>0</v>
      </c>
      <c r="C50" s="233">
        <v>0</v>
      </c>
    </row>
    <row r="51" spans="1:3" ht="15" thickBot="1">
      <c r="A51" s="231" t="s">
        <v>310</v>
      </c>
      <c r="B51" s="232">
        <v>33.4</v>
      </c>
      <c r="C51" s="233">
        <v>33.4</v>
      </c>
    </row>
    <row r="52" spans="1:3" ht="15" thickBot="1">
      <c r="A52" s="231" t="s">
        <v>311</v>
      </c>
      <c r="B52" s="232">
        <v>27.2</v>
      </c>
      <c r="C52" s="233">
        <v>27.2</v>
      </c>
    </row>
    <row r="53" spans="1:3" ht="15" thickBot="1">
      <c r="A53" s="231" t="s">
        <v>312</v>
      </c>
      <c r="B53" s="232">
        <v>22.2</v>
      </c>
      <c r="C53" s="233">
        <v>22.2</v>
      </c>
    </row>
    <row r="54" spans="1:3" ht="15" thickBot="1">
      <c r="A54" s="231" t="s">
        <v>313</v>
      </c>
      <c r="B54" s="232">
        <v>27.1</v>
      </c>
      <c r="C54" s="233">
        <v>27.1</v>
      </c>
    </row>
    <row r="55" spans="1:3" ht="15" thickBot="1">
      <c r="A55" s="231" t="s">
        <v>314</v>
      </c>
      <c r="B55" s="232">
        <v>0</v>
      </c>
      <c r="C55" s="233">
        <v>0</v>
      </c>
    </row>
  </sheetData>
  <mergeCells count="2">
    <mergeCell ref="B29:C29"/>
    <mergeCell ref="B30:C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9E965-F759-4CDB-91F8-0E296DBCA6A5}">
  <dimension ref="C2:E59"/>
  <sheetViews>
    <sheetView workbookViewId="0">
      <selection activeCell="C14" sqref="C14"/>
    </sheetView>
  </sheetViews>
  <sheetFormatPr baseColWidth="10" defaultRowHeight="14.4"/>
  <sheetData>
    <row r="2" spans="3:5">
      <c r="C2" t="s">
        <v>380</v>
      </c>
      <c r="D2" t="s">
        <v>379</v>
      </c>
      <c r="E2" t="s">
        <v>381</v>
      </c>
    </row>
    <row r="3" spans="3:5">
      <c r="C3" t="str">
        <f>'1. Déclaration'!C132</f>
        <v/>
      </c>
      <c r="D3">
        <f>'1. Déclaration'!A132</f>
        <v>0</v>
      </c>
      <c r="E3">
        <f>'1. Déclaration'!E132</f>
        <v>0</v>
      </c>
    </row>
    <row r="4" spans="3:5">
      <c r="C4" t="str">
        <f>'1. Déclaration'!C133</f>
        <v/>
      </c>
      <c r="D4">
        <f>'1. Déclaration'!A133</f>
        <v>0</v>
      </c>
      <c r="E4">
        <f>'1. Déclaration'!E133</f>
        <v>0</v>
      </c>
    </row>
    <row r="5" spans="3:5">
      <c r="C5" t="str">
        <f>'1. Déclaration'!C134</f>
        <v/>
      </c>
      <c r="D5">
        <f>'1. Déclaration'!A134</f>
        <v>0</v>
      </c>
      <c r="E5">
        <f>'1. Déclaration'!E134</f>
        <v>0</v>
      </c>
    </row>
    <row r="6" spans="3:5">
      <c r="C6" t="str">
        <f>'1. Déclaration'!C135</f>
        <v/>
      </c>
      <c r="D6">
        <f>'1. Déclaration'!A135</f>
        <v>0</v>
      </c>
      <c r="E6">
        <f>'1. Déclaration'!E135</f>
        <v>0</v>
      </c>
    </row>
    <row r="7" spans="3:5">
      <c r="C7" t="str">
        <f>'1. Déclaration'!C136</f>
        <v/>
      </c>
      <c r="D7">
        <f>'1. Déclaration'!A136</f>
        <v>0</v>
      </c>
      <c r="E7">
        <f>'1. Déclaration'!E136</f>
        <v>0</v>
      </c>
    </row>
    <row r="8" spans="3:5">
      <c r="C8" t="str">
        <f>'1. Déclaration'!C137</f>
        <v/>
      </c>
      <c r="D8">
        <f>'1. Déclaration'!A137</f>
        <v>0</v>
      </c>
      <c r="E8">
        <f>'1. Déclaration'!E137</f>
        <v>0</v>
      </c>
    </row>
    <row r="9" spans="3:5">
      <c r="C9" t="str">
        <f>'1. Déclaration'!C138</f>
        <v/>
      </c>
      <c r="D9">
        <f>'1. Déclaration'!A138</f>
        <v>0</v>
      </c>
      <c r="E9">
        <f>'1. Déclaration'!E138</f>
        <v>0</v>
      </c>
    </row>
    <row r="10" spans="3:5">
      <c r="C10">
        <f>'1. Déclaration'!C139</f>
        <v>0</v>
      </c>
      <c r="D10">
        <f>'1. Déclaration'!A139</f>
        <v>0</v>
      </c>
      <c r="E10">
        <f>'1. Déclaration'!E139</f>
        <v>0</v>
      </c>
    </row>
    <row r="11" spans="3:5">
      <c r="C11">
        <f>'1. Déclaration'!C140</f>
        <v>0</v>
      </c>
      <c r="D11">
        <f>'1. Déclaration'!A140</f>
        <v>0</v>
      </c>
      <c r="E11" t="str">
        <f>'1. Déclaration'!E140</f>
        <v/>
      </c>
    </row>
    <row r="12" spans="3:5">
      <c r="C12">
        <f>'1. Déclaration'!C141</f>
        <v>0</v>
      </c>
      <c r="D12">
        <f>'1. Déclaration'!A141</f>
        <v>0</v>
      </c>
      <c r="E12" t="str">
        <f>'1. Déclaration'!E141</f>
        <v/>
      </c>
    </row>
    <row r="13" spans="3:5">
      <c r="C13">
        <f>'1. Déclaration'!C142</f>
        <v>0</v>
      </c>
      <c r="D13">
        <f>'1. Déclaration'!A142</f>
        <v>0</v>
      </c>
      <c r="E13">
        <f>'1. Déclaration'!E142</f>
        <v>0</v>
      </c>
    </row>
    <row r="14" spans="3:5">
      <c r="C14">
        <f>'1. Déclaration'!C143</f>
        <v>0</v>
      </c>
      <c r="D14">
        <f>'1. Déclaration'!A143</f>
        <v>0</v>
      </c>
      <c r="E14">
        <f>'1. Déclaration'!E143</f>
        <v>0</v>
      </c>
    </row>
    <row r="15" spans="3:5">
      <c r="C15">
        <f>'1. Déclaration'!C144</f>
        <v>0</v>
      </c>
      <c r="D15">
        <f>'1. Déclaration'!A144</f>
        <v>0</v>
      </c>
      <c r="E15">
        <f>'1. Déclaration'!E144</f>
        <v>0</v>
      </c>
    </row>
    <row r="16" spans="3:5">
      <c r="C16">
        <f>'1. Déclaration'!C145</f>
        <v>0</v>
      </c>
      <c r="D16">
        <f>'1. Déclaration'!A145</f>
        <v>0</v>
      </c>
      <c r="E16">
        <f>'1. Déclaration'!E145</f>
        <v>0</v>
      </c>
    </row>
    <row r="17" spans="3:5">
      <c r="C17">
        <f>'1. Déclaration'!C146</f>
        <v>0</v>
      </c>
      <c r="D17">
        <f>'1. Déclaration'!A146</f>
        <v>0</v>
      </c>
      <c r="E17">
        <f>'1. Déclaration'!E146</f>
        <v>0</v>
      </c>
    </row>
    <row r="18" spans="3:5">
      <c r="C18">
        <f>'1. Déclaration'!C147</f>
        <v>0</v>
      </c>
      <c r="D18">
        <f>'1. Déclaration'!A147</f>
        <v>0</v>
      </c>
      <c r="E18">
        <f>'1. Déclaration'!E147</f>
        <v>0</v>
      </c>
    </row>
    <row r="19" spans="3:5">
      <c r="C19">
        <f>'1. Déclaration'!C148</f>
        <v>0</v>
      </c>
      <c r="D19">
        <f>'1. Déclaration'!A148</f>
        <v>0</v>
      </c>
      <c r="E19">
        <f>'1. Déclaration'!E148</f>
        <v>0</v>
      </c>
    </row>
    <row r="20" spans="3:5">
      <c r="C20">
        <f>'1. Déclaration'!C149</f>
        <v>0</v>
      </c>
      <c r="D20">
        <f>'1. Déclaration'!A149</f>
        <v>0</v>
      </c>
      <c r="E20">
        <f>'1. Déclaration'!E149</f>
        <v>0</v>
      </c>
    </row>
    <row r="21" spans="3:5">
      <c r="C21">
        <f>'1. Déclaration'!C150</f>
        <v>0</v>
      </c>
      <c r="D21">
        <f>'1. Déclaration'!A150</f>
        <v>0</v>
      </c>
      <c r="E21">
        <f>'1. Déclaration'!E150</f>
        <v>0</v>
      </c>
    </row>
    <row r="22" spans="3:5">
      <c r="C22">
        <f>'1. Déclaration'!C151</f>
        <v>0</v>
      </c>
      <c r="D22">
        <f>'1. Déclaration'!A151</f>
        <v>0</v>
      </c>
      <c r="E22">
        <f>'1. Déclaration'!E151</f>
        <v>0</v>
      </c>
    </row>
    <row r="23" spans="3:5">
      <c r="C23">
        <f>'1. Déclaration'!C152</f>
        <v>0</v>
      </c>
      <c r="D23">
        <f>'1. Déclaration'!A152</f>
        <v>0</v>
      </c>
      <c r="E23">
        <f>'1. Déclaration'!E152</f>
        <v>0</v>
      </c>
    </row>
    <row r="24" spans="3:5">
      <c r="C24">
        <f>'1. Déclaration'!C153</f>
        <v>0</v>
      </c>
      <c r="D24">
        <f>'1. Déclaration'!A153</f>
        <v>0</v>
      </c>
      <c r="E24">
        <f>'1. Déclaration'!E153</f>
        <v>0</v>
      </c>
    </row>
    <row r="25" spans="3:5">
      <c r="C25">
        <f>'1. Déclaration'!C154</f>
        <v>0</v>
      </c>
      <c r="D25">
        <f>'1. Déclaration'!A154</f>
        <v>0</v>
      </c>
      <c r="E25">
        <f>'1. Déclaration'!E154</f>
        <v>0</v>
      </c>
    </row>
    <row r="26" spans="3:5">
      <c r="C26">
        <f>'1. Déclaration'!C155</f>
        <v>0</v>
      </c>
      <c r="D26">
        <f>'1. Déclaration'!A155</f>
        <v>0</v>
      </c>
      <c r="E26">
        <f>'1. Déclaration'!E155</f>
        <v>0</v>
      </c>
    </row>
    <row r="27" spans="3:5">
      <c r="C27">
        <f>'1. Déclaration'!C156</f>
        <v>0</v>
      </c>
      <c r="D27">
        <f>'1. Déclaration'!A156</f>
        <v>0</v>
      </c>
      <c r="E27">
        <f>'1. Déclaration'!E156</f>
        <v>0</v>
      </c>
    </row>
    <row r="28" spans="3:5">
      <c r="C28">
        <f>'1. Déclaration'!C157</f>
        <v>0</v>
      </c>
      <c r="D28">
        <f>'1. Déclaration'!A157</f>
        <v>0</v>
      </c>
      <c r="E28">
        <f>'1. Déclaration'!E157</f>
        <v>0</v>
      </c>
    </row>
    <row r="29" spans="3:5">
      <c r="C29">
        <f>'1. Déclaration'!C158</f>
        <v>0</v>
      </c>
      <c r="D29">
        <f>'1. Déclaration'!A158</f>
        <v>0</v>
      </c>
      <c r="E29">
        <f>'1. Déclaration'!E158</f>
        <v>0</v>
      </c>
    </row>
    <row r="30" spans="3:5">
      <c r="C30">
        <f>'1. Déclaration'!C159</f>
        <v>0</v>
      </c>
      <c r="D30">
        <f>'1. Déclaration'!A159</f>
        <v>0</v>
      </c>
      <c r="E30">
        <f>'1. Déclaration'!E159</f>
        <v>0</v>
      </c>
    </row>
    <row r="31" spans="3:5">
      <c r="C31">
        <f>'1. Déclaration'!C160</f>
        <v>0</v>
      </c>
      <c r="D31">
        <f>'1. Déclaration'!A160</f>
        <v>0</v>
      </c>
      <c r="E31">
        <f>'1. Déclaration'!E160</f>
        <v>0</v>
      </c>
    </row>
    <row r="32" spans="3:5">
      <c r="C32">
        <f>'1. Déclaration'!C161</f>
        <v>0</v>
      </c>
      <c r="D32">
        <f>'1. Déclaration'!A161</f>
        <v>0</v>
      </c>
      <c r="E32">
        <f>'1. Déclaration'!E161</f>
        <v>0</v>
      </c>
    </row>
    <row r="33" spans="3:5">
      <c r="C33">
        <f>'1. Déclaration'!C162</f>
        <v>0</v>
      </c>
      <c r="D33">
        <f>'1. Déclaration'!A162</f>
        <v>0</v>
      </c>
      <c r="E33">
        <f>'1. Déclaration'!E162</f>
        <v>0</v>
      </c>
    </row>
    <row r="34" spans="3:5">
      <c r="C34">
        <f>'1. Déclaration'!C163</f>
        <v>0</v>
      </c>
      <c r="D34">
        <f>'1. Déclaration'!A163</f>
        <v>0</v>
      </c>
      <c r="E34">
        <f>'1. Déclaration'!E163</f>
        <v>0</v>
      </c>
    </row>
    <row r="35" spans="3:5">
      <c r="C35">
        <f>'1. Déclaration'!C164</f>
        <v>0</v>
      </c>
      <c r="D35">
        <f>'1. Déclaration'!A164</f>
        <v>0</v>
      </c>
      <c r="E35">
        <f>'1. Déclaration'!E164</f>
        <v>0</v>
      </c>
    </row>
    <row r="36" spans="3:5">
      <c r="C36">
        <f>'1. Déclaration'!C165</f>
        <v>0</v>
      </c>
      <c r="D36">
        <f>'1. Déclaration'!A165</f>
        <v>0</v>
      </c>
      <c r="E36">
        <f>'1. Déclaration'!E165</f>
        <v>0</v>
      </c>
    </row>
    <row r="37" spans="3:5">
      <c r="C37">
        <f>'1. Déclaration'!C166</f>
        <v>0</v>
      </c>
      <c r="D37">
        <f>'1. Déclaration'!A166</f>
        <v>0</v>
      </c>
      <c r="E37">
        <f>'1. Déclaration'!E166</f>
        <v>0</v>
      </c>
    </row>
    <row r="38" spans="3:5">
      <c r="C38">
        <f>'1. Déclaration'!C167</f>
        <v>0</v>
      </c>
      <c r="D38">
        <f>'1. Déclaration'!A167</f>
        <v>0</v>
      </c>
      <c r="E38">
        <f>'1. Déclaration'!E167</f>
        <v>0</v>
      </c>
    </row>
    <row r="39" spans="3:5">
      <c r="C39">
        <f>'1. Déclaration'!C168</f>
        <v>0</v>
      </c>
      <c r="D39">
        <f>'1. Déclaration'!A168</f>
        <v>0</v>
      </c>
      <c r="E39">
        <f>'1. Déclaration'!E168</f>
        <v>0</v>
      </c>
    </row>
    <row r="40" spans="3:5">
      <c r="C40">
        <f>'1. Déclaration'!C169</f>
        <v>0</v>
      </c>
      <c r="D40">
        <f>'1. Déclaration'!A169</f>
        <v>0</v>
      </c>
      <c r="E40" t="str">
        <f>'1. Déclaration'!E169</f>
        <v/>
      </c>
    </row>
    <row r="41" spans="3:5">
      <c r="C41">
        <f>'1. Déclaration'!C170</f>
        <v>0</v>
      </c>
      <c r="D41">
        <f>'1. Déclaration'!A170</f>
        <v>0</v>
      </c>
      <c r="E41" t="str">
        <f>'1. Déclaration'!E170</f>
        <v/>
      </c>
    </row>
    <row r="42" spans="3:5">
      <c r="C42">
        <f>'1. Déclaration'!C171</f>
        <v>0</v>
      </c>
      <c r="D42">
        <f>'1. Déclaration'!A171</f>
        <v>0</v>
      </c>
      <c r="E42" t="str">
        <f>'1. Déclaration'!E171</f>
        <v/>
      </c>
    </row>
    <row r="43" spans="3:5">
      <c r="C43">
        <f>'1. Déclaration'!C172</f>
        <v>0</v>
      </c>
      <c r="D43">
        <f>'1. Déclaration'!A172</f>
        <v>0</v>
      </c>
      <c r="E43" t="str">
        <f>'1. Déclaration'!E172</f>
        <v/>
      </c>
    </row>
    <row r="44" spans="3:5">
      <c r="C44">
        <f>'1. Déclaration'!C173</f>
        <v>0</v>
      </c>
      <c r="D44">
        <f>'1. Déclaration'!A173</f>
        <v>0</v>
      </c>
      <c r="E44" t="str">
        <f>'1. Déclaration'!E173</f>
        <v/>
      </c>
    </row>
    <row r="45" spans="3:5">
      <c r="C45">
        <f>'1. Déclaration'!C174</f>
        <v>0</v>
      </c>
      <c r="D45">
        <f>'1. Déclaration'!A174</f>
        <v>0</v>
      </c>
      <c r="E45" t="str">
        <f>'1. Déclaration'!E174</f>
        <v/>
      </c>
    </row>
    <row r="46" spans="3:5">
      <c r="C46">
        <f>'1. Déclaration'!C175</f>
        <v>0</v>
      </c>
      <c r="D46">
        <f>'1. Déclaration'!A175</f>
        <v>0</v>
      </c>
      <c r="E46" t="str">
        <f>'1. Déclaration'!E175</f>
        <v/>
      </c>
    </row>
    <row r="47" spans="3:5">
      <c r="C47">
        <f>'1. Déclaration'!C176</f>
        <v>0</v>
      </c>
      <c r="D47">
        <f>'1. Déclaration'!A176</f>
        <v>0</v>
      </c>
      <c r="E47" t="str">
        <f>'1. Déclaration'!E176</f>
        <v/>
      </c>
    </row>
    <row r="48" spans="3:5">
      <c r="C48">
        <f>'1. Déclaration'!C177</f>
        <v>0</v>
      </c>
      <c r="D48">
        <f>'1. Déclaration'!A177</f>
        <v>0</v>
      </c>
      <c r="E48" t="str">
        <f>'1. Déclaration'!E177</f>
        <v/>
      </c>
    </row>
    <row r="49" spans="3:5">
      <c r="C49">
        <f>'1. Déclaration'!C178</f>
        <v>0</v>
      </c>
      <c r="D49">
        <f>'1. Déclaration'!A178</f>
        <v>0</v>
      </c>
      <c r="E49" t="str">
        <f>'1. Déclaration'!E178</f>
        <v/>
      </c>
    </row>
    <row r="50" spans="3:5">
      <c r="C50">
        <f>'1. Déclaration'!C179</f>
        <v>0</v>
      </c>
      <c r="D50">
        <f>'1. Déclaration'!A179</f>
        <v>0</v>
      </c>
      <c r="E50" t="str">
        <f>'1. Déclaration'!E179</f>
        <v/>
      </c>
    </row>
    <row r="51" spans="3:5">
      <c r="C51">
        <f>'1. Déclaration'!C180</f>
        <v>0</v>
      </c>
      <c r="D51">
        <f>'1. Déclaration'!A180</f>
        <v>0</v>
      </c>
      <c r="E51" t="str">
        <f>'1. Déclaration'!E180</f>
        <v/>
      </c>
    </row>
    <row r="52" spans="3:5">
      <c r="C52">
        <f>'1. Déclaration'!C181</f>
        <v>0</v>
      </c>
      <c r="D52">
        <f>'1. Déclaration'!A181</f>
        <v>0</v>
      </c>
      <c r="E52" t="str">
        <f>'1. Déclaration'!E181</f>
        <v/>
      </c>
    </row>
    <row r="53" spans="3:5">
      <c r="C53">
        <f>'1. Déclaration'!C182</f>
        <v>0</v>
      </c>
      <c r="D53">
        <f>'1. Déclaration'!A182</f>
        <v>0</v>
      </c>
      <c r="E53" t="str">
        <f>'1. Déclaration'!E182</f>
        <v/>
      </c>
    </row>
    <row r="54" spans="3:5">
      <c r="C54">
        <f>'1. Déclaration'!C183</f>
        <v>0</v>
      </c>
      <c r="D54">
        <f>'1. Déclaration'!A183</f>
        <v>0</v>
      </c>
      <c r="E54" t="str">
        <f>'1. Déclaration'!E183</f>
        <v/>
      </c>
    </row>
    <row r="55" spans="3:5">
      <c r="C55">
        <f>'1. Déclaration'!C184</f>
        <v>0</v>
      </c>
      <c r="D55">
        <f>'1. Déclaration'!A184</f>
        <v>0</v>
      </c>
      <c r="E55" t="str">
        <f>'1. Déclaration'!E184</f>
        <v/>
      </c>
    </row>
    <row r="56" spans="3:5">
      <c r="C56">
        <f>'1. Déclaration'!C185</f>
        <v>0</v>
      </c>
      <c r="D56">
        <f>'1. Déclaration'!A185</f>
        <v>0</v>
      </c>
      <c r="E56" t="str">
        <f>'1. Déclaration'!E185</f>
        <v/>
      </c>
    </row>
    <row r="57" spans="3:5">
      <c r="C57">
        <f>'1. Déclaration'!C186</f>
        <v>0</v>
      </c>
      <c r="D57">
        <f>'1. Déclaration'!A186</f>
        <v>0</v>
      </c>
      <c r="E57" t="str">
        <f>'1. Déclaration'!E186</f>
        <v/>
      </c>
    </row>
    <row r="58" spans="3:5">
      <c r="C58">
        <f>'1. Déclaration'!C187</f>
        <v>0</v>
      </c>
      <c r="D58">
        <f>'1. Déclaration'!A187</f>
        <v>0</v>
      </c>
      <c r="E58" t="str">
        <f>'1. Déclaration'!E187</f>
        <v/>
      </c>
    </row>
    <row r="59" spans="3:5">
      <c r="C59">
        <f>'1. Déclaration'!C188</f>
        <v>0</v>
      </c>
      <c r="D59">
        <f>'1. Déclaration'!A188</f>
        <v>0</v>
      </c>
      <c r="E59" t="str">
        <f>'1. Déclaration'!E188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1"/>
  <sheetViews>
    <sheetView topLeftCell="A116" zoomScale="85" zoomScaleNormal="85" workbookViewId="0">
      <selection activeCell="C131" sqref="C131"/>
    </sheetView>
  </sheetViews>
  <sheetFormatPr baseColWidth="10" defaultColWidth="9.109375" defaultRowHeight="14.4"/>
  <cols>
    <col min="1" max="1" width="42.109375" style="101" customWidth="1"/>
    <col min="2" max="2" width="34.6640625" customWidth="1"/>
    <col min="3" max="3" width="21.21875" customWidth="1"/>
    <col min="4" max="4" width="17.44140625" customWidth="1"/>
    <col min="5" max="5" width="16.6640625" customWidth="1"/>
    <col min="6" max="10" width="10" customWidth="1"/>
    <col min="11" max="11" width="21.5546875" customWidth="1"/>
    <col min="12" max="12" width="17.33203125" customWidth="1"/>
    <col min="13" max="13" width="26.33203125" customWidth="1"/>
    <col min="14" max="14" width="30.109375" customWidth="1"/>
    <col min="15" max="17" width="14.88671875" customWidth="1"/>
    <col min="18" max="18" width="19.88671875" customWidth="1"/>
    <col min="19" max="20" width="14.88671875" customWidth="1"/>
    <col min="21" max="21" width="26.44140625" customWidth="1"/>
    <col min="22" max="22" width="57.6640625" customWidth="1"/>
    <col min="23" max="23" width="24.5546875" customWidth="1"/>
    <col min="24" max="24" width="11.88671875" customWidth="1"/>
  </cols>
  <sheetData>
    <row r="1" spans="1:23" ht="40.5" customHeight="1" thickBot="1">
      <c r="A1" s="325" t="s">
        <v>335</v>
      </c>
      <c r="B1" s="307"/>
      <c r="C1" s="307"/>
      <c r="D1" s="307"/>
      <c r="E1" s="307"/>
      <c r="F1" s="307"/>
      <c r="G1" s="307"/>
      <c r="H1" s="307"/>
      <c r="I1" s="307"/>
      <c r="J1" s="307"/>
      <c r="K1" s="307"/>
      <c r="L1" s="307"/>
      <c r="M1" s="307"/>
      <c r="N1" s="307"/>
      <c r="O1" s="307"/>
      <c r="P1" s="307"/>
      <c r="Q1" s="307"/>
      <c r="R1" s="307"/>
      <c r="S1" s="307"/>
      <c r="T1" s="307"/>
      <c r="U1" s="308"/>
    </row>
    <row r="2" spans="1:23" ht="15" thickBot="1">
      <c r="A2" s="103"/>
    </row>
    <row r="3" spans="1:23" ht="56.25" customHeight="1" thickBot="1">
      <c r="A3" s="325" t="s">
        <v>336</v>
      </c>
      <c r="B3" s="307"/>
      <c r="C3" s="307"/>
      <c r="D3" s="307"/>
      <c r="E3" s="307"/>
      <c r="F3" s="307"/>
      <c r="G3" s="307"/>
      <c r="H3" s="307"/>
      <c r="I3" s="307"/>
      <c r="J3" s="307"/>
      <c r="K3" s="307"/>
      <c r="L3" s="307"/>
      <c r="M3" s="307"/>
      <c r="N3" s="307"/>
      <c r="O3" s="307"/>
      <c r="P3" s="307"/>
      <c r="Q3" s="307"/>
      <c r="R3" s="307"/>
      <c r="S3" s="307"/>
      <c r="T3" s="307"/>
      <c r="U3" s="308"/>
    </row>
    <row r="4" spans="1:23" ht="59.25" customHeight="1" thickBot="1">
      <c r="A4" s="243" t="s">
        <v>67</v>
      </c>
      <c r="B4" s="243"/>
      <c r="C4" s="244" t="s">
        <v>280</v>
      </c>
      <c r="D4" s="243" t="s">
        <v>18</v>
      </c>
      <c r="E4" s="245" t="s">
        <v>19</v>
      </c>
      <c r="F4" s="331" t="s">
        <v>317</v>
      </c>
      <c r="G4" s="331"/>
      <c r="H4" s="332"/>
      <c r="I4" s="332"/>
      <c r="J4" s="332"/>
      <c r="K4" s="332"/>
      <c r="L4" s="332"/>
      <c r="M4" s="6" t="s">
        <v>318</v>
      </c>
      <c r="N4" s="6" t="s">
        <v>22</v>
      </c>
      <c r="O4" s="329" t="s">
        <v>20</v>
      </c>
      <c r="P4" s="330"/>
      <c r="Q4" s="329" t="s">
        <v>227</v>
      </c>
      <c r="R4" s="330"/>
      <c r="S4" s="246"/>
      <c r="T4" s="246"/>
      <c r="U4" s="243" t="s">
        <v>21</v>
      </c>
      <c r="V4" s="6" t="s">
        <v>23</v>
      </c>
      <c r="W4" s="116" t="s">
        <v>225</v>
      </c>
    </row>
    <row r="5" spans="1:23" ht="63" customHeight="1">
      <c r="A5" s="26"/>
      <c r="B5" s="7"/>
      <c r="C5" s="2"/>
      <c r="D5" s="2"/>
      <c r="E5" s="3"/>
      <c r="F5" s="8" t="s">
        <v>26</v>
      </c>
      <c r="G5" s="8" t="s">
        <v>27</v>
      </c>
      <c r="H5" s="8" t="s">
        <v>28</v>
      </c>
      <c r="I5" s="8" t="s">
        <v>29</v>
      </c>
      <c r="J5" s="8" t="s">
        <v>30</v>
      </c>
      <c r="K5" s="8" t="s">
        <v>415</v>
      </c>
      <c r="L5" s="8" t="s">
        <v>416</v>
      </c>
      <c r="M5" s="9"/>
      <c r="N5" s="9"/>
      <c r="O5" s="3" t="s">
        <v>24</v>
      </c>
      <c r="P5" s="3" t="s">
        <v>25</v>
      </c>
      <c r="Q5" s="3" t="s">
        <v>24</v>
      </c>
      <c r="R5" s="3" t="s">
        <v>25</v>
      </c>
      <c r="S5" s="4"/>
      <c r="T5" s="4"/>
      <c r="U5" s="5"/>
      <c r="V5" s="9"/>
      <c r="W5" s="117"/>
    </row>
    <row r="6" spans="1:23" ht="15.6">
      <c r="A6" s="323" t="s">
        <v>285</v>
      </c>
      <c r="B6" s="326"/>
      <c r="C6" s="10" t="s">
        <v>32</v>
      </c>
      <c r="D6" s="11" t="s">
        <v>33</v>
      </c>
      <c r="E6" s="266"/>
      <c r="F6" s="251"/>
      <c r="G6" s="251"/>
      <c r="H6" s="251"/>
      <c r="I6" s="251"/>
      <c r="J6" s="251"/>
      <c r="K6" s="16"/>
      <c r="L6" s="251"/>
      <c r="M6" s="242"/>
      <c r="N6" s="21"/>
      <c r="O6" s="13" t="str">
        <f>IF(AND($E6&lt;&gt;"",S6=""),VLOOKUP($C6&amp;$D6,'Références GES'!$E$21:$M$183,3,FALSE),"")</f>
        <v/>
      </c>
      <c r="P6" s="13" t="str">
        <f>IF(AND($E6&lt;&gt;"",T6=""),VLOOKUP($C6&amp;$D6,'Références GES'!$E$21:$M$183,2,FALSE),"")</f>
        <v/>
      </c>
      <c r="Q6" s="14"/>
      <c r="R6" s="14"/>
      <c r="S6" s="14"/>
      <c r="T6" s="14"/>
      <c r="U6" s="15" t="str">
        <f>IF('0. Installation'!$B$4&lt;DATE(2021,1,1),
"Pas de critère à respecter",
IF(E6&lt;&gt;"",
IF(AND('0. Installation'!$B$4&gt;=DATE(2021,1,1),'0. Installation'!$B$4&lt;DATE(2026,1,1)),IF(MAX(O6,Q6)&gt;=0.7,"Elec. : oui","Elec. : non"),
IF(MAX(O6,Q6)&gt;=0.8,"Elec. : oui","Elec. : non"))
&amp;" / "&amp;
IF(AND('0. Installation'!$B$4&gt;=DATE(2021,1,1),'0. Installation'!$B$4&lt;DATE(2026,1,1)),IF(MAX(P6,R6)&gt;=0.7,"Chaleur : oui","Chaleur : non"),
IF(MAX(P6,R6)&gt;=0.8,"Elec. : oui","Elec. : non")),
""))</f>
        <v>Pas de critère à respecter</v>
      </c>
      <c r="V6" s="9"/>
      <c r="W6" s="117"/>
    </row>
    <row r="7" spans="1:23" ht="15.6">
      <c r="A7" s="323"/>
      <c r="B7" s="327"/>
      <c r="C7" s="10" t="s">
        <v>32</v>
      </c>
      <c r="D7" s="11" t="s">
        <v>34</v>
      </c>
      <c r="E7" s="266"/>
      <c r="F7" s="251"/>
      <c r="G7" s="251"/>
      <c r="H7" s="251"/>
      <c r="I7" s="251"/>
      <c r="J7" s="251"/>
      <c r="K7" s="17"/>
      <c r="L7" s="251"/>
      <c r="M7" s="242"/>
      <c r="N7" s="16"/>
      <c r="O7" s="13" t="str">
        <f>IF(AND($E7&lt;&gt;"",S7=""),VLOOKUP($C7&amp;$D7,'Références GES'!$E$21:$M$183,3,FALSE),"")</f>
        <v/>
      </c>
      <c r="P7" s="13" t="str">
        <f>IF(AND($E7&lt;&gt;"",T7=""),VLOOKUP($C7&amp;$D7,'Références GES'!$E$21:$M$183,2,FALSE),"")</f>
        <v/>
      </c>
      <c r="Q7" s="14"/>
      <c r="R7" s="14"/>
      <c r="S7" s="14"/>
      <c r="T7" s="14"/>
      <c r="U7" s="15" t="str">
        <f>IF('0. Installation'!$B$4&lt;DATE(2021,1,1),
"Pas de critère à respecter",
IF(E7&lt;&gt;"",
IF(AND('0. Installation'!$B$4&gt;=DATE(2021,1,1),'0. Installation'!$B$4&lt;DATE(2026,1,1)),IF(MAX(O7,Q7)&gt;=0.7,"Elec. : oui","Elec. : non"),
IF(MAX(O7,Q7)&gt;=0.8,"Elec. : oui","Elec. : non"))
&amp;" / "&amp;
IF(AND('0. Installation'!$B$4&gt;=DATE(2021,1,1),'0. Installation'!$B$4&lt;DATE(2026,1,1)),IF(MAX(P7,R7)&gt;=0.7,"Chaleur : oui","Chaleur : non"),
IF(MAX(P7,R7)&gt;=0.8,"Elec. : oui","Elec. : non")),
""))</f>
        <v>Pas de critère à respecter</v>
      </c>
      <c r="V7" s="9"/>
      <c r="W7" s="117"/>
    </row>
    <row r="8" spans="1:23" ht="15.6">
      <c r="A8" s="323"/>
      <c r="B8" s="327"/>
      <c r="C8" s="10" t="s">
        <v>32</v>
      </c>
      <c r="D8" s="11" t="s">
        <v>35</v>
      </c>
      <c r="E8" s="266"/>
      <c r="F8" s="251"/>
      <c r="G8" s="251"/>
      <c r="H8" s="251"/>
      <c r="I8" s="251"/>
      <c r="J8" s="251"/>
      <c r="K8" s="18"/>
      <c r="L8" s="251"/>
      <c r="M8" s="242"/>
      <c r="N8" s="16"/>
      <c r="O8" s="13" t="str">
        <f>IF(AND($E8&lt;&gt;"",S8=""),VLOOKUP($C8&amp;$D8,'Références GES'!$E$21:$M$183,3,FALSE),"")</f>
        <v/>
      </c>
      <c r="P8" s="13" t="str">
        <f>IF(AND($E8&lt;&gt;"",T8=""),VLOOKUP($C8&amp;$D8,'Références GES'!$E$21:$M$183,2,FALSE),"")</f>
        <v/>
      </c>
      <c r="Q8" s="14"/>
      <c r="R8" s="14"/>
      <c r="S8" s="14"/>
      <c r="T8" s="14"/>
      <c r="U8" s="15" t="str">
        <f>IF('0. Installation'!$B$4&lt;DATE(2021,1,1),
"Pas de critère à respecter",
IF(E8&lt;&gt;"",
IF(AND('0. Installation'!$B$4&gt;=DATE(2021,1,1),'0. Installation'!$B$4&lt;DATE(2026,1,1)),IF(MAX(O8,Q8)&gt;=0.7,"Elec. : oui","Elec. : non"),
IF(MAX(O8,Q8)&gt;=0.8,"Elec. : oui","Elec. : non"))
&amp;" / "&amp;
IF(AND('0. Installation'!$B$4&gt;=DATE(2021,1,1),'0. Installation'!$B$4&lt;DATE(2026,1,1)),IF(MAX(P8,R8)&gt;=0.7,"Chaleur : oui","Chaleur : non"),
IF(MAX(P8,R8)&gt;=0.8,"Elec. : oui","Elec. : non")),
""))</f>
        <v>Pas de critère à respecter</v>
      </c>
      <c r="V8" s="9"/>
      <c r="W8" s="117"/>
    </row>
    <row r="9" spans="1:23" ht="15.6">
      <c r="A9" s="323"/>
      <c r="B9" s="328"/>
      <c r="C9" s="10" t="s">
        <v>32</v>
      </c>
      <c r="D9" s="11" t="s">
        <v>36</v>
      </c>
      <c r="E9" s="266"/>
      <c r="F9" s="251"/>
      <c r="G9" s="251"/>
      <c r="H9" s="251"/>
      <c r="I9" s="251"/>
      <c r="J9" s="251"/>
      <c r="K9" s="16"/>
      <c r="L9" s="251"/>
      <c r="M9" s="242"/>
      <c r="N9" s="16"/>
      <c r="O9" s="13" t="str">
        <f>IF(AND($E9&lt;&gt;"",S9=""),VLOOKUP($C9&amp;$D9,'Références GES'!$E$21:$M$183,3,FALSE),"")</f>
        <v/>
      </c>
      <c r="P9" s="13" t="str">
        <f>IF(AND($E9&lt;&gt;"",T9=""),VLOOKUP($C9&amp;$D9,'Références GES'!$E$21:$M$183,2,FALSE),"")</f>
        <v/>
      </c>
      <c r="Q9" s="14"/>
      <c r="R9" s="14"/>
      <c r="S9" s="14"/>
      <c r="T9" s="14"/>
      <c r="U9" s="15" t="str">
        <f>IF('0. Installation'!$B$4&lt;DATE(2021,1,1),
"Pas de critère à respecter",
IF(E9&lt;&gt;"",
IF(AND('0. Installation'!$B$4&gt;=DATE(2021,1,1),'0. Installation'!$B$4&lt;DATE(2026,1,1)),IF(MAX(O9,Q9)&gt;=0.7,"Elec. : oui","Elec. : non"),
IF(MAX(O9,Q9)&gt;=0.8,"Elec. : oui","Elec. : non"))
&amp;" / "&amp;
IF(AND('0. Installation'!$B$4&gt;=DATE(2021,1,1),'0. Installation'!$B$4&lt;DATE(2026,1,1)),IF(MAX(P9,R9)&gt;=0.7,"Chaleur : oui","Chaleur : non"),
IF(MAX(P9,R9)&gt;=0.8,"Elec. : oui","Elec. : non")),
""))</f>
        <v>Pas de critère à respecter</v>
      </c>
      <c r="V9" s="9"/>
      <c r="W9" s="117"/>
    </row>
    <row r="10" spans="1:23" ht="15.6">
      <c r="A10" s="323" t="s">
        <v>37</v>
      </c>
      <c r="B10" s="323" t="s">
        <v>38</v>
      </c>
      <c r="C10" s="10" t="s">
        <v>39</v>
      </c>
      <c r="D10" s="11" t="s">
        <v>33</v>
      </c>
      <c r="E10" s="266"/>
      <c r="F10" s="251"/>
      <c r="G10" s="251"/>
      <c r="H10" s="251"/>
      <c r="I10" s="251"/>
      <c r="J10" s="251"/>
      <c r="K10" s="16"/>
      <c r="L10" s="251"/>
      <c r="M10" s="242"/>
      <c r="N10" s="16"/>
      <c r="O10" s="14"/>
      <c r="P10" s="14"/>
      <c r="Q10" s="13" t="str">
        <f>IF(AND($E10&lt;&gt;"",S10=""),VLOOKUP($C10&amp;$D10,'Références GES'!$E$21:$M$82,8,FALSE),"")</f>
        <v/>
      </c>
      <c r="R10" s="13" t="str">
        <f>IF(AND($E10&lt;&gt;"",T10=""),VLOOKUP($C10&amp;$D10,'Références GES'!$E$21:$M$82,7,FALSE),"")</f>
        <v/>
      </c>
      <c r="S10" s="14"/>
      <c r="T10" s="14"/>
      <c r="U10" s="15" t="str">
        <f>IF('0. Installation'!$B$4&lt;DATE(2021,1,1),
"Pas de critère à respecter",
IF(E10&lt;&gt;"",
IF(AND('0. Installation'!$B$4&gt;=DATE(2021,1,1),'0. Installation'!$B$4&lt;DATE(2026,1,1)),IF(MAX(O10,Q10)&gt;=0.7,"Elec. : oui","Elec. : non"),
IF(MAX(O10,Q10)&gt;=0.8,"Elec. : oui","Elec. : non"))
&amp;" / "&amp;
IF(AND('0. Installation'!$B$4&gt;=DATE(2021,1,1),'0. Installation'!$B$4&lt;DATE(2026,1,1)),IF(MAX(P10,R10)&gt;=0.7,"Chaleur : oui","Chaleur : non"),
IF(MAX(P10,R10)&gt;=0.8,"Elec. : oui","Elec. : non")),
""))</f>
        <v>Pas de critère à respecter</v>
      </c>
      <c r="V10" s="9"/>
      <c r="W10" s="117"/>
    </row>
    <row r="11" spans="1:23" ht="15.6">
      <c r="A11" s="323"/>
      <c r="B11" s="323"/>
      <c r="C11" s="10" t="s">
        <v>39</v>
      </c>
      <c r="D11" s="11" t="s">
        <v>34</v>
      </c>
      <c r="E11" s="266"/>
      <c r="F11" s="251"/>
      <c r="G11" s="251"/>
      <c r="H11" s="251"/>
      <c r="I11" s="251"/>
      <c r="J11" s="251"/>
      <c r="K11" s="16"/>
      <c r="L11" s="251"/>
      <c r="M11" s="242"/>
      <c r="N11" s="16"/>
      <c r="O11" s="14"/>
      <c r="P11" s="14"/>
      <c r="Q11" s="13" t="str">
        <f>IF(AND($E11&lt;&gt;"",S11=""),VLOOKUP($C11&amp;$D11,'Références GES'!$E$21:$M$82,8,FALSE),"")</f>
        <v/>
      </c>
      <c r="R11" s="13" t="str">
        <f>IF(AND($E11&lt;&gt;"",T11=""),VLOOKUP($C11&amp;$D11,'Références GES'!$E$21:$M$82,7,FALSE),"")</f>
        <v/>
      </c>
      <c r="S11" s="14"/>
      <c r="T11" s="14"/>
      <c r="U11" s="15" t="str">
        <f>IF('0. Installation'!$B$4&lt;DATE(2021,1,1),
"Pas de critère à respecter",
IF(E11&lt;&gt;"",
IF(AND('0. Installation'!$B$4&gt;=DATE(2021,1,1),'0. Installation'!$B$4&lt;DATE(2026,1,1)),IF(MAX(O11,Q11)&gt;=0.7,"Elec. : oui","Elec. : non"),
IF(MAX(O11,Q11)&gt;=0.8,"Elec. : oui","Elec. : non"))
&amp;" / "&amp;
IF(AND('0. Installation'!$B$4&gt;=DATE(2021,1,1),'0. Installation'!$B$4&lt;DATE(2026,1,1)),IF(MAX(P11,R11)&gt;=0.7,"Chaleur : oui","Chaleur : non"),
IF(MAX(P11,R11)&gt;=0.8,"Elec. : oui","Elec. : non")),
""))</f>
        <v>Pas de critère à respecter</v>
      </c>
      <c r="V11" s="9"/>
      <c r="W11" s="117"/>
    </row>
    <row r="12" spans="1:23" ht="15.6">
      <c r="A12" s="323"/>
      <c r="B12" s="323"/>
      <c r="C12" s="10" t="s">
        <v>39</v>
      </c>
      <c r="D12" s="11" t="s">
        <v>35</v>
      </c>
      <c r="E12" s="266"/>
      <c r="F12" s="251"/>
      <c r="G12" s="251"/>
      <c r="H12" s="251"/>
      <c r="I12" s="251"/>
      <c r="J12" s="251"/>
      <c r="K12" s="16"/>
      <c r="L12" s="251"/>
      <c r="M12" s="242"/>
      <c r="N12" s="16"/>
      <c r="O12" s="14"/>
      <c r="P12" s="14"/>
      <c r="Q12" s="13" t="str">
        <f>IF(AND($E12&lt;&gt;"",S12=""),VLOOKUP($C12&amp;$D12,'Références GES'!$E$21:$M$82,8,FALSE),"")</f>
        <v/>
      </c>
      <c r="R12" s="13" t="str">
        <f>IF(AND($E12&lt;&gt;"",T12=""),VLOOKUP($C12&amp;$D12,'Références GES'!$E$21:$M$82,7,FALSE),"")</f>
        <v/>
      </c>
      <c r="S12" s="14"/>
      <c r="T12" s="14"/>
      <c r="U12" s="15" t="str">
        <f>IF('0. Installation'!$B$4&lt;DATE(2021,1,1),
"Pas de critère à respecter",
IF(E12&lt;&gt;"",
IF(AND('0. Installation'!$B$4&gt;=DATE(2021,1,1),'0. Installation'!$B$4&lt;DATE(2026,1,1)),IF(MAX(O12,Q12)&gt;=0.7,"Elec. : oui","Elec. : non"),
IF(MAX(O12,Q12)&gt;=0.8,"Elec. : oui","Elec. : non"))
&amp;" / "&amp;
IF(AND('0. Installation'!$B$4&gt;=DATE(2021,1,1),'0. Installation'!$B$4&lt;DATE(2026,1,1)),IF(MAX(P12,R12)&gt;=0.7,"Chaleur : oui","Chaleur : non"),
IF(MAX(P12,R12)&gt;=0.8,"Elec. : oui","Elec. : non")),
""))</f>
        <v>Pas de critère à respecter</v>
      </c>
      <c r="V12" s="9"/>
      <c r="W12" s="117"/>
    </row>
    <row r="13" spans="1:23" ht="15.6">
      <c r="A13" s="323"/>
      <c r="B13" s="323"/>
      <c r="C13" s="10" t="s">
        <v>39</v>
      </c>
      <c r="D13" s="11" t="s">
        <v>36</v>
      </c>
      <c r="E13" s="266"/>
      <c r="F13" s="251"/>
      <c r="G13" s="251"/>
      <c r="H13" s="251"/>
      <c r="I13" s="251"/>
      <c r="J13" s="251"/>
      <c r="K13" s="16"/>
      <c r="L13" s="251"/>
      <c r="M13" s="242"/>
      <c r="N13" s="16"/>
      <c r="O13" s="14"/>
      <c r="P13" s="14"/>
      <c r="Q13" s="13" t="str">
        <f>IF(AND($E13&lt;&gt;"",S13=""),VLOOKUP($C13&amp;$D13,'Références GES'!$E$21:$M$82,8,FALSE),"")</f>
        <v/>
      </c>
      <c r="R13" s="13" t="str">
        <f>IF(AND($E13&lt;&gt;"",T13=""),VLOOKUP($C13&amp;$D13,'Références GES'!$E$21:$M$82,7,FALSE),"")</f>
        <v/>
      </c>
      <c r="S13" s="14"/>
      <c r="T13" s="14"/>
      <c r="U13" s="15" t="str">
        <f>IF('0. Installation'!$B$4&lt;DATE(2021,1,1),
"Pas de critère à respecter",
IF(E13&lt;&gt;"",
IF(AND('0. Installation'!$B$4&gt;=DATE(2021,1,1),'0. Installation'!$B$4&lt;DATE(2026,1,1)),IF(MAX(O13,Q13)&gt;=0.7,"Elec. : oui","Elec. : non"),
IF(MAX(O13,Q13)&gt;=0.8,"Elec. : oui","Elec. : non"))
&amp;" / "&amp;
IF(AND('0. Installation'!$B$4&gt;=DATE(2021,1,1),'0. Installation'!$B$4&lt;DATE(2026,1,1)),IF(MAX(P13,R13)&gt;=0.7,"Chaleur : oui","Chaleur : non"),
IF(MAX(P13,R13)&gt;=0.8,"Elec. : oui","Elec. : non")),
""))</f>
        <v>Pas de critère à respecter</v>
      </c>
      <c r="V13" s="9"/>
      <c r="W13" s="117"/>
    </row>
    <row r="14" spans="1:23" ht="15.75" customHeight="1">
      <c r="A14" s="323"/>
      <c r="B14" s="333" t="s">
        <v>341</v>
      </c>
      <c r="C14" s="265" t="s">
        <v>342</v>
      </c>
      <c r="D14" s="11" t="s">
        <v>33</v>
      </c>
      <c r="E14" s="266"/>
      <c r="F14" s="251"/>
      <c r="G14" s="251"/>
      <c r="H14" s="251"/>
      <c r="I14" s="251"/>
      <c r="J14" s="251"/>
      <c r="K14" s="16"/>
      <c r="L14" s="251"/>
      <c r="M14" s="242"/>
      <c r="N14" s="16"/>
      <c r="O14" s="14"/>
      <c r="P14" s="14"/>
      <c r="Q14" s="13" t="str">
        <f>IF(AND($E14&lt;&gt;"",S14=""),VLOOKUP($C14&amp;$D14,'Références GES'!$E$21:$M$82,8,FALSE),"")</f>
        <v/>
      </c>
      <c r="R14" s="13" t="str">
        <f>IF(AND($E14&lt;&gt;"",T14=""),VLOOKUP($C14&amp;$D14,'Références GES'!$E$21:$M$82,7,FALSE),"")</f>
        <v/>
      </c>
      <c r="S14" s="14"/>
      <c r="T14" s="14"/>
      <c r="U14" s="15" t="str">
        <f>IF('0. Installation'!$B$4&lt;DATE(2021,1,1),
"Pas de critère à respecter",
IF(E14&lt;&gt;"",
IF(AND('0. Installation'!$B$4&gt;=DATE(2021,1,1),'0. Installation'!$B$4&lt;DATE(2026,1,1)),IF(MAX(O14,Q14)&gt;=0.7,"Elec. : oui","Elec. : non"),
IF(MAX(O14,Q14)&gt;=0.8,"Elec. : oui","Elec. : non"))
&amp;" / "&amp;
IF(AND('0. Installation'!$B$4&gt;=DATE(2021,1,1),'0. Installation'!$B$4&lt;DATE(2026,1,1)),IF(MAX(P14,R14)&gt;=0.7,"Chaleur : oui","Chaleur : non"),
IF(MAX(P14,R14)&gt;=0.8,"Elec. : oui","Elec. : non")),
""))</f>
        <v>Pas de critère à respecter</v>
      </c>
      <c r="V14" s="9"/>
      <c r="W14" s="117"/>
    </row>
    <row r="15" spans="1:23" ht="15.6">
      <c r="A15" s="323"/>
      <c r="B15" s="334"/>
      <c r="C15" s="265" t="s">
        <v>342</v>
      </c>
      <c r="D15" s="11" t="s">
        <v>34</v>
      </c>
      <c r="E15" s="266"/>
      <c r="F15" s="251"/>
      <c r="G15" s="251"/>
      <c r="H15" s="251"/>
      <c r="I15" s="251"/>
      <c r="J15" s="251"/>
      <c r="K15" s="16"/>
      <c r="L15" s="251"/>
      <c r="M15" s="242"/>
      <c r="N15" s="16"/>
      <c r="O15" s="14"/>
      <c r="P15" s="14"/>
      <c r="Q15" s="13" t="str">
        <f>IF(AND($E15&lt;&gt;"",S15=""),VLOOKUP($C15&amp;$D15,'Références GES'!$E$21:$M$82,8,FALSE),"")</f>
        <v/>
      </c>
      <c r="R15" s="13" t="str">
        <f>IF(AND($E15&lt;&gt;"",T15=""),VLOOKUP($C15&amp;$D15,'Références GES'!$E$21:$M$82,7,FALSE),"")</f>
        <v/>
      </c>
      <c r="S15" s="14"/>
      <c r="T15" s="14"/>
      <c r="U15" s="15" t="str">
        <f>IF('0. Installation'!$B$4&lt;DATE(2021,1,1),
"Pas de critère à respecter",
IF(E15&lt;&gt;"",
IF(AND('0. Installation'!$B$4&gt;=DATE(2021,1,1),'0. Installation'!$B$4&lt;DATE(2026,1,1)),IF(MAX(O15,Q15)&gt;=0.7,"Elec. : oui","Elec. : non"),
IF(MAX(O15,Q15)&gt;=0.8,"Elec. : oui","Elec. : non"))
&amp;" / "&amp;
IF(AND('0. Installation'!$B$4&gt;=DATE(2021,1,1),'0. Installation'!$B$4&lt;DATE(2026,1,1)),IF(MAX(P15,R15)&gt;=0.7,"Chaleur : oui","Chaleur : non"),
IF(MAX(P15,R15)&gt;=0.8,"Elec. : oui","Elec. : non")),
""))</f>
        <v>Pas de critère à respecter</v>
      </c>
      <c r="V15" s="9"/>
      <c r="W15" s="117"/>
    </row>
    <row r="16" spans="1:23" ht="15.6">
      <c r="A16" s="323"/>
      <c r="B16" s="334"/>
      <c r="C16" s="265" t="s">
        <v>342</v>
      </c>
      <c r="D16" s="11" t="s">
        <v>35</v>
      </c>
      <c r="E16" s="266"/>
      <c r="F16" s="251"/>
      <c r="G16" s="251"/>
      <c r="H16" s="251"/>
      <c r="I16" s="251"/>
      <c r="J16" s="251"/>
      <c r="K16" s="16"/>
      <c r="L16" s="251"/>
      <c r="M16" s="242"/>
      <c r="N16" s="16"/>
      <c r="O16" s="14"/>
      <c r="P16" s="14"/>
      <c r="Q16" s="13" t="str">
        <f>IF(AND($E16&lt;&gt;"",S16=""),VLOOKUP($C16&amp;$D16,'Références GES'!$E$21:$M$82,8,FALSE),"")</f>
        <v/>
      </c>
      <c r="R16" s="13" t="str">
        <f>IF(AND($E16&lt;&gt;"",T16=""),VLOOKUP($C16&amp;$D16,'Références GES'!$E$21:$M$82,7,FALSE),"")</f>
        <v/>
      </c>
      <c r="S16" s="14"/>
      <c r="T16" s="14"/>
      <c r="U16" s="15" t="str">
        <f>IF('0. Installation'!$B$4&lt;DATE(2021,1,1),
"Pas de critère à respecter",
IF(E16&lt;&gt;"",
IF(AND('0. Installation'!$B$4&gt;=DATE(2021,1,1),'0. Installation'!$B$4&lt;DATE(2026,1,1)),IF(MAX(O16,Q16)&gt;=0.7,"Elec. : oui","Elec. : non"),
IF(MAX(O16,Q16)&gt;=0.8,"Elec. : oui","Elec. : non"))
&amp;" / "&amp;
IF(AND('0. Installation'!$B$4&gt;=DATE(2021,1,1),'0. Installation'!$B$4&lt;DATE(2026,1,1)),IF(MAX(P16,R16)&gt;=0.7,"Chaleur : oui","Chaleur : non"),
IF(MAX(P16,R16)&gt;=0.8,"Elec. : oui","Elec. : non")),
""))</f>
        <v>Pas de critère à respecter</v>
      </c>
      <c r="V16" s="9"/>
      <c r="W16" s="117"/>
    </row>
    <row r="17" spans="1:23" ht="15.6">
      <c r="A17" s="323"/>
      <c r="B17" s="335"/>
      <c r="C17" s="265" t="s">
        <v>343</v>
      </c>
      <c r="D17" s="11" t="s">
        <v>36</v>
      </c>
      <c r="E17" s="266"/>
      <c r="F17" s="251"/>
      <c r="G17" s="251"/>
      <c r="H17" s="251"/>
      <c r="I17" s="251"/>
      <c r="J17" s="251"/>
      <c r="K17" s="16"/>
      <c r="L17" s="251"/>
      <c r="M17" s="242"/>
      <c r="N17" s="16"/>
      <c r="O17" s="14"/>
      <c r="P17" s="14"/>
      <c r="Q17" s="13" t="str">
        <f>IF(AND($E17&lt;&gt;"",S17=""),VLOOKUP($C17&amp;$D17,'Références GES'!$E$21:$M$82,8,FALSE),"")</f>
        <v/>
      </c>
      <c r="R17" s="13" t="str">
        <f>IF(AND($E17&lt;&gt;"",T17=""),VLOOKUP($C17&amp;$D17,'Références GES'!$E$21:$M$82,7,FALSE),"")</f>
        <v/>
      </c>
      <c r="S17" s="14"/>
      <c r="T17" s="14"/>
      <c r="U17" s="15" t="str">
        <f>IF('0. Installation'!$B$4&lt;DATE(2021,1,1),
"Pas de critère à respecter",
IF(E17&lt;&gt;"",
IF(AND('0. Installation'!$B$4&gt;=DATE(2021,1,1),'0. Installation'!$B$4&lt;DATE(2026,1,1)),IF(MAX(O17,Q17)&gt;=0.7,"Elec. : oui","Elec. : non"),
IF(MAX(O17,Q17)&gt;=0.8,"Elec. : oui","Elec. : non"))
&amp;" / "&amp;
IF(AND('0. Installation'!$B$4&gt;=DATE(2021,1,1),'0. Installation'!$B$4&lt;DATE(2026,1,1)),IF(MAX(P17,R17)&gt;=0.7,"Chaleur : oui","Chaleur : non"),
IF(MAX(P17,R17)&gt;=0.8,"Elec. : oui","Elec. : non")),
""))</f>
        <v>Pas de critère à respecter</v>
      </c>
      <c r="V17" s="9"/>
      <c r="W17" s="117"/>
    </row>
    <row r="18" spans="1:23" ht="15.6">
      <c r="A18" s="323"/>
      <c r="B18" s="323" t="s">
        <v>284</v>
      </c>
      <c r="C18" s="10" t="s">
        <v>40</v>
      </c>
      <c r="D18" s="11" t="s">
        <v>33</v>
      </c>
      <c r="E18" s="266"/>
      <c r="F18" s="251"/>
      <c r="G18" s="251"/>
      <c r="H18" s="251"/>
      <c r="I18" s="251"/>
      <c r="J18" s="251"/>
      <c r="K18" s="16"/>
      <c r="L18" s="251"/>
      <c r="M18" s="242"/>
      <c r="N18" s="16"/>
      <c r="O18" s="14"/>
      <c r="P18" s="14"/>
      <c r="Q18" s="13" t="str">
        <f>IF(AND($E18&lt;&gt;"",S18=""),VLOOKUP($C18&amp;$D18,'Références GES'!$E$21:$M$82,8,FALSE),"")</f>
        <v/>
      </c>
      <c r="R18" s="13" t="str">
        <f>IF(AND($E18&lt;&gt;"",T18=""),VLOOKUP($C18&amp;$D18,'Références GES'!$E$21:$M$82,7,FALSE),"")</f>
        <v/>
      </c>
      <c r="S18" s="14"/>
      <c r="T18" s="14"/>
      <c r="U18" s="15" t="str">
        <f>IF('0. Installation'!$B$4&lt;DATE(2021,1,1),
"Pas de critère à respecter",
IF(E18&lt;&gt;"",
IF(AND('0. Installation'!$B$4&gt;=DATE(2021,1,1),'0. Installation'!$B$4&lt;DATE(2026,1,1)),IF(MAX(O18,Q18)&gt;=0.7,"Elec. : oui","Elec. : non"),
IF(MAX(O18,Q18)&gt;=0.8,"Elec. : oui","Elec. : non"))
&amp;" / "&amp;
IF(AND('0. Installation'!$B$4&gt;=DATE(2021,1,1),'0. Installation'!$B$4&lt;DATE(2026,1,1)),IF(MAX(P18,R18)&gt;=0.7,"Chaleur : oui","Chaleur : non"),
IF(MAX(P18,R18)&gt;=0.8,"Elec. : oui","Elec. : non")),
""))</f>
        <v>Pas de critère à respecter</v>
      </c>
      <c r="V18" s="9"/>
      <c r="W18" s="117"/>
    </row>
    <row r="19" spans="1:23" ht="15.6">
      <c r="A19" s="323"/>
      <c r="B19" s="323"/>
      <c r="C19" s="10" t="s">
        <v>40</v>
      </c>
      <c r="D19" s="11" t="s">
        <v>34</v>
      </c>
      <c r="E19" s="266"/>
      <c r="F19" s="251"/>
      <c r="G19" s="251"/>
      <c r="H19" s="251"/>
      <c r="I19" s="251"/>
      <c r="J19" s="251"/>
      <c r="K19" s="16"/>
      <c r="L19" s="251"/>
      <c r="M19" s="242"/>
      <c r="N19" s="16"/>
      <c r="O19" s="14"/>
      <c r="P19" s="14"/>
      <c r="Q19" s="13" t="str">
        <f>IF(AND($E19&lt;&gt;"",S19=""),VLOOKUP($C19&amp;$D19,'Références GES'!$E$21:$M$82,8,FALSE),"")</f>
        <v/>
      </c>
      <c r="R19" s="13" t="str">
        <f>IF(AND($E19&lt;&gt;"",T19=""),VLOOKUP($C19&amp;$D19,'Références GES'!$E$21:$M$82,7,FALSE),"")</f>
        <v/>
      </c>
      <c r="S19" s="14"/>
      <c r="T19" s="14"/>
      <c r="U19" s="15" t="str">
        <f>IF('0. Installation'!$B$4&lt;DATE(2021,1,1),
"Pas de critère à respecter",
IF(E19&lt;&gt;"",
IF(AND('0. Installation'!$B$4&gt;=DATE(2021,1,1),'0. Installation'!$B$4&lt;DATE(2026,1,1)),IF(MAX(O19,Q19)&gt;=0.7,"Elec. : oui","Elec. : non"),
IF(MAX(O19,Q19)&gt;=0.8,"Elec. : oui","Elec. : non"))
&amp;" / "&amp;
IF(AND('0. Installation'!$B$4&gt;=DATE(2021,1,1),'0. Installation'!$B$4&lt;DATE(2026,1,1)),IF(MAX(P19,R19)&gt;=0.7,"Chaleur : oui","Chaleur : non"),
IF(MAX(P19,R19)&gt;=0.8,"Elec. : oui","Elec. : non")),
""))</f>
        <v>Pas de critère à respecter</v>
      </c>
      <c r="V19" s="9"/>
      <c r="W19" s="117"/>
    </row>
    <row r="20" spans="1:23" ht="15.6">
      <c r="A20" s="323"/>
      <c r="B20" s="323"/>
      <c r="C20" s="10" t="s">
        <v>40</v>
      </c>
      <c r="D20" s="11" t="s">
        <v>35</v>
      </c>
      <c r="E20" s="266"/>
      <c r="F20" s="251"/>
      <c r="G20" s="251"/>
      <c r="H20" s="251"/>
      <c r="I20" s="251"/>
      <c r="J20" s="251"/>
      <c r="K20" s="16"/>
      <c r="L20" s="251"/>
      <c r="M20" s="242"/>
      <c r="N20" s="16"/>
      <c r="O20" s="14"/>
      <c r="P20" s="14"/>
      <c r="Q20" s="13" t="str">
        <f>IF(AND($E20&lt;&gt;"",S20=""),VLOOKUP($C20&amp;$D20,'Références GES'!$E$21:$M$82,8,FALSE),"")</f>
        <v/>
      </c>
      <c r="R20" s="13" t="str">
        <f>IF(AND($E20&lt;&gt;"",T20=""),VLOOKUP($C20&amp;$D20,'Références GES'!$E$21:$M$82,7,FALSE),"")</f>
        <v/>
      </c>
      <c r="S20" s="14"/>
      <c r="T20" s="14"/>
      <c r="U20" s="15" t="str">
        <f>IF('0. Installation'!$B$4&lt;DATE(2021,1,1),
"Pas de critère à respecter",
IF(E20&lt;&gt;"",
IF(AND('0. Installation'!$B$4&gt;=DATE(2021,1,1),'0. Installation'!$B$4&lt;DATE(2026,1,1)),IF(MAX(O20,Q20)&gt;=0.7,"Elec. : oui","Elec. : non"),
IF(MAX(O20,Q20)&gt;=0.8,"Elec. : oui","Elec. : non"))
&amp;" / "&amp;
IF(AND('0. Installation'!$B$4&gt;=DATE(2021,1,1),'0. Installation'!$B$4&lt;DATE(2026,1,1)),IF(MAX(P20,R20)&gt;=0.7,"Chaleur : oui","Chaleur : non"),
IF(MAX(P20,R20)&gt;=0.8,"Elec. : oui","Elec. : non")),
""))</f>
        <v>Pas de critère à respecter</v>
      </c>
      <c r="V20" s="9"/>
      <c r="W20" s="117"/>
    </row>
    <row r="21" spans="1:23" ht="15.6">
      <c r="A21" s="323"/>
      <c r="B21" s="323"/>
      <c r="C21" s="10" t="s">
        <v>40</v>
      </c>
      <c r="D21" s="11" t="s">
        <v>36</v>
      </c>
      <c r="E21" s="266"/>
      <c r="F21" s="251"/>
      <c r="G21" s="251"/>
      <c r="H21" s="251"/>
      <c r="I21" s="251"/>
      <c r="J21" s="251"/>
      <c r="K21" s="16"/>
      <c r="L21" s="251"/>
      <c r="M21" s="242"/>
      <c r="N21" s="16"/>
      <c r="O21" s="14"/>
      <c r="P21" s="14"/>
      <c r="Q21" s="13" t="str">
        <f>IF(AND($E21&lt;&gt;"",S21=""),VLOOKUP($C21&amp;$D21,'Références GES'!$E$21:$M$82,8,FALSE),"")</f>
        <v/>
      </c>
      <c r="R21" s="13" t="str">
        <f>IF(AND($E21&lt;&gt;"",T21=""),VLOOKUP($C21&amp;$D21,'Références GES'!$E$21:$M$82,7,FALSE),"")</f>
        <v/>
      </c>
      <c r="S21" s="14"/>
      <c r="T21" s="14"/>
      <c r="U21" s="15" t="str">
        <f>IF('0. Installation'!$B$4&lt;DATE(2021,1,1),
"Pas de critère à respecter",
IF(E21&lt;&gt;"",
IF(AND('0. Installation'!$B$4&gt;=DATE(2021,1,1),'0. Installation'!$B$4&lt;DATE(2026,1,1)),IF(MAX(O21,Q21)&gt;=0.7,"Elec. : oui","Elec. : non"),
IF(MAX(O21,Q21)&gt;=0.8,"Elec. : oui","Elec. : non"))
&amp;" / "&amp;
IF(AND('0. Installation'!$B$4&gt;=DATE(2021,1,1),'0. Installation'!$B$4&lt;DATE(2026,1,1)),IF(MAX(P21,R21)&gt;=0.7,"Chaleur : oui","Chaleur : non"),
IF(MAX(P21,R21)&gt;=0.8,"Elec. : oui","Elec. : non")),
""))</f>
        <v>Pas de critère à respecter</v>
      </c>
      <c r="V21" s="9"/>
      <c r="W21" s="117"/>
    </row>
    <row r="22" spans="1:23" ht="15.6">
      <c r="A22" s="321" t="s">
        <v>41</v>
      </c>
      <c r="B22" s="322" t="s">
        <v>42</v>
      </c>
      <c r="C22" s="10" t="s">
        <v>43</v>
      </c>
      <c r="D22" s="11" t="s">
        <v>33</v>
      </c>
      <c r="E22" s="266"/>
      <c r="F22" s="251"/>
      <c r="G22" s="251"/>
      <c r="H22" s="251"/>
      <c r="I22" s="251"/>
      <c r="J22" s="251"/>
      <c r="K22" s="16"/>
      <c r="L22" s="251"/>
      <c r="M22" s="242"/>
      <c r="N22" s="16"/>
      <c r="O22" s="13" t="str">
        <f>IF(AND($E22&lt;&gt;"",S22=""),VLOOKUP($C22&amp;$D22,'Références GES'!$E$21:$M$183,3,FALSE),"")</f>
        <v/>
      </c>
      <c r="P22" s="13" t="str">
        <f>IF(AND($E22&lt;&gt;"",T22=""),VLOOKUP($C22&amp;$D22,'Références GES'!$E$21:$M$183,2,FALSE),"")</f>
        <v/>
      </c>
      <c r="Q22" s="14"/>
      <c r="R22" s="14"/>
      <c r="S22" s="14"/>
      <c r="T22" s="14"/>
      <c r="U22" s="15" t="str">
        <f>IF('0. Installation'!$B$4&lt;DATE(2021,1,1),
"Pas de critère à respecter",
IF(E22&lt;&gt;"",
IF(AND('0. Installation'!$B$4&gt;=DATE(2021,1,1),'0. Installation'!$B$4&lt;DATE(2026,1,1)),IF(MAX(O22,Q22)&gt;=0.7,"Elec. : oui","Elec. : non"),
IF(MAX(O22,Q22)&gt;=0.8,"Elec. : oui","Elec. : non"))
&amp;" / "&amp;
IF(AND('0. Installation'!$B$4&gt;=DATE(2021,1,1),'0. Installation'!$B$4&lt;DATE(2026,1,1)),IF(MAX(P22,R22)&gt;=0.7,"Chaleur : oui","Chaleur : non"),
IF(MAX(P22,R22)&gt;=0.8,"Elec. : oui","Elec. : non")),
""))</f>
        <v>Pas de critère à respecter</v>
      </c>
      <c r="V22" s="9"/>
      <c r="W22" s="117"/>
    </row>
    <row r="23" spans="1:23" ht="15.6">
      <c r="A23" s="321"/>
      <c r="B23" s="322"/>
      <c r="C23" s="10" t="s">
        <v>43</v>
      </c>
      <c r="D23" s="11" t="s">
        <v>34</v>
      </c>
      <c r="E23" s="266"/>
      <c r="F23" s="251"/>
      <c r="G23" s="251"/>
      <c r="H23" s="251"/>
      <c r="I23" s="251"/>
      <c r="J23" s="251"/>
      <c r="K23" s="16"/>
      <c r="L23" s="251"/>
      <c r="M23" s="242"/>
      <c r="N23" s="16"/>
      <c r="O23" s="13" t="str">
        <f>IF(AND($E23&lt;&gt;"",S23=""),VLOOKUP($C23&amp;$D23,'Références GES'!$E$21:$M$183,3,FALSE),"")</f>
        <v/>
      </c>
      <c r="P23" s="13" t="str">
        <f>IF(AND($E23&lt;&gt;"",T23=""),VLOOKUP($C23&amp;$D23,'Références GES'!$E$21:$M$183,2,FALSE),"")</f>
        <v/>
      </c>
      <c r="Q23" s="14"/>
      <c r="R23" s="14"/>
      <c r="S23" s="14"/>
      <c r="T23" s="14"/>
      <c r="U23" s="15" t="str">
        <f>IF('0. Installation'!$B$4&lt;DATE(2021,1,1),
"Pas de critère à respecter",
IF(E23&lt;&gt;"",
IF(AND('0. Installation'!$B$4&gt;=DATE(2021,1,1),'0. Installation'!$B$4&lt;DATE(2026,1,1)),IF(MAX(O23,Q23)&gt;=0.7,"Elec. : oui","Elec. : non"),
IF(MAX(O23,Q23)&gt;=0.8,"Elec. : oui","Elec. : non"))
&amp;" / "&amp;
IF(AND('0. Installation'!$B$4&gt;=DATE(2021,1,1),'0. Installation'!$B$4&lt;DATE(2026,1,1)),IF(MAX(P23,R23)&gt;=0.7,"Chaleur : oui","Chaleur : non"),
IF(MAX(P23,R23)&gt;=0.8,"Elec. : oui","Elec. : non")),
""))</f>
        <v>Pas de critère à respecter</v>
      </c>
      <c r="V23" s="9"/>
      <c r="W23" s="117"/>
    </row>
    <row r="24" spans="1:23" ht="15.6">
      <c r="A24" s="321"/>
      <c r="B24" s="322"/>
      <c r="C24" s="10" t="s">
        <v>43</v>
      </c>
      <c r="D24" s="11" t="s">
        <v>35</v>
      </c>
      <c r="E24" s="266"/>
      <c r="F24" s="251"/>
      <c r="G24" s="251"/>
      <c r="H24" s="251"/>
      <c r="I24" s="251"/>
      <c r="J24" s="251"/>
      <c r="K24" s="16"/>
      <c r="L24" s="251"/>
      <c r="M24" s="242"/>
      <c r="N24" s="16"/>
      <c r="O24" s="13" t="str">
        <f>IF(AND($E24&lt;&gt;"",S24=""),VLOOKUP($C24&amp;$D24,'Références GES'!$E$21:$M$183,3,FALSE),"")</f>
        <v/>
      </c>
      <c r="P24" s="13" t="str">
        <f>IF(AND($E24&lt;&gt;"",T24=""),VLOOKUP($C24&amp;$D24,'Références GES'!$E$21:$M$183,2,FALSE),"")</f>
        <v/>
      </c>
      <c r="Q24" s="14"/>
      <c r="R24" s="14"/>
      <c r="S24" s="14"/>
      <c r="T24" s="14"/>
      <c r="U24" s="15" t="str">
        <f>IF('0. Installation'!$B$4&lt;DATE(2021,1,1),
"Pas de critère à respecter",
IF(E24&lt;&gt;"",
IF(AND('0. Installation'!$B$4&gt;=DATE(2021,1,1),'0. Installation'!$B$4&lt;DATE(2026,1,1)),IF(MAX(O24,Q24)&gt;=0.7,"Elec. : oui","Elec. : non"),
IF(MAX(O24,Q24)&gt;=0.8,"Elec. : oui","Elec. : non"))
&amp;" / "&amp;
IF(AND('0. Installation'!$B$4&gt;=DATE(2021,1,1),'0. Installation'!$B$4&lt;DATE(2026,1,1)),IF(MAX(P24,R24)&gt;=0.7,"Chaleur : oui","Chaleur : non"),
IF(MAX(P24,R24)&gt;=0.8,"Elec. : oui","Elec. : non")),
""))</f>
        <v>Pas de critère à respecter</v>
      </c>
      <c r="V24" s="9"/>
      <c r="W24" s="117"/>
    </row>
    <row r="25" spans="1:23" ht="15.6">
      <c r="A25" s="321"/>
      <c r="B25" s="322"/>
      <c r="C25" s="10" t="s">
        <v>43</v>
      </c>
      <c r="D25" s="11" t="s">
        <v>36</v>
      </c>
      <c r="E25" s="266"/>
      <c r="F25" s="251"/>
      <c r="G25" s="251"/>
      <c r="H25" s="251"/>
      <c r="I25" s="251"/>
      <c r="J25" s="251"/>
      <c r="K25" s="16"/>
      <c r="L25" s="251"/>
      <c r="M25" s="242"/>
      <c r="N25" s="16"/>
      <c r="O25" s="13" t="str">
        <f>IF(AND($E25&lt;&gt;"",S25=""),VLOOKUP($C25&amp;$D25,'Références GES'!$E$21:$M$183,3,FALSE),"")</f>
        <v/>
      </c>
      <c r="P25" s="13" t="str">
        <f>IF(AND($E25&lt;&gt;"",T25=""),VLOOKUP($C25&amp;$D25,'Références GES'!$E$21:$M$183,2,FALSE),"")</f>
        <v/>
      </c>
      <c r="Q25" s="14"/>
      <c r="R25" s="14"/>
      <c r="S25" s="14"/>
      <c r="T25" s="14"/>
      <c r="U25" s="15" t="str">
        <f>IF('0. Installation'!$B$4&lt;DATE(2021,1,1),
"Pas de critère à respecter",
IF(E25&lt;&gt;"",
IF(AND('0. Installation'!$B$4&gt;=DATE(2021,1,1),'0. Installation'!$B$4&lt;DATE(2026,1,1)),IF(MAX(O25,Q25)&gt;=0.7,"Elec. : oui","Elec. : non"),
IF(MAX(O25,Q25)&gt;=0.8,"Elec. : oui","Elec. : non"))
&amp;" / "&amp;
IF(AND('0. Installation'!$B$4&gt;=DATE(2021,1,1),'0. Installation'!$B$4&lt;DATE(2026,1,1)),IF(MAX(P25,R25)&gt;=0.7,"Chaleur : oui","Chaleur : non"),
IF(MAX(P25,R25)&gt;=0.8,"Elec. : oui","Elec. : non")),
""))</f>
        <v>Pas de critère à respecter</v>
      </c>
      <c r="V25" s="9"/>
      <c r="W25" s="117"/>
    </row>
    <row r="26" spans="1:23" ht="15.6">
      <c r="A26" s="321"/>
      <c r="B26" s="323" t="s">
        <v>44</v>
      </c>
      <c r="C26" s="10" t="s">
        <v>45</v>
      </c>
      <c r="D26" s="11" t="s">
        <v>33</v>
      </c>
      <c r="E26" s="266"/>
      <c r="F26" s="251"/>
      <c r="G26" s="251"/>
      <c r="H26" s="251"/>
      <c r="I26" s="251"/>
      <c r="J26" s="251"/>
      <c r="K26" s="16"/>
      <c r="L26" s="251"/>
      <c r="M26" s="242"/>
      <c r="N26" s="16"/>
      <c r="O26" s="13" t="str">
        <f>IF(AND($E26&lt;&gt;"",S26=""),VLOOKUP($C26&amp;$D26,'Références GES'!$E$21:$M$183,3,FALSE),"")</f>
        <v/>
      </c>
      <c r="P26" s="13" t="str">
        <f>IF(AND($E26&lt;&gt;"",T26=""),VLOOKUP($C26&amp;$D26,'Références GES'!$E$21:$M$183,2,FALSE),"")</f>
        <v/>
      </c>
      <c r="Q26" s="14"/>
      <c r="R26" s="14"/>
      <c r="S26" s="14"/>
      <c r="T26" s="14"/>
      <c r="U26" s="15" t="str">
        <f>IF('0. Installation'!$B$4&lt;DATE(2021,1,1),
"Pas de critère à respecter",
IF(E26&lt;&gt;"",
IF(AND('0. Installation'!$B$4&gt;=DATE(2021,1,1),'0. Installation'!$B$4&lt;DATE(2026,1,1)),IF(MAX(O26,Q26)&gt;=0.7,"Elec. : oui","Elec. : non"),
IF(MAX(O26,Q26)&gt;=0.8,"Elec. : oui","Elec. : non"))
&amp;" / "&amp;
IF(AND('0. Installation'!$B$4&gt;=DATE(2021,1,1),'0. Installation'!$B$4&lt;DATE(2026,1,1)),IF(MAX(P26,R26)&gt;=0.7,"Chaleur : oui","Chaleur : non"),
IF(MAX(P26,R26)&gt;=0.8,"Elec. : oui","Elec. : non")),
""))</f>
        <v>Pas de critère à respecter</v>
      </c>
      <c r="V26" s="9"/>
      <c r="W26" s="117"/>
    </row>
    <row r="27" spans="1:23" ht="15.6">
      <c r="A27" s="321"/>
      <c r="B27" s="323"/>
      <c r="C27" s="10" t="s">
        <v>45</v>
      </c>
      <c r="D27" s="11" t="s">
        <v>34</v>
      </c>
      <c r="E27" s="266"/>
      <c r="F27" s="251"/>
      <c r="G27" s="251"/>
      <c r="H27" s="251"/>
      <c r="I27" s="251"/>
      <c r="J27" s="251"/>
      <c r="K27" s="16"/>
      <c r="L27" s="251"/>
      <c r="M27" s="242"/>
      <c r="N27" s="16"/>
      <c r="O27" s="13" t="str">
        <f>IF(AND($E27&lt;&gt;"",S27=""),VLOOKUP($C27&amp;$D27,'Références GES'!$E$21:$M$183,3,FALSE),"")</f>
        <v/>
      </c>
      <c r="P27" s="13" t="str">
        <f>IF(AND($E27&lt;&gt;"",T27=""),VLOOKUP($C27&amp;$D27,'Références GES'!$E$21:$M$183,2,FALSE),"")</f>
        <v/>
      </c>
      <c r="Q27" s="14"/>
      <c r="R27" s="14"/>
      <c r="S27" s="14"/>
      <c r="T27" s="14"/>
      <c r="U27" s="15" t="str">
        <f>IF('0. Installation'!$B$4&lt;DATE(2021,1,1),
"Pas de critère à respecter",
IF(E27&lt;&gt;"",
IF(AND('0. Installation'!$B$4&gt;=DATE(2021,1,1),'0. Installation'!$B$4&lt;DATE(2026,1,1)),IF(MAX(O27,Q27)&gt;=0.7,"Elec. : oui","Elec. : non"),
IF(MAX(O27,Q27)&gt;=0.8,"Elec. : oui","Elec. : non"))
&amp;" / "&amp;
IF(AND('0. Installation'!$B$4&gt;=DATE(2021,1,1),'0. Installation'!$B$4&lt;DATE(2026,1,1)),IF(MAX(P27,R27)&gt;=0.7,"Chaleur : oui","Chaleur : non"),
IF(MAX(P27,R27)&gt;=0.8,"Elec. : oui","Elec. : non")),
""))</f>
        <v>Pas de critère à respecter</v>
      </c>
      <c r="V27" s="9"/>
      <c r="W27" s="117"/>
    </row>
    <row r="28" spans="1:23" ht="15.6">
      <c r="A28" s="321"/>
      <c r="B28" s="323"/>
      <c r="C28" s="10" t="s">
        <v>45</v>
      </c>
      <c r="D28" s="11" t="s">
        <v>35</v>
      </c>
      <c r="E28" s="266"/>
      <c r="F28" s="251"/>
      <c r="G28" s="251"/>
      <c r="H28" s="251"/>
      <c r="I28" s="251"/>
      <c r="J28" s="251"/>
      <c r="K28" s="16"/>
      <c r="L28" s="251"/>
      <c r="M28" s="242"/>
      <c r="N28" s="16"/>
      <c r="O28" s="13" t="str">
        <f>IF(AND($E28&lt;&gt;"",S28=""),VLOOKUP($C28&amp;$D28,'Références GES'!$E$21:$M$183,3,FALSE),"")</f>
        <v/>
      </c>
      <c r="P28" s="13" t="str">
        <f>IF(AND($E28&lt;&gt;"",T28=""),VLOOKUP($C28&amp;$D28,'Références GES'!$E$21:$M$183,2,FALSE),"")</f>
        <v/>
      </c>
      <c r="Q28" s="14"/>
      <c r="R28" s="14"/>
      <c r="S28" s="14"/>
      <c r="T28" s="14"/>
      <c r="U28" s="15" t="str">
        <f>IF('0. Installation'!$B$4&lt;DATE(2021,1,1),
"Pas de critère à respecter",
IF(E28&lt;&gt;"",
IF(AND('0. Installation'!$B$4&gt;=DATE(2021,1,1),'0. Installation'!$B$4&lt;DATE(2026,1,1)),IF(MAX(O28,Q28)&gt;=0.7,"Elec. : oui","Elec. : non"),
IF(MAX(O28,Q28)&gt;=0.8,"Elec. : oui","Elec. : non"))
&amp;" / "&amp;
IF(AND('0. Installation'!$B$4&gt;=DATE(2021,1,1),'0. Installation'!$B$4&lt;DATE(2026,1,1)),IF(MAX(P28,R28)&gt;=0.7,"Chaleur : oui","Chaleur : non"),
IF(MAX(P28,R28)&gt;=0.8,"Elec. : oui","Elec. : non")),
""))</f>
        <v>Pas de critère à respecter</v>
      </c>
      <c r="V28" s="9"/>
      <c r="W28" s="117"/>
    </row>
    <row r="29" spans="1:23" ht="15.6">
      <c r="A29" s="321"/>
      <c r="B29" s="323"/>
      <c r="C29" s="10" t="s">
        <v>45</v>
      </c>
      <c r="D29" s="11" t="s">
        <v>36</v>
      </c>
      <c r="E29" s="266"/>
      <c r="F29" s="251"/>
      <c r="G29" s="251"/>
      <c r="H29" s="251"/>
      <c r="I29" s="251"/>
      <c r="J29" s="251"/>
      <c r="K29" s="16"/>
      <c r="L29" s="251"/>
      <c r="M29" s="242"/>
      <c r="N29" s="16"/>
      <c r="O29" s="13" t="str">
        <f>IF(AND($E29&lt;&gt;"",S29=""),VLOOKUP($C29&amp;$D29,'Références GES'!$E$21:$M$183,3,FALSE),"")</f>
        <v/>
      </c>
      <c r="P29" s="13" t="str">
        <f>IF(AND($E29&lt;&gt;"",T29=""),VLOOKUP($C29&amp;$D29,'Références GES'!$E$21:$M$183,2,FALSE),"")</f>
        <v/>
      </c>
      <c r="Q29" s="14"/>
      <c r="R29" s="14"/>
      <c r="S29" s="14"/>
      <c r="T29" s="14"/>
      <c r="U29" s="15" t="str">
        <f>IF('0. Installation'!$B$4&lt;DATE(2021,1,1),
"Pas de critère à respecter",
IF(E29&lt;&gt;"",
IF(AND('0. Installation'!$B$4&gt;=DATE(2021,1,1),'0. Installation'!$B$4&lt;DATE(2026,1,1)),IF(MAX(O29,Q29)&gt;=0.7,"Elec. : oui","Elec. : non"),
IF(MAX(O29,Q29)&gt;=0.8,"Elec. : oui","Elec. : non"))
&amp;" / "&amp;
IF(AND('0. Installation'!$B$4&gt;=DATE(2021,1,1),'0. Installation'!$B$4&lt;DATE(2026,1,1)),IF(MAX(P29,R29)&gt;=0.7,"Chaleur : oui","Chaleur : non"),
IF(MAX(P29,R29)&gt;=0.8,"Elec. : oui","Elec. : non")),
""))</f>
        <v>Pas de critère à respecter</v>
      </c>
      <c r="V29" s="9"/>
      <c r="W29" s="117"/>
    </row>
    <row r="30" spans="1:23" ht="15.6">
      <c r="A30" s="323" t="s">
        <v>46</v>
      </c>
      <c r="B30" s="323" t="s">
        <v>47</v>
      </c>
      <c r="C30" s="10" t="s">
        <v>48</v>
      </c>
      <c r="D30" s="11" t="s">
        <v>33</v>
      </c>
      <c r="E30" s="266"/>
      <c r="F30" s="251"/>
      <c r="G30" s="251"/>
      <c r="H30" s="251"/>
      <c r="I30" s="251"/>
      <c r="J30" s="251"/>
      <c r="K30" s="16"/>
      <c r="L30" s="251"/>
      <c r="M30" s="242"/>
      <c r="N30" s="16"/>
      <c r="O30" s="14"/>
      <c r="P30" s="14"/>
      <c r="Q30" s="13" t="str">
        <f>IF(AND($E30&lt;&gt;"",S30=""),VLOOKUP($C30&amp;$D30,'Références GES'!$E$21:$M$82,8,FALSE),"")</f>
        <v/>
      </c>
      <c r="R30" s="13" t="str">
        <f>IF(AND($E30&lt;&gt;"",T30=""),VLOOKUP($C30&amp;$D30,'Références GES'!$E$21:$M$82,7,FALSE),"")</f>
        <v/>
      </c>
      <c r="S30" s="14"/>
      <c r="T30" s="14"/>
      <c r="U30" s="15" t="str">
        <f>IF('0. Installation'!$B$4&lt;DATE(2021,1,1),
"Pas de critère à respecter",
IF(E30&lt;&gt;"",
IF(AND('0. Installation'!$B$4&gt;=DATE(2021,1,1),'0. Installation'!$B$4&lt;DATE(2026,1,1)),IF(MAX(O30,Q30)&gt;=0.7,"Elec. : oui","Elec. : non"),
IF(MAX(O30,Q30)&gt;=0.8,"Elec. : oui","Elec. : non"))
&amp;" / "&amp;
IF(AND('0. Installation'!$B$4&gt;=DATE(2021,1,1),'0. Installation'!$B$4&lt;DATE(2026,1,1)),IF(MAX(P30,R30)&gt;=0.7,"Chaleur : oui","Chaleur : non"),
IF(MAX(P30,R30)&gt;=0.8,"Elec. : oui","Elec. : non")),
""))</f>
        <v>Pas de critère à respecter</v>
      </c>
      <c r="V30" s="9"/>
      <c r="W30" s="117"/>
    </row>
    <row r="31" spans="1:23" ht="15.6">
      <c r="A31" s="323"/>
      <c r="B31" s="323"/>
      <c r="C31" s="10" t="s">
        <v>48</v>
      </c>
      <c r="D31" s="11" t="s">
        <v>34</v>
      </c>
      <c r="E31" s="266"/>
      <c r="F31" s="251"/>
      <c r="G31" s="251"/>
      <c r="H31" s="251"/>
      <c r="I31" s="251"/>
      <c r="J31" s="251"/>
      <c r="K31" s="16"/>
      <c r="L31" s="251"/>
      <c r="M31" s="242"/>
      <c r="N31" s="16"/>
      <c r="O31" s="14"/>
      <c r="P31" s="14"/>
      <c r="Q31" s="13" t="str">
        <f>IF(AND($E31&lt;&gt;"",S31=""),VLOOKUP($C31&amp;$D31,'Références GES'!$E$21:$M$82,8,FALSE),"")</f>
        <v/>
      </c>
      <c r="R31" s="13" t="str">
        <f>IF(AND($E31&lt;&gt;"",T31=""),VLOOKUP($C31&amp;$D31,'Références GES'!$E$21:$M$82,7,FALSE),"")</f>
        <v/>
      </c>
      <c r="S31" s="14"/>
      <c r="T31" s="14"/>
      <c r="U31" s="15" t="str">
        <f>IF('0. Installation'!$B$4&lt;DATE(2021,1,1),
"Pas de critère à respecter",
IF(E31&lt;&gt;"",
IF(AND('0. Installation'!$B$4&gt;=DATE(2021,1,1),'0. Installation'!$B$4&lt;DATE(2026,1,1)),IF(MAX(O31,Q31)&gt;=0.7,"Elec. : oui","Elec. : non"),
IF(MAX(O31,Q31)&gt;=0.8,"Elec. : oui","Elec. : non"))
&amp;" / "&amp;
IF(AND('0. Installation'!$B$4&gt;=DATE(2021,1,1),'0. Installation'!$B$4&lt;DATE(2026,1,1)),IF(MAX(P31,R31)&gt;=0.7,"Chaleur : oui","Chaleur : non"),
IF(MAX(P31,R31)&gt;=0.8,"Elec. : oui","Elec. : non")),
""))</f>
        <v>Pas de critère à respecter</v>
      </c>
      <c r="V31" s="9"/>
      <c r="W31" s="117"/>
    </row>
    <row r="32" spans="1:23" ht="15.6">
      <c r="A32" s="323"/>
      <c r="B32" s="323"/>
      <c r="C32" s="10" t="s">
        <v>48</v>
      </c>
      <c r="D32" s="11" t="s">
        <v>35</v>
      </c>
      <c r="E32" s="266"/>
      <c r="F32" s="251"/>
      <c r="G32" s="251"/>
      <c r="H32" s="251"/>
      <c r="I32" s="251"/>
      <c r="J32" s="251"/>
      <c r="K32" s="16"/>
      <c r="L32" s="251"/>
      <c r="M32" s="242"/>
      <c r="N32" s="16"/>
      <c r="O32" s="14"/>
      <c r="P32" s="14"/>
      <c r="Q32" s="13" t="str">
        <f>IF(AND($E32&lt;&gt;"",S32=""),VLOOKUP($C32&amp;$D32,'Références GES'!$E$21:$M$82,8,FALSE),"")</f>
        <v/>
      </c>
      <c r="R32" s="13" t="str">
        <f>IF(AND($E32&lt;&gt;"",T32=""),VLOOKUP($C32&amp;$D32,'Références GES'!$E$21:$M$82,7,FALSE),"")</f>
        <v/>
      </c>
      <c r="S32" s="14"/>
      <c r="T32" s="14"/>
      <c r="U32" s="15" t="str">
        <f>IF('0. Installation'!$B$4&lt;DATE(2021,1,1),
"Pas de critère à respecter",
IF(E32&lt;&gt;"",
IF(AND('0. Installation'!$B$4&gt;=DATE(2021,1,1),'0. Installation'!$B$4&lt;DATE(2026,1,1)),IF(MAX(O32,Q32)&gt;=0.7,"Elec. : oui","Elec. : non"),
IF(MAX(O32,Q32)&gt;=0.8,"Elec. : oui","Elec. : non"))
&amp;" / "&amp;
IF(AND('0. Installation'!$B$4&gt;=DATE(2021,1,1),'0. Installation'!$B$4&lt;DATE(2026,1,1)),IF(MAX(P32,R32)&gt;=0.7,"Chaleur : oui","Chaleur : non"),
IF(MAX(P32,R32)&gt;=0.8,"Elec. : oui","Elec. : non")),
""))</f>
        <v>Pas de critère à respecter</v>
      </c>
      <c r="V32" s="9"/>
      <c r="W32" s="117"/>
    </row>
    <row r="33" spans="1:23" ht="15.6">
      <c r="A33" s="323"/>
      <c r="B33" s="323"/>
      <c r="C33" s="10" t="s">
        <v>48</v>
      </c>
      <c r="D33" s="11" t="s">
        <v>36</v>
      </c>
      <c r="E33" s="266"/>
      <c r="F33" s="251"/>
      <c r="G33" s="251"/>
      <c r="H33" s="251"/>
      <c r="I33" s="251"/>
      <c r="J33" s="251"/>
      <c r="K33" s="16"/>
      <c r="L33" s="251"/>
      <c r="M33" s="242"/>
      <c r="N33" s="16"/>
      <c r="O33" s="14"/>
      <c r="P33" s="14"/>
      <c r="Q33" s="13" t="str">
        <f>IF(AND($E33&lt;&gt;"",S33=""),VLOOKUP($C33&amp;$D33,'Références GES'!$E$21:$M$82,8,FALSE),"")</f>
        <v/>
      </c>
      <c r="R33" s="13" t="str">
        <f>IF(AND($E33&lt;&gt;"",T33=""),VLOOKUP($C33&amp;$D33,'Références GES'!$E$21:$M$82,7,FALSE),"")</f>
        <v/>
      </c>
      <c r="S33" s="14"/>
      <c r="T33" s="14"/>
      <c r="U33" s="15" t="str">
        <f>IF('0. Installation'!$B$4&lt;DATE(2021,1,1),
"Pas de critère à respecter",
IF(E33&lt;&gt;"",
IF(AND('0. Installation'!$B$4&gt;=DATE(2021,1,1),'0. Installation'!$B$4&lt;DATE(2026,1,1)),IF(MAX(O33,Q33)&gt;=0.7,"Elec. : oui","Elec. : non"),
IF(MAX(O33,Q33)&gt;=0.8,"Elec. : oui","Elec. : non"))
&amp;" / "&amp;
IF(AND('0. Installation'!$B$4&gt;=DATE(2021,1,1),'0. Installation'!$B$4&lt;DATE(2026,1,1)),IF(MAX(P33,R33)&gt;=0.7,"Chaleur : oui","Chaleur : non"),
IF(MAX(P33,R33)&gt;=0.8,"Elec. : oui","Elec. : non")),
""))</f>
        <v>Pas de critère à respecter</v>
      </c>
      <c r="V33" s="9"/>
      <c r="W33" s="117"/>
    </row>
    <row r="34" spans="1:23" ht="15.6">
      <c r="A34" s="323"/>
      <c r="B34" s="324" t="s">
        <v>367</v>
      </c>
      <c r="C34" s="10" t="s">
        <v>49</v>
      </c>
      <c r="D34" s="11" t="s">
        <v>33</v>
      </c>
      <c r="E34" s="266"/>
      <c r="F34" s="251"/>
      <c r="G34" s="251"/>
      <c r="H34" s="251"/>
      <c r="I34" s="251"/>
      <c r="J34" s="251"/>
      <c r="K34" s="16"/>
      <c r="L34" s="251"/>
      <c r="M34" s="242"/>
      <c r="N34" s="16"/>
      <c r="O34" s="14"/>
      <c r="P34" s="14"/>
      <c r="Q34" s="13" t="str">
        <f>IF(AND($E34&lt;&gt;"",S34=""),VLOOKUP($C34&amp;$D34,'Références GES'!$E$21:$M$82,8,FALSE),"")</f>
        <v/>
      </c>
      <c r="R34" s="13" t="str">
        <f>IF(AND($E34&lt;&gt;"",T34=""),VLOOKUP($C34&amp;$D34,'Références GES'!$E$21:$M$82,7,FALSE),"")</f>
        <v/>
      </c>
      <c r="S34" s="14"/>
      <c r="T34" s="14"/>
      <c r="U34" s="15" t="str">
        <f>IF('0. Installation'!$B$4&lt;DATE(2021,1,1),
"Pas de critère à respecter",
IF(E34&lt;&gt;"",
IF(AND('0. Installation'!$B$4&gt;=DATE(2021,1,1),'0. Installation'!$B$4&lt;DATE(2026,1,1)),IF(MAX(O34,Q34)&gt;=0.7,"Elec. : oui","Elec. : non"),
IF(MAX(O34,Q34)&gt;=0.8,"Elec. : oui","Elec. : non"))
&amp;" / "&amp;
IF(AND('0. Installation'!$B$4&gt;=DATE(2021,1,1),'0. Installation'!$B$4&lt;DATE(2026,1,1)),IF(MAX(P34,R34)&gt;=0.7,"Chaleur : oui","Chaleur : non"),
IF(MAX(P34,R34)&gt;=0.8,"Elec. : oui","Elec. : non")),
""))</f>
        <v>Pas de critère à respecter</v>
      </c>
      <c r="V34" s="9"/>
      <c r="W34" s="117"/>
    </row>
    <row r="35" spans="1:23" ht="15.6">
      <c r="A35" s="323"/>
      <c r="B35" s="324"/>
      <c r="C35" s="10" t="s">
        <v>49</v>
      </c>
      <c r="D35" s="11" t="s">
        <v>34</v>
      </c>
      <c r="E35" s="266"/>
      <c r="F35" s="251"/>
      <c r="G35" s="251"/>
      <c r="H35" s="251"/>
      <c r="I35" s="251"/>
      <c r="J35" s="251"/>
      <c r="K35" s="16"/>
      <c r="L35" s="251"/>
      <c r="M35" s="242"/>
      <c r="N35" s="16"/>
      <c r="O35" s="14"/>
      <c r="P35" s="14"/>
      <c r="Q35" s="13" t="str">
        <f>IF(AND($E35&lt;&gt;"",S35=""),VLOOKUP($C35&amp;$D35,'Références GES'!$E$21:$M$82,8,FALSE),"")</f>
        <v/>
      </c>
      <c r="R35" s="13" t="str">
        <f>IF(AND($E35&lt;&gt;"",T35=""),VLOOKUP($C35&amp;$D35,'Références GES'!$E$21:$M$82,7,FALSE),"")</f>
        <v/>
      </c>
      <c r="S35" s="14"/>
      <c r="T35" s="14"/>
      <c r="U35" s="15" t="str">
        <f>IF('0. Installation'!$B$4&lt;DATE(2021,1,1),
"Pas de critère à respecter",
IF(E35&lt;&gt;"",
IF(AND('0. Installation'!$B$4&gt;=DATE(2021,1,1),'0. Installation'!$B$4&lt;DATE(2026,1,1)),IF(MAX(O35,Q35)&gt;=0.7,"Elec. : oui","Elec. : non"),
IF(MAX(O35,Q35)&gt;=0.8,"Elec. : oui","Elec. : non"))
&amp;" / "&amp;
IF(AND('0. Installation'!$B$4&gt;=DATE(2021,1,1),'0. Installation'!$B$4&lt;DATE(2026,1,1)),IF(MAX(P35,R35)&gt;=0.7,"Chaleur : oui","Chaleur : non"),
IF(MAX(P35,R35)&gt;=0.8,"Elec. : oui","Elec. : non")),
""))</f>
        <v>Pas de critère à respecter</v>
      </c>
      <c r="V35" s="9"/>
      <c r="W35" s="117"/>
    </row>
    <row r="36" spans="1:23" ht="15.6">
      <c r="A36" s="323"/>
      <c r="B36" s="324"/>
      <c r="C36" s="10" t="s">
        <v>49</v>
      </c>
      <c r="D36" s="11" t="s">
        <v>35</v>
      </c>
      <c r="E36" s="266"/>
      <c r="F36" s="251"/>
      <c r="G36" s="251"/>
      <c r="H36" s="251"/>
      <c r="I36" s="251"/>
      <c r="J36" s="251"/>
      <c r="K36" s="16"/>
      <c r="L36" s="251"/>
      <c r="M36" s="242"/>
      <c r="N36" s="16"/>
      <c r="O36" s="14"/>
      <c r="P36" s="14"/>
      <c r="Q36" s="13" t="str">
        <f>IF(AND($E36&lt;&gt;"",S36=""),VLOOKUP($C36&amp;$D36,'Références GES'!$E$21:$M$82,8,FALSE),"")</f>
        <v/>
      </c>
      <c r="R36" s="13" t="str">
        <f>IF(AND($E36&lt;&gt;"",T36=""),VLOOKUP($C36&amp;$D36,'Références GES'!$E$21:$M$82,7,FALSE),"")</f>
        <v/>
      </c>
      <c r="S36" s="14"/>
      <c r="T36" s="14"/>
      <c r="U36" s="15" t="str">
        <f>IF('0. Installation'!$B$4&lt;DATE(2021,1,1),
"Pas de critère à respecter",
IF(E36&lt;&gt;"",
IF(AND('0. Installation'!$B$4&gt;=DATE(2021,1,1),'0. Installation'!$B$4&lt;DATE(2026,1,1)),IF(MAX(O36,Q36)&gt;=0.7,"Elec. : oui","Elec. : non"),
IF(MAX(O36,Q36)&gt;=0.8,"Elec. : oui","Elec. : non"))
&amp;" / "&amp;
IF(AND('0. Installation'!$B$4&gt;=DATE(2021,1,1),'0. Installation'!$B$4&lt;DATE(2026,1,1)),IF(MAX(P36,R36)&gt;=0.7,"Chaleur : oui","Chaleur : non"),
IF(MAX(P36,R36)&gt;=0.8,"Elec. : oui","Elec. : non")),
""))</f>
        <v>Pas de critère à respecter</v>
      </c>
      <c r="V36" s="9"/>
      <c r="W36" s="117"/>
    </row>
    <row r="37" spans="1:23" ht="15.6">
      <c r="A37" s="323"/>
      <c r="B37" s="324"/>
      <c r="C37" s="10" t="s">
        <v>49</v>
      </c>
      <c r="D37" s="11" t="s">
        <v>36</v>
      </c>
      <c r="E37" s="266"/>
      <c r="F37" s="251"/>
      <c r="G37" s="251"/>
      <c r="H37" s="251"/>
      <c r="I37" s="251"/>
      <c r="J37" s="251"/>
      <c r="K37" s="16"/>
      <c r="L37" s="251"/>
      <c r="M37" s="242"/>
      <c r="N37" s="16"/>
      <c r="O37" s="14"/>
      <c r="P37" s="14"/>
      <c r="Q37" s="13" t="str">
        <f>IF(AND($E37&lt;&gt;"",S37=""),VLOOKUP($C37&amp;$D37,'Références GES'!$E$21:$M$82,8,FALSE),"")</f>
        <v/>
      </c>
      <c r="R37" s="13" t="str">
        <f>IF(AND($E37&lt;&gt;"",T37=""),VLOOKUP($C37&amp;$D37,'Références GES'!$E$21:$M$82,7,FALSE),"")</f>
        <v/>
      </c>
      <c r="S37" s="14"/>
      <c r="T37" s="14"/>
      <c r="U37" s="15" t="str">
        <f>IF('0. Installation'!$B$4&lt;DATE(2021,1,1),
"Pas de critère à respecter",
IF(E37&lt;&gt;"",
IF(AND('0. Installation'!$B$4&gt;=DATE(2021,1,1),'0. Installation'!$B$4&lt;DATE(2026,1,1)),IF(MAX(O37,Q37)&gt;=0.7,"Elec. : oui","Elec. : non"),
IF(MAX(O37,Q37)&gt;=0.8,"Elec. : oui","Elec. : non"))
&amp;" / "&amp;
IF(AND('0. Installation'!$B$4&gt;=DATE(2021,1,1),'0. Installation'!$B$4&lt;DATE(2026,1,1)),IF(MAX(P37,R37)&gt;=0.7,"Chaleur : oui","Chaleur : non"),
IF(MAX(P37,R37)&gt;=0.8,"Elec. : oui","Elec. : non")),
""))</f>
        <v>Pas de critère à respecter</v>
      </c>
      <c r="V37" s="9"/>
      <c r="W37" s="117"/>
    </row>
    <row r="38" spans="1:23" ht="15.6">
      <c r="A38" s="323"/>
      <c r="B38" s="324" t="s">
        <v>368</v>
      </c>
      <c r="C38" s="10" t="s">
        <v>50</v>
      </c>
      <c r="D38" s="11" t="s">
        <v>33</v>
      </c>
      <c r="E38" s="266"/>
      <c r="F38" s="251"/>
      <c r="G38" s="251"/>
      <c r="H38" s="251"/>
      <c r="I38" s="251"/>
      <c r="J38" s="251"/>
      <c r="K38" s="16"/>
      <c r="L38" s="251"/>
      <c r="M38" s="242"/>
      <c r="N38" s="16"/>
      <c r="O38" s="14"/>
      <c r="P38" s="14"/>
      <c r="Q38" s="13" t="str">
        <f>IF(AND($E38&lt;&gt;"",S38=""),VLOOKUP($C38&amp;$D38,'Références GES'!$E$21:$M$82,8,FALSE),"")</f>
        <v/>
      </c>
      <c r="R38" s="13" t="str">
        <f>IF(AND($E38&lt;&gt;"",T38=""),VLOOKUP($C38&amp;$D38,'Références GES'!$E$21:$M$82,7,FALSE),"")</f>
        <v/>
      </c>
      <c r="S38" s="14"/>
      <c r="T38" s="14"/>
      <c r="U38" s="15" t="str">
        <f>IF('0. Installation'!$B$4&lt;DATE(2021,1,1),
"Pas de critère à respecter",
IF(E38&lt;&gt;"",
IF(AND('0. Installation'!$B$4&gt;=DATE(2021,1,1),'0. Installation'!$B$4&lt;DATE(2026,1,1)),IF(MAX(O38,Q38)&gt;=0.7,"Elec. : oui","Elec. : non"),
IF(MAX(O38,Q38)&gt;=0.8,"Elec. : oui","Elec. : non"))
&amp;" / "&amp;
IF(AND('0. Installation'!$B$4&gt;=DATE(2021,1,1),'0. Installation'!$B$4&lt;DATE(2026,1,1)),IF(MAX(P38,R38)&gt;=0.7,"Chaleur : oui","Chaleur : non"),
IF(MAX(P38,R38)&gt;=0.8,"Elec. : oui","Elec. : non")),
""))</f>
        <v>Pas de critère à respecter</v>
      </c>
      <c r="V38" s="9"/>
      <c r="W38" s="117"/>
    </row>
    <row r="39" spans="1:23" ht="15.6">
      <c r="A39" s="323"/>
      <c r="B39" s="324"/>
      <c r="C39" s="10" t="s">
        <v>50</v>
      </c>
      <c r="D39" s="11" t="s">
        <v>34</v>
      </c>
      <c r="E39" s="266"/>
      <c r="F39" s="251"/>
      <c r="G39" s="251"/>
      <c r="H39" s="251"/>
      <c r="I39" s="251"/>
      <c r="J39" s="251"/>
      <c r="K39" s="16"/>
      <c r="L39" s="251"/>
      <c r="M39" s="242"/>
      <c r="N39" s="16"/>
      <c r="O39" s="14"/>
      <c r="P39" s="14"/>
      <c r="Q39" s="13" t="str">
        <f>IF(AND($E39&lt;&gt;"",S39=""),VLOOKUP($C39&amp;$D39,'Références GES'!$E$21:$M$82,8,FALSE),"")</f>
        <v/>
      </c>
      <c r="R39" s="13" t="str">
        <f>IF(AND($E39&lt;&gt;"",T39=""),VLOOKUP($C39&amp;$D39,'Références GES'!$E$21:$M$82,7,FALSE),"")</f>
        <v/>
      </c>
      <c r="S39" s="14"/>
      <c r="T39" s="14"/>
      <c r="U39" s="15" t="str">
        <f>IF('0. Installation'!$B$4&lt;DATE(2021,1,1),
"Pas de critère à respecter",
IF(E39&lt;&gt;"",
IF(AND('0. Installation'!$B$4&gt;=DATE(2021,1,1),'0. Installation'!$B$4&lt;DATE(2026,1,1)),IF(MAX(O39,Q39)&gt;=0.7,"Elec. : oui","Elec. : non"),
IF(MAX(O39,Q39)&gt;=0.8,"Elec. : oui","Elec. : non"))
&amp;" / "&amp;
IF(AND('0. Installation'!$B$4&gt;=DATE(2021,1,1),'0. Installation'!$B$4&lt;DATE(2026,1,1)),IF(MAX(P39,R39)&gt;=0.7,"Chaleur : oui","Chaleur : non"),
IF(MAX(P39,R39)&gt;=0.8,"Elec. : oui","Elec. : non")),
""))</f>
        <v>Pas de critère à respecter</v>
      </c>
      <c r="V39" s="9"/>
      <c r="W39" s="117"/>
    </row>
    <row r="40" spans="1:23" ht="15.6">
      <c r="A40" s="323"/>
      <c r="B40" s="324"/>
      <c r="C40" s="10" t="s">
        <v>50</v>
      </c>
      <c r="D40" s="11" t="s">
        <v>35</v>
      </c>
      <c r="E40" s="266"/>
      <c r="F40" s="251"/>
      <c r="G40" s="251"/>
      <c r="H40" s="251"/>
      <c r="I40" s="251"/>
      <c r="J40" s="251"/>
      <c r="K40" s="16"/>
      <c r="L40" s="251"/>
      <c r="M40" s="242"/>
      <c r="N40" s="16"/>
      <c r="O40" s="14"/>
      <c r="P40" s="14"/>
      <c r="Q40" s="13" t="str">
        <f>IF(AND($E40&lt;&gt;"",S40=""),VLOOKUP($C40&amp;$D40,'Références GES'!$E$21:$M$82,8,FALSE),"")</f>
        <v/>
      </c>
      <c r="R40" s="13" t="str">
        <f>IF(AND($E40&lt;&gt;"",T40=""),VLOOKUP($C40&amp;$D40,'Références GES'!$E$21:$M$82,7,FALSE),"")</f>
        <v/>
      </c>
      <c r="S40" s="14"/>
      <c r="T40" s="14"/>
      <c r="U40" s="15" t="str">
        <f>IF('0. Installation'!$B$4&lt;DATE(2021,1,1),
"Pas de critère à respecter",
IF(E40&lt;&gt;"",
IF(AND('0. Installation'!$B$4&gt;=DATE(2021,1,1),'0. Installation'!$B$4&lt;DATE(2026,1,1)),IF(MAX(O40,Q40)&gt;=0.7,"Elec. : oui","Elec. : non"),
IF(MAX(O40,Q40)&gt;=0.8,"Elec. : oui","Elec. : non"))
&amp;" / "&amp;
IF(AND('0. Installation'!$B$4&gt;=DATE(2021,1,1),'0. Installation'!$B$4&lt;DATE(2026,1,1)),IF(MAX(P40,R40)&gt;=0.7,"Chaleur : oui","Chaleur : non"),
IF(MAX(P40,R40)&gt;=0.8,"Elec. : oui","Elec. : non")),
""))</f>
        <v>Pas de critère à respecter</v>
      </c>
      <c r="V40" s="9"/>
      <c r="W40" s="117"/>
    </row>
    <row r="41" spans="1:23" ht="15.6">
      <c r="A41" s="323"/>
      <c r="B41" s="324"/>
      <c r="C41" s="10" t="s">
        <v>50</v>
      </c>
      <c r="D41" s="11" t="s">
        <v>36</v>
      </c>
      <c r="E41" s="266"/>
      <c r="F41" s="251"/>
      <c r="G41" s="251"/>
      <c r="H41" s="251"/>
      <c r="I41" s="251"/>
      <c r="J41" s="251"/>
      <c r="K41" s="16"/>
      <c r="L41" s="251"/>
      <c r="M41" s="242"/>
      <c r="N41" s="16"/>
      <c r="O41" s="14"/>
      <c r="P41" s="14"/>
      <c r="Q41" s="13" t="str">
        <f>IF(AND($E41&lt;&gt;"",S41=""),VLOOKUP($C41&amp;$D41,'Références GES'!$E$21:$M$82,8,FALSE),"")</f>
        <v/>
      </c>
      <c r="R41" s="13" t="str">
        <f>IF(AND($E41&lt;&gt;"",T41=""),VLOOKUP($C41&amp;$D41,'Références GES'!$E$21:$M$82,7,FALSE),"")</f>
        <v/>
      </c>
      <c r="S41" s="14"/>
      <c r="T41" s="14"/>
      <c r="U41" s="15" t="str">
        <f>IF('0. Installation'!$B$4&lt;DATE(2021,1,1),
"Pas de critère à respecter",
IF(E41&lt;&gt;"",
IF(AND('0. Installation'!$B$4&gt;=DATE(2021,1,1),'0. Installation'!$B$4&lt;DATE(2026,1,1)),IF(MAX(O41,Q41)&gt;=0.7,"Elec. : oui","Elec. : non"),
IF(MAX(O41,Q41)&gt;=0.8,"Elec. : oui","Elec. : non"))
&amp;" / "&amp;
IF(AND('0. Installation'!$B$4&gt;=DATE(2021,1,1),'0. Installation'!$B$4&lt;DATE(2026,1,1)),IF(MAX(P41,R41)&gt;=0.7,"Chaleur : oui","Chaleur : non"),
IF(MAX(P41,R41)&gt;=0.8,"Elec. : oui","Elec. : non")),
""))</f>
        <v>Pas de critère à respecter</v>
      </c>
      <c r="V41" s="9"/>
      <c r="W41" s="117"/>
    </row>
    <row r="42" spans="1:23" ht="15.6">
      <c r="A42" s="333" t="s">
        <v>51</v>
      </c>
      <c r="B42" s="318" t="s">
        <v>369</v>
      </c>
      <c r="C42" s="19" t="s">
        <v>52</v>
      </c>
      <c r="D42" s="11" t="s">
        <v>33</v>
      </c>
      <c r="E42" s="266"/>
      <c r="F42" s="251"/>
      <c r="G42" s="251"/>
      <c r="H42" s="251"/>
      <c r="I42" s="251"/>
      <c r="J42" s="251"/>
      <c r="K42" s="16"/>
      <c r="L42" s="251"/>
      <c r="M42" s="242"/>
      <c r="N42" s="16"/>
      <c r="O42" s="13" t="str">
        <f>IF(AND($E42&lt;&gt;"",S42=""),VLOOKUP($C42&amp;$D42,'Références GES'!$E$21:$M$183,3,FALSE),"")</f>
        <v/>
      </c>
      <c r="P42" s="13" t="str">
        <f>IF(AND($E42&lt;&gt;"",T42=""),VLOOKUP($C42&amp;$D42,'Références GES'!$E$21:$M$183,2,FALSE),"")</f>
        <v/>
      </c>
      <c r="Q42" s="14"/>
      <c r="R42" s="14"/>
      <c r="S42" s="14"/>
      <c r="T42" s="14"/>
      <c r="U42" s="15" t="str">
        <f>IF('0. Installation'!$B$4&lt;DATE(2021,1,1),
"Pas de critère à respecter",
IF(E42&lt;&gt;"",
IF(AND('0. Installation'!$B$4&gt;=DATE(2021,1,1),'0. Installation'!$B$4&lt;DATE(2026,1,1)),IF(MAX(O42,Q42)&gt;=0.7,"Elec. : oui","Elec. : non"),
IF(MAX(O42,Q42)&gt;=0.8,"Elec. : oui","Elec. : non"))
&amp;" / "&amp;
IF(AND('0. Installation'!$B$4&gt;=DATE(2021,1,1),'0. Installation'!$B$4&lt;DATE(2026,1,1)),IF(MAX(P42,R42)&gt;=0.7,"Chaleur : oui","Chaleur : non"),
IF(MAX(P42,R42)&gt;=0.8,"Elec. : oui","Elec. : non")),
""))</f>
        <v>Pas de critère à respecter</v>
      </c>
      <c r="V42" s="9"/>
      <c r="W42" s="117"/>
    </row>
    <row r="43" spans="1:23" ht="15.6">
      <c r="A43" s="334"/>
      <c r="B43" s="319"/>
      <c r="C43" s="19" t="s">
        <v>52</v>
      </c>
      <c r="D43" s="11" t="s">
        <v>34</v>
      </c>
      <c r="E43" s="266"/>
      <c r="F43" s="251"/>
      <c r="G43" s="251"/>
      <c r="H43" s="251"/>
      <c r="I43" s="251"/>
      <c r="J43" s="251"/>
      <c r="K43" s="16"/>
      <c r="L43" s="251"/>
      <c r="M43" s="242"/>
      <c r="N43" s="16"/>
      <c r="O43" s="13" t="str">
        <f>IF(AND($E43&lt;&gt;"",S43=""),VLOOKUP($C43&amp;$D43,'Références GES'!$E$21:$M$183,3,FALSE),"")</f>
        <v/>
      </c>
      <c r="P43" s="13" t="str">
        <f>IF(AND($E43&lt;&gt;"",T43=""),VLOOKUP($C43&amp;$D43,'Références GES'!$E$21:$M$183,2,FALSE),"")</f>
        <v/>
      </c>
      <c r="Q43" s="14"/>
      <c r="R43" s="14"/>
      <c r="S43" s="14"/>
      <c r="T43" s="14"/>
      <c r="U43" s="15" t="str">
        <f>IF('0. Installation'!$B$4&lt;DATE(2021,1,1),
"Pas de critère à respecter",
IF(E43&lt;&gt;"",
IF(AND('0. Installation'!$B$4&gt;=DATE(2021,1,1),'0. Installation'!$B$4&lt;DATE(2026,1,1)),IF(MAX(O43,Q43)&gt;=0.7,"Elec. : oui","Elec. : non"),
IF(MAX(O43,Q43)&gt;=0.8,"Elec. : oui","Elec. : non"))
&amp;" / "&amp;
IF(AND('0. Installation'!$B$4&gt;=DATE(2021,1,1),'0. Installation'!$B$4&lt;DATE(2026,1,1)),IF(MAX(P43,R43)&gt;=0.7,"Chaleur : oui","Chaleur : non"),
IF(MAX(P43,R43)&gt;=0.8,"Elec. : oui","Elec. : non")),
""))</f>
        <v>Pas de critère à respecter</v>
      </c>
      <c r="V43" s="9"/>
      <c r="W43" s="117"/>
    </row>
    <row r="44" spans="1:23" ht="15.6">
      <c r="A44" s="334"/>
      <c r="B44" s="319"/>
      <c r="C44" s="19" t="s">
        <v>52</v>
      </c>
      <c r="D44" s="11" t="s">
        <v>35</v>
      </c>
      <c r="E44" s="266"/>
      <c r="F44" s="251"/>
      <c r="G44" s="251"/>
      <c r="H44" s="251"/>
      <c r="I44" s="251"/>
      <c r="J44" s="251"/>
      <c r="K44" s="16"/>
      <c r="L44" s="251"/>
      <c r="M44" s="242"/>
      <c r="N44" s="16"/>
      <c r="O44" s="13" t="str">
        <f>IF(AND($E44&lt;&gt;"",S44=""),VLOOKUP($C44&amp;$D44,'Références GES'!$E$21:$M$183,3,FALSE),"")</f>
        <v/>
      </c>
      <c r="P44" s="13" t="str">
        <f>IF(AND($E44&lt;&gt;"",T44=""),VLOOKUP($C44&amp;$D44,'Références GES'!$E$21:$M$183,2,FALSE),"")</f>
        <v/>
      </c>
      <c r="Q44" s="14"/>
      <c r="R44" s="14"/>
      <c r="S44" s="14"/>
      <c r="T44" s="14"/>
      <c r="U44" s="15" t="str">
        <f>IF('0. Installation'!$B$4&lt;DATE(2021,1,1),
"Pas de critère à respecter",
IF(E44&lt;&gt;"",
IF(AND('0. Installation'!$B$4&gt;=DATE(2021,1,1),'0. Installation'!$B$4&lt;DATE(2026,1,1)),IF(MAX(O44,Q44)&gt;=0.7,"Elec. : oui","Elec. : non"),
IF(MAX(O44,Q44)&gt;=0.8,"Elec. : oui","Elec. : non"))
&amp;" / "&amp;
IF(AND('0. Installation'!$B$4&gt;=DATE(2021,1,1),'0. Installation'!$B$4&lt;DATE(2026,1,1)),IF(MAX(P44,R44)&gt;=0.7,"Chaleur : oui","Chaleur : non"),
IF(MAX(P44,R44)&gt;=0.8,"Elec. : oui","Elec. : non")),
""))</f>
        <v>Pas de critère à respecter</v>
      </c>
      <c r="V44" s="9"/>
      <c r="W44" s="117"/>
    </row>
    <row r="45" spans="1:23" ht="15.6">
      <c r="A45" s="334"/>
      <c r="B45" s="320"/>
      <c r="C45" s="19" t="s">
        <v>52</v>
      </c>
      <c r="D45" s="11" t="s">
        <v>36</v>
      </c>
      <c r="E45" s="266"/>
      <c r="F45" s="251"/>
      <c r="G45" s="251"/>
      <c r="H45" s="251"/>
      <c r="I45" s="251"/>
      <c r="J45" s="251"/>
      <c r="K45" s="16"/>
      <c r="L45" s="251"/>
      <c r="M45" s="242"/>
      <c r="N45" s="16"/>
      <c r="O45" s="13" t="str">
        <f>IF(AND($E45&lt;&gt;"",S45=""),VLOOKUP($C45&amp;$D45,'Références GES'!$E$21:$M$183,3,FALSE),"")</f>
        <v/>
      </c>
      <c r="P45" s="13" t="str">
        <f>IF(AND($E45&lt;&gt;"",T45=""),VLOOKUP($C45&amp;$D45,'Références GES'!$E$21:$M$183,2,FALSE),"")</f>
        <v/>
      </c>
      <c r="Q45" s="14"/>
      <c r="R45" s="14"/>
      <c r="S45" s="14"/>
      <c r="T45" s="14"/>
      <c r="U45" s="15" t="str">
        <f>IF('0. Installation'!$B$4&lt;DATE(2021,1,1),
"Pas de critère à respecter",
IF(E45&lt;&gt;"",
IF(AND('0. Installation'!$B$4&gt;=DATE(2021,1,1),'0. Installation'!$B$4&lt;DATE(2026,1,1)),IF(MAX(O45,Q45)&gt;=0.7,"Elec. : oui","Elec. : non"),
IF(MAX(O45,Q45)&gt;=0.8,"Elec. : oui","Elec. : non"))
&amp;" / "&amp;
IF(AND('0. Installation'!$B$4&gt;=DATE(2021,1,1),'0. Installation'!$B$4&lt;DATE(2026,1,1)),IF(MAX(P45,R45)&gt;=0.7,"Chaleur : oui","Chaleur : non"),
IF(MAX(P45,R45)&gt;=0.8,"Elec. : oui","Elec. : non")),
""))</f>
        <v>Pas de critère à respecter</v>
      </c>
      <c r="V45" s="9"/>
      <c r="W45" s="117"/>
    </row>
    <row r="46" spans="1:23" ht="15.6">
      <c r="A46" s="334"/>
      <c r="B46" s="318" t="s">
        <v>53</v>
      </c>
      <c r="C46" s="19" t="s">
        <v>54</v>
      </c>
      <c r="D46" s="11" t="s">
        <v>33</v>
      </c>
      <c r="E46" s="266"/>
      <c r="F46" s="251"/>
      <c r="G46" s="251"/>
      <c r="H46" s="251"/>
      <c r="I46" s="251"/>
      <c r="J46" s="251"/>
      <c r="K46" s="16"/>
      <c r="L46" s="251"/>
      <c r="M46" s="242"/>
      <c r="N46" s="16"/>
      <c r="O46" s="13" t="str">
        <f>IF(AND($E46&lt;&gt;"",S46=""),VLOOKUP($C46&amp;$D46,'Références GES'!$E$21:$M$183,3,FALSE),"")</f>
        <v/>
      </c>
      <c r="P46" s="13" t="str">
        <f>IF(AND($E46&lt;&gt;"",T46=""),VLOOKUP($C46&amp;$D46,'Références GES'!$E$21:$M$183,2,FALSE),"")</f>
        <v/>
      </c>
      <c r="Q46" s="14"/>
      <c r="R46" s="14"/>
      <c r="S46" s="14"/>
      <c r="T46" s="14"/>
      <c r="U46" s="15" t="str">
        <f>IF('0. Installation'!$B$4&lt;DATE(2021,1,1),
"Pas de critère à respecter",
IF(E46&lt;&gt;"",
IF(AND('0. Installation'!$B$4&gt;=DATE(2021,1,1),'0. Installation'!$B$4&lt;DATE(2026,1,1)),IF(MAX(O46,Q46)&gt;=0.7,"Elec. : oui","Elec. : non"),
IF(MAX(O46,Q46)&gt;=0.8,"Elec. : oui","Elec. : non"))
&amp;" / "&amp;
IF(AND('0. Installation'!$B$4&gt;=DATE(2021,1,1),'0. Installation'!$B$4&lt;DATE(2026,1,1)),IF(MAX(P46,R46)&gt;=0.7,"Chaleur : oui","Chaleur : non"),
IF(MAX(P46,R46)&gt;=0.8,"Elec. : oui","Elec. : non")),
""))</f>
        <v>Pas de critère à respecter</v>
      </c>
      <c r="V46" s="9"/>
      <c r="W46" s="117"/>
    </row>
    <row r="47" spans="1:23" ht="15.6">
      <c r="A47" s="334"/>
      <c r="B47" s="319"/>
      <c r="C47" s="19" t="s">
        <v>54</v>
      </c>
      <c r="D47" s="11" t="s">
        <v>34</v>
      </c>
      <c r="E47" s="266"/>
      <c r="F47" s="251"/>
      <c r="G47" s="251"/>
      <c r="H47" s="251"/>
      <c r="I47" s="251"/>
      <c r="J47" s="251"/>
      <c r="K47" s="16"/>
      <c r="L47" s="251"/>
      <c r="M47" s="242"/>
      <c r="N47" s="16"/>
      <c r="O47" s="13" t="str">
        <f>IF(AND($E47&lt;&gt;"",S47=""),VLOOKUP($C47&amp;$D47,'Références GES'!$E$21:$M$183,3,FALSE),"")</f>
        <v/>
      </c>
      <c r="P47" s="13" t="str">
        <f>IF(AND($E47&lt;&gt;"",T47=""),VLOOKUP($C47&amp;$D47,'Références GES'!$E$21:$M$183,2,FALSE),"")</f>
        <v/>
      </c>
      <c r="Q47" s="14"/>
      <c r="R47" s="14"/>
      <c r="S47" s="14"/>
      <c r="T47" s="14"/>
      <c r="U47" s="15" t="str">
        <f>IF('0. Installation'!$B$4&lt;DATE(2021,1,1),
"Pas de critère à respecter",
IF(E47&lt;&gt;"",
IF(AND('0. Installation'!$B$4&gt;=DATE(2021,1,1),'0. Installation'!$B$4&lt;DATE(2026,1,1)),IF(MAX(O47,Q47)&gt;=0.7,"Elec. : oui","Elec. : non"),
IF(MAX(O47,Q47)&gt;=0.8,"Elec. : oui","Elec. : non"))
&amp;" / "&amp;
IF(AND('0. Installation'!$B$4&gt;=DATE(2021,1,1),'0. Installation'!$B$4&lt;DATE(2026,1,1)),IF(MAX(P47,R47)&gt;=0.7,"Chaleur : oui","Chaleur : non"),
IF(MAX(P47,R47)&gt;=0.8,"Elec. : oui","Elec. : non")),
""))</f>
        <v>Pas de critère à respecter</v>
      </c>
      <c r="V47" s="9"/>
      <c r="W47" s="117"/>
    </row>
    <row r="48" spans="1:23" ht="15.6">
      <c r="A48" s="334"/>
      <c r="B48" s="319"/>
      <c r="C48" s="19" t="s">
        <v>54</v>
      </c>
      <c r="D48" s="11" t="s">
        <v>35</v>
      </c>
      <c r="E48" s="266"/>
      <c r="F48" s="251"/>
      <c r="G48" s="251"/>
      <c r="H48" s="251"/>
      <c r="I48" s="251"/>
      <c r="J48" s="251"/>
      <c r="K48" s="16"/>
      <c r="L48" s="251"/>
      <c r="M48" s="242"/>
      <c r="N48" s="16"/>
      <c r="O48" s="13" t="str">
        <f>IF(AND($E48&lt;&gt;"",S48=""),VLOOKUP($C48&amp;$D48,'Références GES'!$E$21:$M$183,3,FALSE),"")</f>
        <v/>
      </c>
      <c r="P48" s="13" t="str">
        <f>IF(AND($E48&lt;&gt;"",T48=""),VLOOKUP($C48&amp;$D48,'Références GES'!$E$21:$M$183,2,FALSE),"")</f>
        <v/>
      </c>
      <c r="Q48" s="14"/>
      <c r="R48" s="14"/>
      <c r="S48" s="14"/>
      <c r="T48" s="14"/>
      <c r="U48" s="15" t="str">
        <f>IF('0. Installation'!$B$4&lt;DATE(2021,1,1),
"Pas de critère à respecter",
IF(E48&lt;&gt;"",
IF(AND('0. Installation'!$B$4&gt;=DATE(2021,1,1),'0. Installation'!$B$4&lt;DATE(2026,1,1)),IF(MAX(O48,Q48)&gt;=0.7,"Elec. : oui","Elec. : non"),
IF(MAX(O48,Q48)&gt;=0.8,"Elec. : oui","Elec. : non"))
&amp;" / "&amp;
IF(AND('0. Installation'!$B$4&gt;=DATE(2021,1,1),'0. Installation'!$B$4&lt;DATE(2026,1,1)),IF(MAX(P48,R48)&gt;=0.7,"Chaleur : oui","Chaleur : non"),
IF(MAX(P48,R48)&gt;=0.8,"Elec. : oui","Elec. : non")),
""))</f>
        <v>Pas de critère à respecter</v>
      </c>
      <c r="V48" s="9"/>
      <c r="W48" s="117"/>
    </row>
    <row r="49" spans="1:23" ht="15.6">
      <c r="A49" s="334"/>
      <c r="B49" s="320"/>
      <c r="C49" s="19" t="s">
        <v>54</v>
      </c>
      <c r="D49" s="11" t="s">
        <v>36</v>
      </c>
      <c r="E49" s="266"/>
      <c r="F49" s="251"/>
      <c r="G49" s="251"/>
      <c r="H49" s="251"/>
      <c r="I49" s="251"/>
      <c r="J49" s="251"/>
      <c r="K49" s="16"/>
      <c r="L49" s="251"/>
      <c r="M49" s="242"/>
      <c r="N49" s="16"/>
      <c r="O49" s="13" t="str">
        <f>IF(AND($E49&lt;&gt;"",S49=""),VLOOKUP($C49&amp;$D49,'Références GES'!$E$21:$M$183,3,FALSE),"")</f>
        <v/>
      </c>
      <c r="P49" s="13" t="str">
        <f>IF(AND($E49&lt;&gt;"",T49=""),VLOOKUP($C49&amp;$D49,'Références GES'!$E$21:$M$183,2,FALSE),"")</f>
        <v/>
      </c>
      <c r="Q49" s="14"/>
      <c r="R49" s="14"/>
      <c r="S49" s="14"/>
      <c r="T49" s="14"/>
      <c r="U49" s="15" t="str">
        <f>IF('0. Installation'!$B$4&lt;DATE(2021,1,1),
"Pas de critère à respecter",
IF(E49&lt;&gt;"",
IF(AND('0. Installation'!$B$4&gt;=DATE(2021,1,1),'0. Installation'!$B$4&lt;DATE(2026,1,1)),IF(MAX(O49,Q49)&gt;=0.7,"Elec. : oui","Elec. : non"),
IF(MAX(O49,Q49)&gt;=0.8,"Elec. : oui","Elec. : non"))
&amp;" / "&amp;
IF(AND('0. Installation'!$B$4&gt;=DATE(2021,1,1),'0. Installation'!$B$4&lt;DATE(2026,1,1)),IF(MAX(P49,R49)&gt;=0.7,"Chaleur : oui","Chaleur : non"),
IF(MAX(P49,R49)&gt;=0.8,"Elec. : oui","Elec. : non")),
""))</f>
        <v>Pas de critère à respecter</v>
      </c>
      <c r="V49" s="9"/>
      <c r="W49" s="117"/>
    </row>
    <row r="50" spans="1:23" ht="15.6">
      <c r="A50" s="334"/>
      <c r="B50" s="318" t="s">
        <v>55</v>
      </c>
      <c r="C50" s="19" t="s">
        <v>56</v>
      </c>
      <c r="D50" s="11" t="s">
        <v>33</v>
      </c>
      <c r="E50" s="266"/>
      <c r="F50" s="251"/>
      <c r="G50" s="251"/>
      <c r="H50" s="251"/>
      <c r="I50" s="251"/>
      <c r="J50" s="251"/>
      <c r="K50" s="16"/>
      <c r="L50" s="251"/>
      <c r="M50" s="242"/>
      <c r="N50" s="16"/>
      <c r="O50" s="13" t="str">
        <f>IF(AND($E50&lt;&gt;"",S50=""),VLOOKUP($C50&amp;$D50,'Références GES'!$E$21:$M$183,3,FALSE),"")</f>
        <v/>
      </c>
      <c r="P50" s="13" t="str">
        <f>IF(AND($E50&lt;&gt;"",T50=""),VLOOKUP($C50&amp;$D50,'Références GES'!$E$21:$M$183,2,FALSE),"")</f>
        <v/>
      </c>
      <c r="Q50" s="14"/>
      <c r="R50" s="14"/>
      <c r="S50" s="14"/>
      <c r="T50" s="14"/>
      <c r="U50" s="15" t="str">
        <f>IF('0. Installation'!$B$4&lt;DATE(2021,1,1),
"Pas de critère à respecter",
IF(E50&lt;&gt;"",
IF(AND('0. Installation'!$B$4&gt;=DATE(2021,1,1),'0. Installation'!$B$4&lt;DATE(2026,1,1)),IF(MAX(O50,Q50)&gt;=0.7,"Elec. : oui","Elec. : non"),
IF(MAX(O50,Q50)&gt;=0.8,"Elec. : oui","Elec. : non"))
&amp;" / "&amp;
IF(AND('0. Installation'!$B$4&gt;=DATE(2021,1,1),'0. Installation'!$B$4&lt;DATE(2026,1,1)),IF(MAX(P50,R50)&gt;=0.7,"Chaleur : oui","Chaleur : non"),
IF(MAX(P50,R50)&gt;=0.8,"Elec. : oui","Elec. : non")),
""))</f>
        <v>Pas de critère à respecter</v>
      </c>
      <c r="V50" s="9"/>
      <c r="W50" s="117"/>
    </row>
    <row r="51" spans="1:23" ht="15.6">
      <c r="A51" s="334"/>
      <c r="B51" s="319"/>
      <c r="C51" s="19" t="s">
        <v>56</v>
      </c>
      <c r="D51" s="11" t="s">
        <v>34</v>
      </c>
      <c r="E51" s="266"/>
      <c r="F51" s="251"/>
      <c r="G51" s="251"/>
      <c r="H51" s="251"/>
      <c r="I51" s="251"/>
      <c r="J51" s="251"/>
      <c r="K51" s="16"/>
      <c r="L51" s="251"/>
      <c r="M51" s="242"/>
      <c r="N51" s="16"/>
      <c r="O51" s="13" t="str">
        <f>IF(AND($E51&lt;&gt;"",S51=""),VLOOKUP($C51&amp;$D51,'Références GES'!$E$21:$M$183,3,FALSE),"")</f>
        <v/>
      </c>
      <c r="P51" s="13" t="str">
        <f>IF(AND($E51&lt;&gt;"",T51=""),VLOOKUP($C51&amp;$D51,'Références GES'!$E$21:$M$183,2,FALSE),"")</f>
        <v/>
      </c>
      <c r="Q51" s="14"/>
      <c r="R51" s="14"/>
      <c r="S51" s="14"/>
      <c r="T51" s="14"/>
      <c r="U51" s="15" t="str">
        <f>IF('0. Installation'!$B$4&lt;DATE(2021,1,1),
"Pas de critère à respecter",
IF(E51&lt;&gt;"",
IF(AND('0. Installation'!$B$4&gt;=DATE(2021,1,1),'0. Installation'!$B$4&lt;DATE(2026,1,1)),IF(MAX(O51,Q51)&gt;=0.7,"Elec. : oui","Elec. : non"),
IF(MAX(O51,Q51)&gt;=0.8,"Elec. : oui","Elec. : non"))
&amp;" / "&amp;
IF(AND('0. Installation'!$B$4&gt;=DATE(2021,1,1),'0. Installation'!$B$4&lt;DATE(2026,1,1)),IF(MAX(P51,R51)&gt;=0.7,"Chaleur : oui","Chaleur : non"),
IF(MAX(P51,R51)&gt;=0.8,"Elec. : oui","Elec. : non")),
""))</f>
        <v>Pas de critère à respecter</v>
      </c>
      <c r="V51" s="9"/>
      <c r="W51" s="117"/>
    </row>
    <row r="52" spans="1:23" ht="15.6">
      <c r="A52" s="334"/>
      <c r="B52" s="319"/>
      <c r="C52" s="19" t="s">
        <v>56</v>
      </c>
      <c r="D52" s="11" t="s">
        <v>35</v>
      </c>
      <c r="E52" s="266"/>
      <c r="F52" s="251"/>
      <c r="G52" s="251"/>
      <c r="H52" s="251"/>
      <c r="I52" s="251"/>
      <c r="J52" s="251"/>
      <c r="K52" s="16"/>
      <c r="L52" s="251"/>
      <c r="M52" s="242"/>
      <c r="N52" s="16"/>
      <c r="O52" s="13" t="str">
        <f>IF(AND($E52&lt;&gt;"",S52=""),VLOOKUP($C52&amp;$D52,'Références GES'!$E$21:$M$183,3,FALSE),"")</f>
        <v/>
      </c>
      <c r="P52" s="13" t="str">
        <f>IF(AND($E52&lt;&gt;"",T52=""),VLOOKUP($C52&amp;$D52,'Références GES'!$E$21:$M$183,2,FALSE),"")</f>
        <v/>
      </c>
      <c r="Q52" s="14"/>
      <c r="R52" s="14"/>
      <c r="S52" s="14"/>
      <c r="T52" s="14"/>
      <c r="U52" s="15" t="str">
        <f>IF('0. Installation'!$B$4&lt;DATE(2021,1,1),
"Pas de critère à respecter",
IF(E52&lt;&gt;"",
IF(AND('0. Installation'!$B$4&gt;=DATE(2021,1,1),'0. Installation'!$B$4&lt;DATE(2026,1,1)),IF(MAX(O52,Q52)&gt;=0.7,"Elec. : oui","Elec. : non"),
IF(MAX(O52,Q52)&gt;=0.8,"Elec. : oui","Elec. : non"))
&amp;" / "&amp;
IF(AND('0. Installation'!$B$4&gt;=DATE(2021,1,1),'0. Installation'!$B$4&lt;DATE(2026,1,1)),IF(MAX(P52,R52)&gt;=0.7,"Chaleur : oui","Chaleur : non"),
IF(MAX(P52,R52)&gt;=0.8,"Elec. : oui","Elec. : non")),
""))</f>
        <v>Pas de critère à respecter</v>
      </c>
      <c r="V52" s="9"/>
      <c r="W52" s="117"/>
    </row>
    <row r="53" spans="1:23" ht="15.6">
      <c r="A53" s="334"/>
      <c r="B53" s="320"/>
      <c r="C53" s="19" t="s">
        <v>56</v>
      </c>
      <c r="D53" s="11" t="s">
        <v>36</v>
      </c>
      <c r="E53" s="266"/>
      <c r="F53" s="251"/>
      <c r="G53" s="251"/>
      <c r="H53" s="251"/>
      <c r="I53" s="251"/>
      <c r="J53" s="251"/>
      <c r="K53" s="16"/>
      <c r="L53" s="251"/>
      <c r="M53" s="242"/>
      <c r="N53" s="16"/>
      <c r="O53" s="13" t="str">
        <f>IF(AND($E53&lt;&gt;"",S53=""),VLOOKUP($C53&amp;$D53,'Références GES'!$E$21:$M$183,3,FALSE),"")</f>
        <v/>
      </c>
      <c r="P53" s="13" t="str">
        <f>IF(AND($E53&lt;&gt;"",T53=""),VLOOKUP($C53&amp;$D53,'Références GES'!$E$21:$M$183,2,FALSE),"")</f>
        <v/>
      </c>
      <c r="Q53" s="14"/>
      <c r="R53" s="14"/>
      <c r="S53" s="14"/>
      <c r="T53" s="14"/>
      <c r="U53" s="15" t="str">
        <f>IF('0. Installation'!$B$4&lt;DATE(2021,1,1),
"Pas de critère à respecter",
IF(E53&lt;&gt;"",
IF(AND('0. Installation'!$B$4&gt;=DATE(2021,1,1),'0. Installation'!$B$4&lt;DATE(2026,1,1)),IF(MAX(O53,Q53)&gt;=0.7,"Elec. : oui","Elec. : non"),
IF(MAX(O53,Q53)&gt;=0.8,"Elec. : oui","Elec. : non"))
&amp;" / "&amp;
IF(AND('0. Installation'!$B$4&gt;=DATE(2021,1,1),'0. Installation'!$B$4&lt;DATE(2026,1,1)),IF(MAX(P53,R53)&gt;=0.7,"Chaleur : oui","Chaleur : non"),
IF(MAX(P53,R53)&gt;=0.8,"Elec. : oui","Elec. : non")),
""))</f>
        <v>Pas de critère à respecter</v>
      </c>
      <c r="V53" s="9"/>
      <c r="W53" s="117"/>
    </row>
    <row r="54" spans="1:23" ht="15.6">
      <c r="A54" s="334"/>
      <c r="B54" s="318" t="s">
        <v>370</v>
      </c>
      <c r="C54" s="19" t="s">
        <v>57</v>
      </c>
      <c r="D54" s="11" t="s">
        <v>33</v>
      </c>
      <c r="E54" s="266"/>
      <c r="F54" s="251"/>
      <c r="G54" s="251"/>
      <c r="H54" s="251"/>
      <c r="I54" s="251"/>
      <c r="J54" s="251"/>
      <c r="K54" s="16"/>
      <c r="L54" s="251"/>
      <c r="M54" s="242"/>
      <c r="N54" s="16"/>
      <c r="O54" s="13" t="str">
        <f>IF(AND($E54&lt;&gt;"",S54=""),VLOOKUP($C54&amp;$D54,'Références GES'!$E$21:$M$183,3,FALSE),"")</f>
        <v/>
      </c>
      <c r="P54" s="13" t="str">
        <f>IF(AND($E54&lt;&gt;"",T54=""),VLOOKUP($C54&amp;$D54,'Références GES'!$E$21:$M$183,2,FALSE),"")</f>
        <v/>
      </c>
      <c r="Q54" s="14"/>
      <c r="R54" s="14"/>
      <c r="S54" s="14"/>
      <c r="T54" s="14"/>
      <c r="U54" s="15" t="str">
        <f>IF('0. Installation'!$B$4&lt;DATE(2021,1,1),
"Pas de critère à respecter",
IF(E54&lt;&gt;"",
IF(AND('0. Installation'!$B$4&gt;=DATE(2021,1,1),'0. Installation'!$B$4&lt;DATE(2026,1,1)),IF(MAX(O54,Q54)&gt;=0.7,"Elec. : oui","Elec. : non"),
IF(MAX(O54,Q54)&gt;=0.8,"Elec. : oui","Elec. : non"))
&amp;" / "&amp;
IF(AND('0. Installation'!$B$4&gt;=DATE(2021,1,1),'0. Installation'!$B$4&lt;DATE(2026,1,1)),IF(MAX(P54,R54)&gt;=0.7,"Chaleur : oui","Chaleur : non"),
IF(MAX(P54,R54)&gt;=0.8,"Elec. : oui","Elec. : non")),
""))</f>
        <v>Pas de critère à respecter</v>
      </c>
      <c r="V54" s="9"/>
      <c r="W54" s="117"/>
    </row>
    <row r="55" spans="1:23" ht="15.6">
      <c r="A55" s="334"/>
      <c r="B55" s="319"/>
      <c r="C55" s="19" t="s">
        <v>57</v>
      </c>
      <c r="D55" s="11" t="s">
        <v>34</v>
      </c>
      <c r="E55" s="266"/>
      <c r="F55" s="251"/>
      <c r="G55" s="251"/>
      <c r="H55" s="251"/>
      <c r="I55" s="251"/>
      <c r="J55" s="251"/>
      <c r="K55" s="16"/>
      <c r="L55" s="251"/>
      <c r="M55" s="242"/>
      <c r="N55" s="16"/>
      <c r="O55" s="13" t="str">
        <f>IF(AND($E55&lt;&gt;"",S55=""),VLOOKUP($C55&amp;$D55,'Références GES'!$E$21:$M$183,3,FALSE),"")</f>
        <v/>
      </c>
      <c r="P55" s="13" t="str">
        <f>IF(AND($E55&lt;&gt;"",T55=""),VLOOKUP($C55&amp;$D55,'Références GES'!$E$21:$M$183,2,FALSE),"")</f>
        <v/>
      </c>
      <c r="Q55" s="14"/>
      <c r="R55" s="14"/>
      <c r="S55" s="14"/>
      <c r="T55" s="14"/>
      <c r="U55" s="15" t="str">
        <f>IF('0. Installation'!$B$4&lt;DATE(2021,1,1),
"Pas de critère à respecter",
IF(E55&lt;&gt;"",
IF(AND('0. Installation'!$B$4&gt;=DATE(2021,1,1),'0. Installation'!$B$4&lt;DATE(2026,1,1)),IF(MAX(O55,Q55)&gt;=0.7,"Elec. : oui","Elec. : non"),
IF(MAX(O55,Q55)&gt;=0.8,"Elec. : oui","Elec. : non"))
&amp;" / "&amp;
IF(AND('0. Installation'!$B$4&gt;=DATE(2021,1,1),'0. Installation'!$B$4&lt;DATE(2026,1,1)),IF(MAX(P55,R55)&gt;=0.7,"Chaleur : oui","Chaleur : non"),
IF(MAX(P55,R55)&gt;=0.8,"Elec. : oui","Elec. : non")),
""))</f>
        <v>Pas de critère à respecter</v>
      </c>
      <c r="V55" s="9"/>
      <c r="W55" s="117"/>
    </row>
    <row r="56" spans="1:23" ht="15.6">
      <c r="A56" s="334"/>
      <c r="B56" s="319"/>
      <c r="C56" s="19" t="s">
        <v>57</v>
      </c>
      <c r="D56" s="11" t="s">
        <v>35</v>
      </c>
      <c r="E56" s="266"/>
      <c r="F56" s="251"/>
      <c r="G56" s="251"/>
      <c r="H56" s="251"/>
      <c r="I56" s="251"/>
      <c r="J56" s="251"/>
      <c r="K56" s="16"/>
      <c r="L56" s="251"/>
      <c r="M56" s="242"/>
      <c r="N56" s="16"/>
      <c r="O56" s="13" t="str">
        <f>IF(AND($E56&lt;&gt;"",S56=""),VLOOKUP($C56&amp;$D56,'Références GES'!$E$21:$M$183,3,FALSE),"")</f>
        <v/>
      </c>
      <c r="P56" s="13" t="str">
        <f>IF(AND($E56&lt;&gt;"",T56=""),VLOOKUP($C56&amp;$D56,'Références GES'!$E$21:$M$183,2,FALSE),"")</f>
        <v/>
      </c>
      <c r="Q56" s="14"/>
      <c r="R56" s="14"/>
      <c r="S56" s="14"/>
      <c r="T56" s="14"/>
      <c r="U56" s="15" t="str">
        <f>IF('0. Installation'!$B$4&lt;DATE(2021,1,1),
"Pas de critère à respecter",
IF(E56&lt;&gt;"",
IF(AND('0. Installation'!$B$4&gt;=DATE(2021,1,1),'0. Installation'!$B$4&lt;DATE(2026,1,1)),IF(MAX(O56,Q56)&gt;=0.7,"Elec. : oui","Elec. : non"),
IF(MAX(O56,Q56)&gt;=0.8,"Elec. : oui","Elec. : non"))
&amp;" / "&amp;
IF(AND('0. Installation'!$B$4&gt;=DATE(2021,1,1),'0. Installation'!$B$4&lt;DATE(2026,1,1)),IF(MAX(P56,R56)&gt;=0.7,"Chaleur : oui","Chaleur : non"),
IF(MAX(P56,R56)&gt;=0.8,"Elec. : oui","Elec. : non")),
""))</f>
        <v>Pas de critère à respecter</v>
      </c>
      <c r="V56" s="9"/>
      <c r="W56" s="117"/>
    </row>
    <row r="57" spans="1:23" ht="15.6">
      <c r="A57" s="334"/>
      <c r="B57" s="320"/>
      <c r="C57" s="19" t="s">
        <v>57</v>
      </c>
      <c r="D57" s="11" t="s">
        <v>36</v>
      </c>
      <c r="E57" s="266"/>
      <c r="F57" s="251"/>
      <c r="G57" s="251"/>
      <c r="H57" s="251"/>
      <c r="I57" s="251"/>
      <c r="J57" s="251"/>
      <c r="K57" s="16"/>
      <c r="L57" s="251"/>
      <c r="M57" s="242"/>
      <c r="N57" s="16"/>
      <c r="O57" s="13" t="str">
        <f>IF(AND($E57&lt;&gt;"",S57=""),VLOOKUP($C57&amp;$D57,'Références GES'!$E$21:$M$183,3,FALSE),"")</f>
        <v/>
      </c>
      <c r="P57" s="13" t="str">
        <f>IF(AND($E57&lt;&gt;"",T57=""),VLOOKUP($C57&amp;$D57,'Références GES'!$E$21:$M$183,2,FALSE),"")</f>
        <v/>
      </c>
      <c r="Q57" s="14"/>
      <c r="R57" s="14"/>
      <c r="S57" s="14"/>
      <c r="T57" s="14"/>
      <c r="U57" s="15" t="str">
        <f>IF('0. Installation'!$B$4&lt;DATE(2021,1,1),
"Pas de critère à respecter",
IF(E57&lt;&gt;"",
IF(AND('0. Installation'!$B$4&gt;=DATE(2021,1,1),'0. Installation'!$B$4&lt;DATE(2026,1,1)),IF(MAX(O57,Q57)&gt;=0.7,"Elec. : oui","Elec. : non"),
IF(MAX(O57,Q57)&gt;=0.8,"Elec. : oui","Elec. : non"))
&amp;" / "&amp;
IF(AND('0. Installation'!$B$4&gt;=DATE(2021,1,1),'0. Installation'!$B$4&lt;DATE(2026,1,1)),IF(MAX(P57,R57)&gt;=0.7,"Chaleur : oui","Chaleur : non"),
IF(MAX(P57,R57)&gt;=0.8,"Elec. : oui","Elec. : non")),
""))</f>
        <v>Pas de critère à respecter</v>
      </c>
      <c r="V57" s="9"/>
      <c r="W57" s="117"/>
    </row>
    <row r="58" spans="1:23" ht="15.6">
      <c r="A58" s="334"/>
      <c r="B58" s="318" t="s">
        <v>58</v>
      </c>
      <c r="C58" s="19" t="s">
        <v>59</v>
      </c>
      <c r="D58" s="11" t="s">
        <v>33</v>
      </c>
      <c r="E58" s="266"/>
      <c r="F58" s="251"/>
      <c r="G58" s="251"/>
      <c r="H58" s="251"/>
      <c r="I58" s="251"/>
      <c r="J58" s="251"/>
      <c r="K58" s="16"/>
      <c r="L58" s="251"/>
      <c r="M58" s="242"/>
      <c r="N58" s="16"/>
      <c r="O58" s="13" t="str">
        <f>IF(AND($E58&lt;&gt;"",S58=""),VLOOKUP($C58&amp;$D58,'Références GES'!$E$21:$M$183,3,FALSE),"")</f>
        <v/>
      </c>
      <c r="P58" s="13" t="str">
        <f>IF(AND($E58&lt;&gt;"",T58=""),VLOOKUP($C58&amp;$D58,'Références GES'!$E$21:$M$183,2,FALSE),"")</f>
        <v/>
      </c>
      <c r="Q58" s="14"/>
      <c r="R58" s="14"/>
      <c r="S58" s="14"/>
      <c r="T58" s="14"/>
      <c r="U58" s="15" t="str">
        <f>IF('0. Installation'!$B$4&lt;DATE(2021,1,1),
"Pas de critère à respecter",
IF(E58&lt;&gt;"",
IF(AND('0. Installation'!$B$4&gt;=DATE(2021,1,1),'0. Installation'!$B$4&lt;DATE(2026,1,1)),IF(MAX(O58,Q58)&gt;=0.7,"Elec. : oui","Elec. : non"),
IF(MAX(O58,Q58)&gt;=0.8,"Elec. : oui","Elec. : non"))
&amp;" / "&amp;
IF(AND('0. Installation'!$B$4&gt;=DATE(2021,1,1),'0. Installation'!$B$4&lt;DATE(2026,1,1)),IF(MAX(P58,R58)&gt;=0.7,"Chaleur : oui","Chaleur : non"),
IF(MAX(P58,R58)&gt;=0.8,"Elec. : oui","Elec. : non")),
""))</f>
        <v>Pas de critère à respecter</v>
      </c>
      <c r="V58" s="9"/>
      <c r="W58" s="117"/>
    </row>
    <row r="59" spans="1:23" ht="15.6">
      <c r="A59" s="334"/>
      <c r="B59" s="319"/>
      <c r="C59" s="19" t="s">
        <v>59</v>
      </c>
      <c r="D59" s="11" t="s">
        <v>34</v>
      </c>
      <c r="E59" s="266"/>
      <c r="F59" s="251"/>
      <c r="G59" s="251"/>
      <c r="H59" s="251"/>
      <c r="I59" s="251"/>
      <c r="J59" s="251"/>
      <c r="K59" s="16"/>
      <c r="L59" s="251"/>
      <c r="M59" s="242"/>
      <c r="N59" s="16"/>
      <c r="O59" s="13" t="str">
        <f>IF(AND($E59&lt;&gt;"",S59=""),VLOOKUP($C59&amp;$D59,'Références GES'!$E$21:$M$183,3,FALSE),"")</f>
        <v/>
      </c>
      <c r="P59" s="13" t="str">
        <f>IF(AND($E59&lt;&gt;"",T59=""),VLOOKUP($C59&amp;$D59,'Références GES'!$E$21:$M$183,2,FALSE),"")</f>
        <v/>
      </c>
      <c r="Q59" s="14"/>
      <c r="R59" s="14"/>
      <c r="S59" s="14"/>
      <c r="T59" s="14"/>
      <c r="U59" s="15" t="str">
        <f>IF('0. Installation'!$B$4&lt;DATE(2021,1,1),
"Pas de critère à respecter",
IF(E59&lt;&gt;"",
IF(AND('0. Installation'!$B$4&gt;=DATE(2021,1,1),'0. Installation'!$B$4&lt;DATE(2026,1,1)),IF(MAX(O59,Q59)&gt;=0.7,"Elec. : oui","Elec. : non"),
IF(MAX(O59,Q59)&gt;=0.8,"Elec. : oui","Elec. : non"))
&amp;" / "&amp;
IF(AND('0. Installation'!$B$4&gt;=DATE(2021,1,1),'0. Installation'!$B$4&lt;DATE(2026,1,1)),IF(MAX(P59,R59)&gt;=0.7,"Chaleur : oui","Chaleur : non"),
IF(MAX(P59,R59)&gt;=0.8,"Elec. : oui","Elec. : non")),
""))</f>
        <v>Pas de critère à respecter</v>
      </c>
      <c r="V59" s="9"/>
      <c r="W59" s="117"/>
    </row>
    <row r="60" spans="1:23" ht="15.6">
      <c r="A60" s="334"/>
      <c r="B60" s="319"/>
      <c r="C60" s="19" t="s">
        <v>59</v>
      </c>
      <c r="D60" s="11" t="s">
        <v>35</v>
      </c>
      <c r="E60" s="266"/>
      <c r="F60" s="251"/>
      <c r="G60" s="251"/>
      <c r="H60" s="251"/>
      <c r="I60" s="251"/>
      <c r="J60" s="251"/>
      <c r="K60" s="16"/>
      <c r="L60" s="251"/>
      <c r="M60" s="242"/>
      <c r="N60" s="16"/>
      <c r="O60" s="13" t="str">
        <f>IF(AND($E60&lt;&gt;"",S60=""),VLOOKUP($C60&amp;$D60,'Références GES'!$E$21:$M$183,3,FALSE),"")</f>
        <v/>
      </c>
      <c r="P60" s="13" t="str">
        <f>IF(AND($E60&lt;&gt;"",T60=""),VLOOKUP($C60&amp;$D60,'Références GES'!$E$21:$M$183,2,FALSE),"")</f>
        <v/>
      </c>
      <c r="Q60" s="14"/>
      <c r="R60" s="14"/>
      <c r="S60" s="14"/>
      <c r="T60" s="14"/>
      <c r="U60" s="15" t="str">
        <f>IF('0. Installation'!$B$4&lt;DATE(2021,1,1),
"Pas de critère à respecter",
IF(E60&lt;&gt;"",
IF(AND('0. Installation'!$B$4&gt;=DATE(2021,1,1),'0. Installation'!$B$4&lt;DATE(2026,1,1)),IF(MAX(O60,Q60)&gt;=0.7,"Elec. : oui","Elec. : non"),
IF(MAX(O60,Q60)&gt;=0.8,"Elec. : oui","Elec. : non"))
&amp;" / "&amp;
IF(AND('0. Installation'!$B$4&gt;=DATE(2021,1,1),'0. Installation'!$B$4&lt;DATE(2026,1,1)),IF(MAX(P60,R60)&gt;=0.7,"Chaleur : oui","Chaleur : non"),
IF(MAX(P60,R60)&gt;=0.8,"Elec. : oui","Elec. : non")),
""))</f>
        <v>Pas de critère à respecter</v>
      </c>
      <c r="V60" s="9"/>
      <c r="W60" s="117"/>
    </row>
    <row r="61" spans="1:23" ht="15.6">
      <c r="A61" s="334"/>
      <c r="B61" s="320"/>
      <c r="C61" s="19" t="s">
        <v>59</v>
      </c>
      <c r="D61" s="11" t="s">
        <v>36</v>
      </c>
      <c r="E61" s="266"/>
      <c r="F61" s="251"/>
      <c r="G61" s="251"/>
      <c r="H61" s="251"/>
      <c r="I61" s="251"/>
      <c r="J61" s="251"/>
      <c r="K61" s="16"/>
      <c r="L61" s="251"/>
      <c r="M61" s="242"/>
      <c r="N61" s="16"/>
      <c r="O61" s="13" t="str">
        <f>IF(AND($E61&lt;&gt;"",S61=""),VLOOKUP($C61&amp;$D61,'Références GES'!$E$21:$M$183,3,FALSE),"")</f>
        <v/>
      </c>
      <c r="P61" s="13" t="str">
        <f>IF(AND($E61&lt;&gt;"",T61=""),VLOOKUP($C61&amp;$D61,'Références GES'!$E$21:$M$183,2,FALSE),"")</f>
        <v/>
      </c>
      <c r="Q61" s="14"/>
      <c r="R61" s="14"/>
      <c r="S61" s="14"/>
      <c r="T61" s="14"/>
      <c r="U61" s="15" t="str">
        <f>IF('0. Installation'!$B$4&lt;DATE(2021,1,1),
"Pas de critère à respecter",
IF(E61&lt;&gt;"",
IF(AND('0. Installation'!$B$4&gt;=DATE(2021,1,1),'0. Installation'!$B$4&lt;DATE(2026,1,1)),IF(MAX(O61,Q61)&gt;=0.7,"Elec. : oui","Elec. : non"),
IF(MAX(O61,Q61)&gt;=0.8,"Elec. : oui","Elec. : non"))
&amp;" / "&amp;
IF(AND('0. Installation'!$B$4&gt;=DATE(2021,1,1),'0. Installation'!$B$4&lt;DATE(2026,1,1)),IF(MAX(P61,R61)&gt;=0.7,"Chaleur : oui","Chaleur : non"),
IF(MAX(P61,R61)&gt;=0.8,"Elec. : oui","Elec. : non")),
""))</f>
        <v>Pas de critère à respecter</v>
      </c>
      <c r="V61" s="9"/>
      <c r="W61" s="117"/>
    </row>
    <row r="62" spans="1:23" ht="15.6">
      <c r="A62" s="334"/>
      <c r="B62" s="318" t="s">
        <v>60</v>
      </c>
      <c r="C62" s="19" t="s">
        <v>61</v>
      </c>
      <c r="D62" s="11" t="s">
        <v>33</v>
      </c>
      <c r="E62" s="266"/>
      <c r="F62" s="251"/>
      <c r="G62" s="251"/>
      <c r="H62" s="251"/>
      <c r="I62" s="251"/>
      <c r="J62" s="251"/>
      <c r="K62" s="16"/>
      <c r="L62" s="251"/>
      <c r="M62" s="242"/>
      <c r="N62" s="16"/>
      <c r="O62" s="13" t="str">
        <f>IF(AND($E62&lt;&gt;"",S62=""),VLOOKUP($C62&amp;$D62,'Références GES'!$E$21:$M$183,3,FALSE),"")</f>
        <v/>
      </c>
      <c r="P62" s="13" t="str">
        <f>IF(AND($E62&lt;&gt;"",T62=""),VLOOKUP($C62&amp;$D62,'Références GES'!$E$21:$M$183,2,FALSE),"")</f>
        <v/>
      </c>
      <c r="Q62" s="14"/>
      <c r="R62" s="14"/>
      <c r="S62" s="14"/>
      <c r="T62" s="14"/>
      <c r="U62" s="15" t="str">
        <f>IF('0. Installation'!$B$4&lt;DATE(2021,1,1),
"Pas de critère à respecter",
IF(E62&lt;&gt;"",
IF(AND('0. Installation'!$B$4&gt;=DATE(2021,1,1),'0. Installation'!$B$4&lt;DATE(2026,1,1)),IF(MAX(O62,Q62)&gt;=0.7,"Elec. : oui","Elec. : non"),
IF(MAX(O62,Q62)&gt;=0.8,"Elec. : oui","Elec. : non"))
&amp;" / "&amp;
IF(AND('0. Installation'!$B$4&gt;=DATE(2021,1,1),'0. Installation'!$B$4&lt;DATE(2026,1,1)),IF(MAX(P62,R62)&gt;=0.7,"Chaleur : oui","Chaleur : non"),
IF(MAX(P62,R62)&gt;=0.8,"Elec. : oui","Elec. : non")),
""))</f>
        <v>Pas de critère à respecter</v>
      </c>
      <c r="V62" s="9"/>
      <c r="W62" s="117"/>
    </row>
    <row r="63" spans="1:23" ht="15.6">
      <c r="A63" s="334"/>
      <c r="B63" s="319"/>
      <c r="C63" s="19" t="s">
        <v>61</v>
      </c>
      <c r="D63" s="11" t="s">
        <v>34</v>
      </c>
      <c r="E63" s="266"/>
      <c r="F63" s="251"/>
      <c r="G63" s="251"/>
      <c r="H63" s="251"/>
      <c r="I63" s="251"/>
      <c r="J63" s="251"/>
      <c r="K63" s="16"/>
      <c r="L63" s="251"/>
      <c r="M63" s="242"/>
      <c r="N63" s="16"/>
      <c r="O63" s="13" t="str">
        <f>IF(AND($E63&lt;&gt;"",S63=""),VLOOKUP($C63&amp;$D63,'Références GES'!$E$21:$M$183,3,FALSE),"")</f>
        <v/>
      </c>
      <c r="P63" s="13" t="str">
        <f>IF(AND($E63&lt;&gt;"",T63=""),VLOOKUP($C63&amp;$D63,'Références GES'!$E$21:$M$183,2,FALSE),"")</f>
        <v/>
      </c>
      <c r="Q63" s="14"/>
      <c r="R63" s="14"/>
      <c r="S63" s="14"/>
      <c r="T63" s="14"/>
      <c r="U63" s="15" t="str">
        <f>IF('0. Installation'!$B$4&lt;DATE(2021,1,1),
"Pas de critère à respecter",
IF(E63&lt;&gt;"",
IF(AND('0. Installation'!$B$4&gt;=DATE(2021,1,1),'0. Installation'!$B$4&lt;DATE(2026,1,1)),IF(MAX(O63,Q63)&gt;=0.7,"Elec. : oui","Elec. : non"),
IF(MAX(O63,Q63)&gt;=0.8,"Elec. : oui","Elec. : non"))
&amp;" / "&amp;
IF(AND('0. Installation'!$B$4&gt;=DATE(2021,1,1),'0. Installation'!$B$4&lt;DATE(2026,1,1)),IF(MAX(P63,R63)&gt;=0.7,"Chaleur : oui","Chaleur : non"),
IF(MAX(P63,R63)&gt;=0.8,"Elec. : oui","Elec. : non")),
""))</f>
        <v>Pas de critère à respecter</v>
      </c>
      <c r="V63" s="9"/>
      <c r="W63" s="117"/>
    </row>
    <row r="64" spans="1:23" ht="15.6">
      <c r="A64" s="334"/>
      <c r="B64" s="319"/>
      <c r="C64" s="19" t="s">
        <v>61</v>
      </c>
      <c r="D64" s="11" t="s">
        <v>35</v>
      </c>
      <c r="E64" s="266"/>
      <c r="F64" s="251"/>
      <c r="G64" s="251"/>
      <c r="H64" s="251"/>
      <c r="I64" s="251"/>
      <c r="J64" s="251"/>
      <c r="K64" s="16"/>
      <c r="L64" s="251"/>
      <c r="M64" s="242"/>
      <c r="N64" s="16"/>
      <c r="O64" s="13" t="str">
        <f>IF(AND($E64&lt;&gt;"",S64=""),VLOOKUP($C64&amp;$D64,'Références GES'!$E$21:$M$183,3,FALSE),"")</f>
        <v/>
      </c>
      <c r="P64" s="13" t="str">
        <f>IF(AND($E64&lt;&gt;"",T64=""),VLOOKUP($C64&amp;$D64,'Références GES'!$E$21:$M$183,2,FALSE),"")</f>
        <v/>
      </c>
      <c r="Q64" s="14"/>
      <c r="R64" s="14"/>
      <c r="S64" s="14"/>
      <c r="T64" s="14"/>
      <c r="U64" s="15" t="str">
        <f>IF('0. Installation'!$B$4&lt;DATE(2021,1,1),
"Pas de critère à respecter",
IF(E64&lt;&gt;"",
IF(AND('0. Installation'!$B$4&gt;=DATE(2021,1,1),'0. Installation'!$B$4&lt;DATE(2026,1,1)),IF(MAX(O64,Q64)&gt;=0.7,"Elec. : oui","Elec. : non"),
IF(MAX(O64,Q64)&gt;=0.8,"Elec. : oui","Elec. : non"))
&amp;" / "&amp;
IF(AND('0. Installation'!$B$4&gt;=DATE(2021,1,1),'0. Installation'!$B$4&lt;DATE(2026,1,1)),IF(MAX(P64,R64)&gt;=0.7,"Chaleur : oui","Chaleur : non"),
IF(MAX(P64,R64)&gt;=0.8,"Elec. : oui","Elec. : non")),
""))</f>
        <v>Pas de critère à respecter</v>
      </c>
      <c r="V64" s="9"/>
      <c r="W64" s="117"/>
    </row>
    <row r="65" spans="1:23" ht="15.6">
      <c r="A65" s="334"/>
      <c r="B65" s="319"/>
      <c r="C65" s="19" t="s">
        <v>61</v>
      </c>
      <c r="D65" s="20" t="s">
        <v>36</v>
      </c>
      <c r="E65" s="266"/>
      <c r="F65" s="251"/>
      <c r="G65" s="251"/>
      <c r="H65" s="251"/>
      <c r="I65" s="251"/>
      <c r="J65" s="251"/>
      <c r="K65" s="24"/>
      <c r="L65" s="251"/>
      <c r="M65" s="242"/>
      <c r="N65" s="16"/>
      <c r="O65" s="13" t="str">
        <f>IF(AND($E65&lt;&gt;"",S65=""),VLOOKUP($C65&amp;$D65,'Références GES'!$E$21:$M$183,3,FALSE),"")</f>
        <v/>
      </c>
      <c r="P65" s="13" t="str">
        <f>IF(AND($E65&lt;&gt;"",T65=""),VLOOKUP($C65&amp;$D65,'Références GES'!$E$21:$M$183,2,FALSE),"")</f>
        <v/>
      </c>
      <c r="Q65" s="22"/>
      <c r="R65" s="22"/>
      <c r="S65" s="22"/>
      <c r="T65" s="22"/>
      <c r="U65" s="23" t="str">
        <f>IF('0. Installation'!$B$4&lt;DATE(2021,1,1),
"Pas de critère à respecter",
IF(E65&lt;&gt;"",
IF(AND('0. Installation'!$B$4&gt;=DATE(2021,1,1),'0. Installation'!$B$4&lt;DATE(2026,1,1)),IF(MAX(O65,Q65)&gt;=0.7,"Elec. : oui","Elec. : non"),
IF(MAX(O65,Q65)&gt;=0.8,"Elec. : oui","Elec. : non"))
&amp;" / "&amp;
IF(AND('0. Installation'!$B$4&gt;=DATE(2021,1,1),'0. Installation'!$B$4&lt;DATE(2026,1,1)),IF(MAX(P65,R65)&gt;=0.7,"Chaleur : oui","Chaleur : non"),
IF(MAX(P65,R65)&gt;=0.8,"Elec. : oui","Elec. : non")),
""))</f>
        <v>Pas de critère à respecter</v>
      </c>
      <c r="V65" s="9"/>
      <c r="W65" s="117"/>
    </row>
    <row r="66" spans="1:23" ht="15.6">
      <c r="A66" s="104" t="s">
        <v>62</v>
      </c>
      <c r="B66" s="25"/>
      <c r="C66" s="25"/>
      <c r="D66" s="11" t="s">
        <v>63</v>
      </c>
      <c r="E66" s="266"/>
      <c r="F66" s="251"/>
      <c r="G66" s="251"/>
      <c r="H66" s="251"/>
      <c r="I66" s="251"/>
      <c r="J66" s="251"/>
      <c r="K66" s="16"/>
      <c r="L66" s="251"/>
      <c r="M66" s="242"/>
      <c r="N66" s="16"/>
      <c r="O66" s="14"/>
      <c r="P66" s="14"/>
      <c r="Q66" s="13" t="str">
        <f>IF(AND($E66&lt;&gt;"",S66=""),VLOOKUP(A66&amp;$D66,'Références GES'!$E$21:$M$82,8,FALSE),"")</f>
        <v/>
      </c>
      <c r="R66" s="13" t="str">
        <f>IF(AND($E66&lt;&gt;"",T66=""),VLOOKUP(A66&amp;$D66,'Références GES'!$E$21:$M$82,7,FALSE),"")</f>
        <v/>
      </c>
      <c r="S66" s="14"/>
      <c r="T66" s="14"/>
      <c r="U66" s="23" t="str">
        <f>IF('0. Installation'!$B$4&lt;DATE(2021,1,1),
"Pas de critère à respecter",
IF(E66&lt;&gt;"",
IF(AND('0. Installation'!$B$4&gt;=DATE(2021,1,1),'0. Installation'!$B$4&lt;DATE(2026,1,1)),IF(MAX(O66,Q66)&gt;=0.7,"Elec. : oui","Elec. : non"),
IF(MAX(O66,Q66)&gt;=0.8,"Elec. : oui","Elec. : non"))
&amp;" / "&amp;
IF(AND('0. Installation'!$B$4&gt;=DATE(2021,1,1),'0. Installation'!$B$4&lt;DATE(2026,1,1)),IF(MAX(P66,R66)&gt;=0.7,"Chaleur : oui","Chaleur : non"),
IF(MAX(P66,R66)&gt;=0.8,"Elec. : oui","Elec. : non")),
""))</f>
        <v>Pas de critère à respecter</v>
      </c>
      <c r="V66" s="9"/>
      <c r="W66" s="117"/>
    </row>
    <row r="67" spans="1:23" ht="15.6">
      <c r="A67" s="104" t="s">
        <v>64</v>
      </c>
      <c r="B67" s="25"/>
      <c r="C67" s="25"/>
      <c r="D67" s="11" t="s">
        <v>63</v>
      </c>
      <c r="E67" s="266"/>
      <c r="F67" s="251"/>
      <c r="G67" s="251"/>
      <c r="H67" s="251"/>
      <c r="I67" s="251"/>
      <c r="J67" s="251"/>
      <c r="K67" s="16"/>
      <c r="L67" s="251"/>
      <c r="M67" s="242"/>
      <c r="N67" s="16"/>
      <c r="O67" s="14"/>
      <c r="P67" s="14"/>
      <c r="Q67" s="13" t="str">
        <f>IF(AND($E67&lt;&gt;"",S67=""),VLOOKUP(A67&amp;$D67,'Références GES'!$E$21:$M$82,8,FALSE),"")</f>
        <v/>
      </c>
      <c r="R67" s="13" t="str">
        <f>IF(AND($E67&lt;&gt;"",T67=""),VLOOKUP(A67&amp;$D67,'Références GES'!$E$21:$M$82,7,FALSE),"")</f>
        <v/>
      </c>
      <c r="S67" s="14"/>
      <c r="T67" s="14"/>
      <c r="U67" s="23" t="str">
        <f>IF('0. Installation'!$B$4&lt;DATE(2021,1,1),
"Pas de critère à respecter",
IF(E67&lt;&gt;"",
IF(AND('0. Installation'!$B$4&gt;=DATE(2021,1,1),'0. Installation'!$B$4&lt;DATE(2026,1,1)),IF(MAX(O67,Q67)&gt;=0.7,"Elec. : oui","Elec. : non"),
IF(MAX(O67,Q67)&gt;=0.8,"Elec. : oui","Elec. : non"))
&amp;" / "&amp;
IF(AND('0. Installation'!$B$4&gt;=DATE(2021,1,1),'0. Installation'!$B$4&lt;DATE(2026,1,1)),IF(MAX(P67,R67)&gt;=0.7,"Chaleur : oui","Chaleur : non"),
IF(MAX(P67,R67)&gt;=0.8,"Elec. : oui","Elec. : non")),
""))</f>
        <v>Pas de critère à respecter</v>
      </c>
      <c r="V67" s="9"/>
      <c r="W67" s="117"/>
    </row>
    <row r="68" spans="1:23" ht="15" thickBot="1">
      <c r="A68" s="103"/>
      <c r="W68" s="117"/>
    </row>
    <row r="69" spans="1:23" ht="45.75" customHeight="1" thickBot="1">
      <c r="A69" s="325" t="s">
        <v>242</v>
      </c>
      <c r="B69" s="307"/>
      <c r="C69" s="307"/>
      <c r="D69" s="307"/>
      <c r="E69" s="307"/>
      <c r="F69" s="307"/>
      <c r="G69" s="307"/>
      <c r="H69" s="307"/>
      <c r="I69" s="307"/>
      <c r="J69" s="307"/>
      <c r="K69" s="307"/>
      <c r="L69" s="307"/>
      <c r="M69" s="307"/>
      <c r="N69" s="307"/>
      <c r="O69" s="307"/>
      <c r="P69" s="307"/>
      <c r="Q69" s="307"/>
      <c r="R69" s="307"/>
      <c r="S69" s="307"/>
      <c r="T69" s="307"/>
      <c r="U69" s="308"/>
      <c r="W69" s="117"/>
    </row>
    <row r="70" spans="1:23" ht="45.75" customHeight="1" thickBot="1">
      <c r="A70" s="202" t="s">
        <v>67</v>
      </c>
      <c r="B70" s="202" t="s">
        <v>338</v>
      </c>
      <c r="C70" s="246"/>
      <c r="D70" s="7" t="s">
        <v>18</v>
      </c>
      <c r="E70" s="247" t="s">
        <v>19</v>
      </c>
      <c r="F70" s="331" t="s">
        <v>317</v>
      </c>
      <c r="G70" s="331"/>
      <c r="H70" s="331"/>
      <c r="I70" s="331"/>
      <c r="J70" s="331"/>
      <c r="K70" s="331"/>
      <c r="L70" s="331"/>
      <c r="M70" s="248" t="s">
        <v>318</v>
      </c>
      <c r="N70" s="248" t="s">
        <v>22</v>
      </c>
      <c r="O70" s="338" t="s">
        <v>20</v>
      </c>
      <c r="P70" s="339"/>
      <c r="Q70" s="246"/>
      <c r="R70" s="246"/>
      <c r="S70" s="246"/>
      <c r="T70" s="246"/>
      <c r="U70" s="243" t="s">
        <v>21</v>
      </c>
      <c r="V70" s="109" t="s">
        <v>23</v>
      </c>
      <c r="W70" s="116" t="s">
        <v>225</v>
      </c>
    </row>
    <row r="71" spans="1:23" ht="52.2" customHeight="1">
      <c r="A71" s="201"/>
      <c r="B71" s="202"/>
      <c r="C71" s="246"/>
      <c r="D71" s="2"/>
      <c r="E71" s="108"/>
      <c r="F71" s="8" t="s">
        <v>26</v>
      </c>
      <c r="G71" s="8" t="s">
        <v>27</v>
      </c>
      <c r="H71" s="8" t="s">
        <v>28</v>
      </c>
      <c r="I71" s="8" t="s">
        <v>29</v>
      </c>
      <c r="J71" s="8" t="s">
        <v>30</v>
      </c>
      <c r="K71" s="8" t="s">
        <v>415</v>
      </c>
      <c r="L71" s="8" t="s">
        <v>416</v>
      </c>
      <c r="M71" s="2"/>
      <c r="N71" s="2"/>
      <c r="O71" s="108" t="s">
        <v>24</v>
      </c>
      <c r="P71" s="108" t="s">
        <v>25</v>
      </c>
      <c r="Q71" s="246"/>
      <c r="R71" s="246"/>
      <c r="S71" s="246"/>
      <c r="T71" s="246"/>
      <c r="U71" s="107"/>
      <c r="V71" s="9"/>
      <c r="W71" s="117"/>
    </row>
    <row r="72" spans="1:23" ht="15.6">
      <c r="A72" s="21"/>
      <c r="B72" s="21"/>
      <c r="C72" s="14"/>
      <c r="D72" s="21"/>
      <c r="E72" s="266"/>
      <c r="F72" s="251"/>
      <c r="G72" s="251"/>
      <c r="H72" s="251"/>
      <c r="I72" s="251"/>
      <c r="J72" s="251"/>
      <c r="K72" s="16"/>
      <c r="L72" s="16"/>
      <c r="M72" s="242"/>
      <c r="N72" s="16"/>
      <c r="O72" s="207" t="str">
        <f>IF(AND($E72&lt;&gt;"",$E72&lt;&gt;"A compléter"),
IF(COUNTIF(Listes!A$17:A$30,A72)=0,
VLOOKUP($A72&amp;"/"&amp;$B72,'Références GES'!$E$21:$M$183,3,FALSE),
VLOOKUP($A72&amp;"/"&amp;$D72,'Références GES'!$E$21:$M$183,3,FALSE)),
"")</f>
        <v/>
      </c>
      <c r="P72" s="13" t="str">
        <f>IF(AND($E72&lt;&gt;"",$E72&lt;&gt;"A compléter"),
IF(COUNTIF(Listes!A$17:A$30,A72)=0,
VLOOKUP($A72&amp;"/"&amp;$B72,'Références GES'!$E$21:$M$183,2,FALSE),
VLOOKUP($A72&amp;"/"&amp;$D72,'Références GES'!$E$21:$M$183,2,FALSE)),
"")</f>
        <v/>
      </c>
      <c r="Q72" s="14"/>
      <c r="R72" s="14"/>
      <c r="S72" s="14"/>
      <c r="T72" s="14"/>
      <c r="U72" s="15" t="str">
        <f>IF('0. Installation'!$B$4&lt;DATE(2021,1,1),
"Pas de critère à respecter",
IF(E72&lt;&gt;"",
IF(AND('0. Installation'!$B$4&gt;=DATE(2021,1,1),'0. Installation'!$B$4&lt;DATE(2026,1,1)),IF(MAX(O72,IF(ISNA(S72)=FALSE,S72,0))&gt;=0.7,"Elec. : oui","Elec. : non"),
IF(MAX(O72,IF(ISNA(S72)=FALSE,S72,0))&gt;=0.8,"Elec. : oui","Elec. : non"))
&amp;" / "&amp;
IF(AND('0. Installation'!$B$4&gt;=DATE(2021,1,1),'0. Installation'!$B$4&lt;DATE(2026,1,1)),IF(MAX(P72,IF(ISNA(T72)=FALSE,T72,0))&gt;=0.7,"Chaleur : oui","Chaleur : non"),
IF(MAX(P72,IF(ISNA(T72)=FALSE,T72,0))&gt;=0.8,"Elec. : oui","Elec. : non")),
""))</f>
        <v>Pas de critère à respecter</v>
      </c>
      <c r="V72" s="9"/>
      <c r="W72" s="117">
        <f>A72</f>
        <v>0</v>
      </c>
    </row>
    <row r="73" spans="1:23" ht="15.6">
      <c r="A73" s="21"/>
      <c r="B73" s="21"/>
      <c r="C73" s="14"/>
      <c r="D73" s="21"/>
      <c r="E73" s="266"/>
      <c r="F73" s="251"/>
      <c r="G73" s="251"/>
      <c r="H73" s="251"/>
      <c r="I73" s="251"/>
      <c r="J73" s="251"/>
      <c r="K73" s="16"/>
      <c r="L73" s="16"/>
      <c r="M73" s="242"/>
      <c r="N73" s="16"/>
      <c r="O73" s="207" t="str">
        <f>IF(AND($E73&lt;&gt;"",$E73&lt;&gt;"A compléter"),
IF(COUNTIF(Listes!A$17:A$30,A73)=0,
VLOOKUP($A73&amp;"/"&amp;$B73,'Références GES'!$E$21:$M$183,3,FALSE),
VLOOKUP($A73&amp;"/"&amp;$D73,'Références GES'!$E$21:$M$183,3,FALSE)),
"")</f>
        <v/>
      </c>
      <c r="P73" s="13" t="str">
        <f>IF(AND($E73&lt;&gt;"",$E73&lt;&gt;"A compléter"),
IF(COUNTIF(Listes!A$17:A$30,A73)=0,
VLOOKUP($A73&amp;"/"&amp;$B73,'Références GES'!$E$21:$M$183,2,FALSE),
VLOOKUP($A73&amp;"/"&amp;$D73,'Références GES'!$E$21:$M$183,2,FALSE)),
"")</f>
        <v/>
      </c>
      <c r="Q73" s="14"/>
      <c r="R73" s="14"/>
      <c r="S73" s="14"/>
      <c r="T73" s="14"/>
      <c r="U73" s="15" t="str">
        <f>IF('0. Installation'!$B$4&lt;DATE(2021,1,1),
"Pas de critère à respecter",
IF(E73&lt;&gt;"",
IF(AND('0. Installation'!$B$4&gt;=DATE(2021,1,1),'0. Installation'!$B$4&lt;DATE(2026,1,1)),IF(MAX(O73,IF(ISNA(S73)=FALSE,S73,0))&gt;=0.7,"Elec. : oui","Elec. : non"),
IF(MAX(O73,IF(ISNA(S73)=FALSE,S73,0))&gt;=0.8,"Elec. : oui","Elec. : non"))
&amp;" / "&amp;
IF(AND('0. Installation'!$B$4&gt;=DATE(2021,1,1),'0. Installation'!$B$4&lt;DATE(2026,1,1)),IF(MAX(P73,IF(ISNA(T73)=FALSE,T73,0))&gt;=0.7,"Chaleur : oui","Chaleur : non"),
IF(MAX(P73,IF(ISNA(T73)=FALSE,T73,0))&gt;=0.8,"Elec. : oui","Elec. : non")),
""))</f>
        <v>Pas de critère à respecter</v>
      </c>
      <c r="V73" s="9"/>
      <c r="W73" s="117">
        <f t="shared" ref="W73:W91" si="0">A73</f>
        <v>0</v>
      </c>
    </row>
    <row r="74" spans="1:23" ht="15.6">
      <c r="A74" s="214"/>
      <c r="B74" s="21"/>
      <c r="C74" s="14"/>
      <c r="D74" s="21"/>
      <c r="E74" s="266"/>
      <c r="F74" s="251"/>
      <c r="G74" s="251"/>
      <c r="H74" s="251"/>
      <c r="I74" s="251"/>
      <c r="J74" s="251"/>
      <c r="K74" s="16"/>
      <c r="L74" s="16"/>
      <c r="M74" s="242"/>
      <c r="N74" s="16"/>
      <c r="O74" s="207" t="str">
        <f>IF(AND($E74&lt;&gt;"",$E74&lt;&gt;"A compléter"),
IF(COUNTIF(Listes!A$17:A$30,A74)=0,
VLOOKUP($A74&amp;"/"&amp;$B74,'Références GES'!$E$21:$M$183,3,FALSE),
VLOOKUP($A74&amp;"/"&amp;$D74,'Références GES'!$E$21:$M$183,3,FALSE)),
"")</f>
        <v/>
      </c>
      <c r="P74" s="13" t="str">
        <f>IF(AND($E74&lt;&gt;"",$E74&lt;&gt;"A compléter"),
IF(COUNTIF(Listes!A$17:A$30,A74)=0,
VLOOKUP($A74&amp;"/"&amp;$B74,'Références GES'!$E$21:$M$183,2,FALSE),
VLOOKUP($A74&amp;"/"&amp;$D74,'Références GES'!$E$21:$M$183,2,FALSE)),
"")</f>
        <v/>
      </c>
      <c r="Q74" s="14"/>
      <c r="R74" s="14"/>
      <c r="S74" s="14"/>
      <c r="T74" s="14"/>
      <c r="U74" s="15" t="str">
        <f>IF('0. Installation'!$B$4&lt;DATE(2021,1,1),
"Pas de critère à respecter",
IF(E74&lt;&gt;"",
IF(AND('0. Installation'!$B$4&gt;=DATE(2021,1,1),'0. Installation'!$B$4&lt;DATE(2026,1,1)),IF(MAX(O74,IF(ISNA(S74)=FALSE,S74,0))&gt;=0.7,"Elec. : oui","Elec. : non"),
IF(MAX(O74,IF(ISNA(S74)=FALSE,S74,0))&gt;=0.8,"Elec. : oui","Elec. : non"))
&amp;" / "&amp;
IF(AND('0. Installation'!$B$4&gt;=DATE(2021,1,1),'0. Installation'!$B$4&lt;DATE(2026,1,1)),IF(MAX(P74,IF(ISNA(T74)=FALSE,T74,0))&gt;=0.7,"Chaleur : oui","Chaleur : non"),
IF(MAX(P74,IF(ISNA(T74)=FALSE,T74,0))&gt;=0.8,"Elec. : oui","Elec. : non")),
""))</f>
        <v>Pas de critère à respecter</v>
      </c>
      <c r="V74" s="9"/>
      <c r="W74" s="117">
        <f t="shared" si="0"/>
        <v>0</v>
      </c>
    </row>
    <row r="75" spans="1:23" ht="17.25" customHeight="1">
      <c r="A75" s="21"/>
      <c r="B75" s="21"/>
      <c r="C75" s="14"/>
      <c r="D75" s="21"/>
      <c r="E75" s="266" t="str">
        <f t="shared" ref="E75:E91" si="1">IF(A75&lt;&gt;"","A compléter","")</f>
        <v/>
      </c>
      <c r="F75" s="251"/>
      <c r="G75" s="251"/>
      <c r="H75" s="251"/>
      <c r="I75" s="251"/>
      <c r="J75" s="251"/>
      <c r="K75" s="16"/>
      <c r="L75" s="16"/>
      <c r="M75" s="242"/>
      <c r="N75" s="16"/>
      <c r="O75" s="207" t="str">
        <f>IF(AND($E75&lt;&gt;"",$E75&lt;&gt;"A compléter"),
IF(COUNTIF(Listes!A$17:A$30,A75)=0,
VLOOKUP($A75&amp;"/"&amp;$B75,'Références GES'!$E$21:$M$183,3,FALSE),
VLOOKUP($A75&amp;"/"&amp;$D75,'Références GES'!$E$21:$M$183,3,FALSE)),
"")</f>
        <v/>
      </c>
      <c r="P75" s="13" t="str">
        <f>IF(AND($E75&lt;&gt;"",$E75&lt;&gt;"A compléter"),
IF(COUNTIF(Listes!A$17:A$30,A75)=0,
VLOOKUP($A75&amp;"/"&amp;$B75,'Références GES'!$E$21:$M$183,2,FALSE),
VLOOKUP($A75&amp;"/"&amp;$D75,'Références GES'!$E$21:$M$183,2,FALSE)),
"")</f>
        <v/>
      </c>
      <c r="Q75" s="14"/>
      <c r="R75" s="14"/>
      <c r="S75" s="14"/>
      <c r="T75" s="14"/>
      <c r="U75" s="15" t="str">
        <f>IF('0. Installation'!$B$4&lt;DATE(2021,1,1),
"Pas de critère à respecter",
IF(E75&lt;&gt;"",
IF(AND('0. Installation'!$B$4&gt;=DATE(2021,1,1),'0. Installation'!$B$4&lt;DATE(2026,1,1)),IF(MAX(O75,IF(ISNA(S75)=FALSE,S75,0))&gt;=0.7,"Elec. : oui","Elec. : non"),
IF(MAX(O75,IF(ISNA(S75)=FALSE,S75,0))&gt;=0.8,"Elec. : oui","Elec. : non"))
&amp;" / "&amp;
IF(AND('0. Installation'!$B$4&gt;=DATE(2021,1,1),'0. Installation'!$B$4&lt;DATE(2026,1,1)),IF(MAX(P75,IF(ISNA(T75)=FALSE,T75,0))&gt;=0.7,"Chaleur : oui","Chaleur : non"),
IF(MAX(P75,IF(ISNA(T75)=FALSE,T75,0))&gt;=0.8,"Elec. : oui","Elec. : non")),
""))</f>
        <v>Pas de critère à respecter</v>
      </c>
      <c r="V75" s="9"/>
      <c r="W75" s="117">
        <f t="shared" si="0"/>
        <v>0</v>
      </c>
    </row>
    <row r="76" spans="1:23" ht="15" customHeight="1">
      <c r="A76" s="21"/>
      <c r="B76" s="21"/>
      <c r="C76" s="14"/>
      <c r="D76" s="21"/>
      <c r="E76" s="266" t="str">
        <f t="shared" si="1"/>
        <v/>
      </c>
      <c r="F76" s="251"/>
      <c r="G76" s="251"/>
      <c r="H76" s="251"/>
      <c r="I76" s="251"/>
      <c r="J76" s="251"/>
      <c r="K76" s="16"/>
      <c r="L76" s="16"/>
      <c r="M76" s="242"/>
      <c r="N76" s="16"/>
      <c r="O76" s="207" t="str">
        <f>IF(AND($E76&lt;&gt;"",$E76&lt;&gt;"A compléter"),
IF(COUNTIF(Listes!A$17:A$30,A76)=0,
VLOOKUP($A76&amp;"/"&amp;$B76,'Références GES'!$E$21:$M$183,3,FALSE),
VLOOKUP($A76&amp;"/"&amp;$D76,'Références GES'!$E$21:$M$183,3,FALSE)),
"")</f>
        <v/>
      </c>
      <c r="P76" s="13" t="str">
        <f>IF(AND($E76&lt;&gt;"",$E76&lt;&gt;"A compléter"),
IF(COUNTIF(Listes!A$17:A$30,A76)=0,
VLOOKUP($A76&amp;"/"&amp;$B76,'Références GES'!$E$21:$M$183,2,FALSE),
VLOOKUP($A76&amp;"/"&amp;$D76,'Références GES'!$E$21:$M$183,2,FALSE)),
"")</f>
        <v/>
      </c>
      <c r="Q76" s="14"/>
      <c r="R76" s="14"/>
      <c r="S76" s="14"/>
      <c r="T76" s="14"/>
      <c r="U76" s="15" t="str">
        <f>IF('0. Installation'!$B$4&lt;DATE(2021,1,1),
"Pas de critère à respecter",
IF(E76&lt;&gt;"",
IF(AND('0. Installation'!$B$4&gt;=DATE(2021,1,1),'0. Installation'!$B$4&lt;DATE(2026,1,1)),IF(MAX(O76,IF(ISNA(S76)=FALSE,S76,0))&gt;=0.7,"Elec. : oui","Elec. : non"),
IF(MAX(O76,IF(ISNA(S76)=FALSE,S76,0))&gt;=0.8,"Elec. : oui","Elec. : non"))
&amp;" / "&amp;
IF(AND('0. Installation'!$B$4&gt;=DATE(2021,1,1),'0. Installation'!$B$4&lt;DATE(2026,1,1)),IF(MAX(P76,IF(ISNA(T76)=FALSE,T76,0))&gt;=0.7,"Chaleur : oui","Chaleur : non"),
IF(MAX(P76,IF(ISNA(T76)=FALSE,T76,0))&gt;=0.8,"Elec. : oui","Elec. : non")),
""))</f>
        <v>Pas de critère à respecter</v>
      </c>
      <c r="V76" s="9"/>
      <c r="W76" s="117">
        <f t="shared" si="0"/>
        <v>0</v>
      </c>
    </row>
    <row r="77" spans="1:23" ht="15" customHeight="1">
      <c r="A77" s="21"/>
      <c r="B77" s="21"/>
      <c r="C77" s="14"/>
      <c r="D77" s="21"/>
      <c r="E77" s="266" t="str">
        <f t="shared" si="1"/>
        <v/>
      </c>
      <c r="F77" s="251"/>
      <c r="G77" s="251"/>
      <c r="H77" s="251"/>
      <c r="I77" s="251"/>
      <c r="J77" s="251"/>
      <c r="K77" s="16"/>
      <c r="L77" s="16"/>
      <c r="M77" s="242"/>
      <c r="N77" s="16"/>
      <c r="O77" s="207" t="str">
        <f>IF(AND($E77&lt;&gt;"",$E77&lt;&gt;"A compléter"),
IF(COUNTIF(Listes!A$17:A$30,A77)=0,
VLOOKUP($A77&amp;"/"&amp;$B77,'Références GES'!$E$21:$M$183,3,FALSE),
VLOOKUP($A77&amp;"/"&amp;$D77,'Références GES'!$E$21:$M$183,3,FALSE)),
"")</f>
        <v/>
      </c>
      <c r="P77" s="13" t="str">
        <f>IF(AND($E77&lt;&gt;"",$E77&lt;&gt;"A compléter"),
IF(COUNTIF(Listes!A$17:A$30,A77)=0,
VLOOKUP($A77&amp;"/"&amp;$B77,'Références GES'!$E$21:$M$183,2,FALSE),
VLOOKUP($A77&amp;"/"&amp;$D77,'Références GES'!$E$21:$M$183,2,FALSE)),
"")</f>
        <v/>
      </c>
      <c r="Q77" s="14"/>
      <c r="R77" s="14"/>
      <c r="S77" s="14"/>
      <c r="T77" s="14"/>
      <c r="U77" s="15" t="str">
        <f>IF('0. Installation'!$B$4&lt;DATE(2021,1,1),
"Pas de critère à respecter",
IF(E77&lt;&gt;"",
IF(AND('0. Installation'!$B$4&gt;=DATE(2021,1,1),'0. Installation'!$B$4&lt;DATE(2026,1,1)),IF(MAX(O77,IF(ISNA(S77)=FALSE,S77,0))&gt;=0.7,"Elec. : oui","Elec. : non"),
IF(MAX(O77,IF(ISNA(S77)=FALSE,S77,0))&gt;=0.8,"Elec. : oui","Elec. : non"))
&amp;" / "&amp;
IF(AND('0. Installation'!$B$4&gt;=DATE(2021,1,1),'0. Installation'!$B$4&lt;DATE(2026,1,1)),IF(MAX(P77,IF(ISNA(T77)=FALSE,T77,0))&gt;=0.7,"Chaleur : oui","Chaleur : non"),
IF(MAX(P77,IF(ISNA(T77)=FALSE,T77,0))&gt;=0.8,"Elec. : oui","Elec. : non")),
""))</f>
        <v>Pas de critère à respecter</v>
      </c>
      <c r="V77" s="9"/>
      <c r="W77" s="117">
        <f t="shared" si="0"/>
        <v>0</v>
      </c>
    </row>
    <row r="78" spans="1:23" ht="15" customHeight="1">
      <c r="A78" s="21"/>
      <c r="B78" s="21"/>
      <c r="C78" s="14"/>
      <c r="D78" s="21"/>
      <c r="E78" s="266" t="str">
        <f t="shared" si="1"/>
        <v/>
      </c>
      <c r="F78" s="251"/>
      <c r="G78" s="251"/>
      <c r="H78" s="251"/>
      <c r="I78" s="251"/>
      <c r="J78" s="251"/>
      <c r="K78" s="16"/>
      <c r="L78" s="16"/>
      <c r="M78" s="242"/>
      <c r="N78" s="16"/>
      <c r="O78" s="207" t="str">
        <f>IF(AND($E78&lt;&gt;"",$E78&lt;&gt;"A compléter"),
IF(COUNTIF(Listes!A$17:A$30,A78)=0,
VLOOKUP($A78&amp;"/"&amp;$B78,'Références GES'!$E$21:$M$183,3,FALSE),
VLOOKUP($A78&amp;"/"&amp;$D78,'Références GES'!$E$21:$M$183,3,FALSE)),
"")</f>
        <v/>
      </c>
      <c r="P78" s="13" t="str">
        <f>IF(AND($E78&lt;&gt;"",$E78&lt;&gt;"A compléter"),
IF(COUNTIF(Listes!A$17:A$30,A78)=0,
VLOOKUP($A78&amp;"/"&amp;$B78,'Références GES'!$E$21:$M$183,2,FALSE),
VLOOKUP($A78&amp;"/"&amp;$D78,'Références GES'!$E$21:$M$183,2,FALSE)),
"")</f>
        <v/>
      </c>
      <c r="Q78" s="14"/>
      <c r="R78" s="14"/>
      <c r="S78" s="14"/>
      <c r="T78" s="14"/>
      <c r="U78" s="15" t="str">
        <f>IF('0. Installation'!$B$4&lt;DATE(2021,1,1),
"Pas de critère à respecter",
IF(E78&lt;&gt;"",
IF(AND('0. Installation'!$B$4&gt;=DATE(2021,1,1),'0. Installation'!$B$4&lt;DATE(2026,1,1)),IF(MAX(O78,IF(ISNA(S78)=FALSE,S78,0))&gt;=0.7,"Elec. : oui","Elec. : non"),
IF(MAX(O78,IF(ISNA(S78)=FALSE,S78,0))&gt;=0.8,"Elec. : oui","Elec. : non"))
&amp;" / "&amp;
IF(AND('0. Installation'!$B$4&gt;=DATE(2021,1,1),'0. Installation'!$B$4&lt;DATE(2026,1,1)),IF(MAX(P78,IF(ISNA(T78)=FALSE,T78,0))&gt;=0.7,"Chaleur : oui","Chaleur : non"),
IF(MAX(P78,IF(ISNA(T78)=FALSE,T78,0))&gt;=0.8,"Elec. : oui","Elec. : non")),
""))</f>
        <v>Pas de critère à respecter</v>
      </c>
      <c r="V78" s="9"/>
      <c r="W78" s="117">
        <f t="shared" si="0"/>
        <v>0</v>
      </c>
    </row>
    <row r="79" spans="1:23" ht="15" customHeight="1">
      <c r="A79" s="21"/>
      <c r="B79" s="21"/>
      <c r="C79" s="14"/>
      <c r="D79" s="21"/>
      <c r="E79" s="266" t="str">
        <f t="shared" si="1"/>
        <v/>
      </c>
      <c r="F79" s="251"/>
      <c r="G79" s="251"/>
      <c r="H79" s="251"/>
      <c r="I79" s="251"/>
      <c r="J79" s="251"/>
      <c r="K79" s="16"/>
      <c r="L79" s="16"/>
      <c r="M79" s="242"/>
      <c r="N79" s="16"/>
      <c r="O79" s="207" t="str">
        <f>IF(AND($E79&lt;&gt;"",$E79&lt;&gt;"A compléter"),
IF(COUNTIF(Listes!A$17:A$30,A79)=0,
VLOOKUP($A79&amp;"/"&amp;$B79,'Références GES'!$E$21:$M$183,3,FALSE),
VLOOKUP($A79&amp;"/"&amp;$D79,'Références GES'!$E$21:$M$183,3,FALSE)),
"")</f>
        <v/>
      </c>
      <c r="P79" s="13" t="str">
        <f>IF(AND($E79&lt;&gt;"",$E79&lt;&gt;"A compléter"),
IF(COUNTIF(Listes!A$17:A$30,A79)=0,
VLOOKUP($A79&amp;"/"&amp;$B79,'Références GES'!$E$21:$M$183,2,FALSE),
VLOOKUP($A79&amp;"/"&amp;$D79,'Références GES'!$E$21:$M$183,2,FALSE)),
"")</f>
        <v/>
      </c>
      <c r="Q79" s="14"/>
      <c r="R79" s="14"/>
      <c r="S79" s="14"/>
      <c r="T79" s="14"/>
      <c r="U79" s="15" t="str">
        <f>IF('0. Installation'!$B$4&lt;DATE(2021,1,1),
"Pas de critère à respecter",
IF(E79&lt;&gt;"",
IF(AND('0. Installation'!$B$4&gt;=DATE(2021,1,1),'0. Installation'!$B$4&lt;DATE(2026,1,1)),IF(MAX(O79,IF(ISNA(S79)=FALSE,S79,0))&gt;=0.7,"Elec. : oui","Elec. : non"),
IF(MAX(O79,IF(ISNA(S79)=FALSE,S79,0))&gt;=0.8,"Elec. : oui","Elec. : non"))
&amp;" / "&amp;
IF(AND('0. Installation'!$B$4&gt;=DATE(2021,1,1),'0. Installation'!$B$4&lt;DATE(2026,1,1)),IF(MAX(P79,IF(ISNA(T79)=FALSE,T79,0))&gt;=0.7,"Chaleur : oui","Chaleur : non"),
IF(MAX(P79,IF(ISNA(T79)=FALSE,T79,0))&gt;=0.8,"Elec. : oui","Elec. : non")),
""))</f>
        <v>Pas de critère à respecter</v>
      </c>
      <c r="V79" s="9"/>
      <c r="W79" s="117">
        <f t="shared" si="0"/>
        <v>0</v>
      </c>
    </row>
    <row r="80" spans="1:23" ht="15" customHeight="1">
      <c r="A80" s="21"/>
      <c r="B80" s="21"/>
      <c r="C80" s="14"/>
      <c r="D80" s="21"/>
      <c r="E80" s="266" t="str">
        <f t="shared" si="1"/>
        <v/>
      </c>
      <c r="F80" s="251"/>
      <c r="G80" s="251"/>
      <c r="H80" s="251"/>
      <c r="I80" s="251"/>
      <c r="J80" s="251"/>
      <c r="K80" s="16"/>
      <c r="L80" s="16"/>
      <c r="M80" s="242"/>
      <c r="N80" s="16"/>
      <c r="O80" s="207" t="str">
        <f>IF(AND($E80&lt;&gt;"",$E80&lt;&gt;"A compléter"),
IF(COUNTIF(Listes!A$17:A$30,A80)=0,
VLOOKUP($A80&amp;"/"&amp;$B80,'Références GES'!$E$21:$M$183,3,FALSE),
VLOOKUP($A80&amp;"/"&amp;$D80,'Références GES'!$E$21:$M$183,3,FALSE)),
"")</f>
        <v/>
      </c>
      <c r="P80" s="13" t="str">
        <f>IF(AND($E80&lt;&gt;"",$E80&lt;&gt;"A compléter"),
IF(COUNTIF(Listes!A$17:A$30,A80)=0,
VLOOKUP($A80&amp;"/"&amp;$B80,'Références GES'!$E$21:$M$183,2,FALSE),
VLOOKUP($A80&amp;"/"&amp;$D80,'Références GES'!$E$21:$M$183,2,FALSE)),
"")</f>
        <v/>
      </c>
      <c r="Q80" s="14"/>
      <c r="R80" s="14"/>
      <c r="S80" s="14"/>
      <c r="T80" s="14"/>
      <c r="U80" s="15" t="str">
        <f>IF('0. Installation'!$B$4&lt;DATE(2021,1,1),
"Pas de critère à respecter",
IF(E80&lt;&gt;"",
IF(AND('0. Installation'!$B$4&gt;=DATE(2021,1,1),'0. Installation'!$B$4&lt;DATE(2026,1,1)),IF(MAX(O80,IF(ISNA(S80)=FALSE,S80,0))&gt;=0.7,"Elec. : oui","Elec. : non"),
IF(MAX(O80,IF(ISNA(S80)=FALSE,S80,0))&gt;=0.8,"Elec. : oui","Elec. : non"))
&amp;" / "&amp;
IF(AND('0. Installation'!$B$4&gt;=DATE(2021,1,1),'0. Installation'!$B$4&lt;DATE(2026,1,1)),IF(MAX(P80,IF(ISNA(T80)=FALSE,T80,0))&gt;=0.7,"Chaleur : oui","Chaleur : non"),
IF(MAX(P80,IF(ISNA(T80)=FALSE,T80,0))&gt;=0.8,"Elec. : oui","Elec. : non")),
""))</f>
        <v>Pas de critère à respecter</v>
      </c>
      <c r="V80" s="9"/>
      <c r="W80" s="117">
        <f t="shared" si="0"/>
        <v>0</v>
      </c>
    </row>
    <row r="81" spans="1:23" ht="15" customHeight="1">
      <c r="A81" s="21"/>
      <c r="B81" s="21"/>
      <c r="C81" s="14"/>
      <c r="D81" s="21"/>
      <c r="E81" s="266" t="str">
        <f t="shared" si="1"/>
        <v/>
      </c>
      <c r="F81" s="251"/>
      <c r="G81" s="251"/>
      <c r="H81" s="251"/>
      <c r="I81" s="251"/>
      <c r="J81" s="251"/>
      <c r="K81" s="16"/>
      <c r="L81" s="16"/>
      <c r="M81" s="242"/>
      <c r="N81" s="16"/>
      <c r="O81" s="207" t="str">
        <f>IF(AND($E81&lt;&gt;"",$E81&lt;&gt;"A compléter"),
IF(COUNTIF(Listes!A$17:A$30,A81)=0,
VLOOKUP($A81&amp;"/"&amp;$B81,'Références GES'!$E$21:$M$183,3,FALSE),
VLOOKUP($A81&amp;"/"&amp;$D81,'Références GES'!$E$21:$M$183,3,FALSE)),
"")</f>
        <v/>
      </c>
      <c r="P81" s="13" t="str">
        <f>IF(AND($E81&lt;&gt;"",$E81&lt;&gt;"A compléter"),
IF(COUNTIF(Listes!A$17:A$30,A81)=0,
VLOOKUP($A81&amp;"/"&amp;$B81,'Références GES'!$E$21:$M$183,2,FALSE),
VLOOKUP($A81&amp;"/"&amp;$D81,'Références GES'!$E$21:$M$183,2,FALSE)),
"")</f>
        <v/>
      </c>
      <c r="Q81" s="14"/>
      <c r="R81" s="14"/>
      <c r="S81" s="14"/>
      <c r="T81" s="14"/>
      <c r="U81" s="15" t="str">
        <f>IF('0. Installation'!$B$4&lt;DATE(2021,1,1),
"Pas de critère à respecter",
IF(E81&lt;&gt;"",
IF(AND('0. Installation'!$B$4&gt;=DATE(2021,1,1),'0. Installation'!$B$4&lt;DATE(2026,1,1)),IF(MAX(O81,IF(ISNA(S81)=FALSE,S81,0))&gt;=0.7,"Elec. : oui","Elec. : non"),
IF(MAX(O81,IF(ISNA(S81)=FALSE,S81,0))&gt;=0.8,"Elec. : oui","Elec. : non"))
&amp;" / "&amp;
IF(AND('0. Installation'!$B$4&gt;=DATE(2021,1,1),'0. Installation'!$B$4&lt;DATE(2026,1,1)),IF(MAX(P81,IF(ISNA(T81)=FALSE,T81,0))&gt;=0.7,"Chaleur : oui","Chaleur : non"),
IF(MAX(P81,IF(ISNA(T81)=FALSE,T81,0))&gt;=0.8,"Elec. : oui","Elec. : non")),
""))</f>
        <v>Pas de critère à respecter</v>
      </c>
      <c r="V81" s="9"/>
      <c r="W81" s="117">
        <f t="shared" si="0"/>
        <v>0</v>
      </c>
    </row>
    <row r="82" spans="1:23" ht="15" customHeight="1">
      <c r="A82" s="21"/>
      <c r="B82" s="21"/>
      <c r="C82" s="14"/>
      <c r="D82" s="21"/>
      <c r="E82" s="266" t="str">
        <f t="shared" si="1"/>
        <v/>
      </c>
      <c r="F82" s="251"/>
      <c r="G82" s="251"/>
      <c r="H82" s="251"/>
      <c r="I82" s="251"/>
      <c r="J82" s="251"/>
      <c r="K82" s="16"/>
      <c r="L82" s="16"/>
      <c r="M82" s="242"/>
      <c r="N82" s="16"/>
      <c r="O82" s="207" t="str">
        <f>IF(AND($E82&lt;&gt;"",$E82&lt;&gt;"A compléter"),
IF(COUNTIF(Listes!A$17:A$30,A82)=0,
VLOOKUP($A82&amp;"/"&amp;$B82,'Références GES'!$E$21:$M$183,3,FALSE),
VLOOKUP($A82&amp;"/"&amp;$D82,'Références GES'!$E$21:$M$183,3,FALSE)),
"")</f>
        <v/>
      </c>
      <c r="P82" s="13" t="str">
        <f>IF(AND($E82&lt;&gt;"",$E82&lt;&gt;"A compléter"),
IF(COUNTIF(Listes!A$17:A$30,A82)=0,
VLOOKUP($A82&amp;"/"&amp;$B82,'Références GES'!$E$21:$M$183,2,FALSE),
VLOOKUP($A82&amp;"/"&amp;$D82,'Références GES'!$E$21:$M$183,2,FALSE)),
"")</f>
        <v/>
      </c>
      <c r="Q82" s="14"/>
      <c r="R82" s="14"/>
      <c r="S82" s="14"/>
      <c r="T82" s="14"/>
      <c r="U82" s="15" t="str">
        <f>IF('0. Installation'!$B$4&lt;DATE(2021,1,1),
"Pas de critère à respecter",
IF(E82&lt;&gt;"",
IF(AND('0. Installation'!$B$4&gt;=DATE(2021,1,1),'0. Installation'!$B$4&lt;DATE(2026,1,1)),IF(MAX(O82,IF(ISNA(S82)=FALSE,S82,0))&gt;=0.7,"Elec. : oui","Elec. : non"),
IF(MAX(O82,IF(ISNA(S82)=FALSE,S82,0))&gt;=0.8,"Elec. : oui","Elec. : non"))
&amp;" / "&amp;
IF(AND('0. Installation'!$B$4&gt;=DATE(2021,1,1),'0. Installation'!$B$4&lt;DATE(2026,1,1)),IF(MAX(P82,IF(ISNA(T82)=FALSE,T82,0))&gt;=0.7,"Chaleur : oui","Chaleur : non"),
IF(MAX(P82,IF(ISNA(T82)=FALSE,T82,0))&gt;=0.8,"Elec. : oui","Elec. : non")),
""))</f>
        <v>Pas de critère à respecter</v>
      </c>
      <c r="V82" s="9"/>
      <c r="W82" s="117">
        <f t="shared" si="0"/>
        <v>0</v>
      </c>
    </row>
    <row r="83" spans="1:23" ht="15" customHeight="1">
      <c r="A83" s="21"/>
      <c r="B83" s="21"/>
      <c r="C83" s="14"/>
      <c r="D83" s="21"/>
      <c r="E83" s="266" t="str">
        <f t="shared" si="1"/>
        <v/>
      </c>
      <c r="F83" s="251"/>
      <c r="G83" s="251"/>
      <c r="H83" s="251"/>
      <c r="I83" s="251"/>
      <c r="J83" s="251"/>
      <c r="K83" s="16"/>
      <c r="L83" s="16"/>
      <c r="M83" s="242"/>
      <c r="N83" s="16"/>
      <c r="O83" s="207" t="str">
        <f>IF(AND($E83&lt;&gt;"",$E83&lt;&gt;"A compléter"),
IF(COUNTIF(Listes!A$17:A$30,A83)=0,
VLOOKUP($A83&amp;"/"&amp;$B83,'Références GES'!$E$21:$M$183,3,FALSE),
VLOOKUP($A83&amp;"/"&amp;$D83,'Références GES'!$E$21:$M$183,3,FALSE)),
"")</f>
        <v/>
      </c>
      <c r="P83" s="13" t="str">
        <f>IF(AND($E83&lt;&gt;"",$E83&lt;&gt;"A compléter"),
IF(COUNTIF(Listes!A$17:A$30,A83)=0,
VLOOKUP($A83&amp;"/"&amp;$B83,'Références GES'!$E$21:$M$183,2,FALSE),
VLOOKUP($A83&amp;"/"&amp;$D83,'Références GES'!$E$21:$M$183,2,FALSE)),
"")</f>
        <v/>
      </c>
      <c r="Q83" s="14"/>
      <c r="R83" s="14"/>
      <c r="S83" s="14"/>
      <c r="T83" s="14"/>
      <c r="U83" s="15" t="str">
        <f>IF('0. Installation'!$B$4&lt;DATE(2021,1,1),
"Pas de critère à respecter",
IF(E83&lt;&gt;"",
IF(AND('0. Installation'!$B$4&gt;=DATE(2021,1,1),'0. Installation'!$B$4&lt;DATE(2026,1,1)),IF(MAX(O83,IF(ISNA(S83)=FALSE,S83,0))&gt;=0.7,"Elec. : oui","Elec. : non"),
IF(MAX(O83,IF(ISNA(S83)=FALSE,S83,0))&gt;=0.8,"Elec. : oui","Elec. : non"))
&amp;" / "&amp;
IF(AND('0. Installation'!$B$4&gt;=DATE(2021,1,1),'0. Installation'!$B$4&lt;DATE(2026,1,1)),IF(MAX(P83,IF(ISNA(T83)=FALSE,T83,0))&gt;=0.7,"Chaleur : oui","Chaleur : non"),
IF(MAX(P83,IF(ISNA(T83)=FALSE,T83,0))&gt;=0.8,"Elec. : oui","Elec. : non")),
""))</f>
        <v>Pas de critère à respecter</v>
      </c>
      <c r="V83" s="9"/>
      <c r="W83" s="117">
        <f t="shared" si="0"/>
        <v>0</v>
      </c>
    </row>
    <row r="84" spans="1:23" ht="15" customHeight="1">
      <c r="A84" s="21"/>
      <c r="B84" s="21"/>
      <c r="C84" s="14"/>
      <c r="D84" s="21"/>
      <c r="E84" s="266" t="str">
        <f t="shared" si="1"/>
        <v/>
      </c>
      <c r="F84" s="251"/>
      <c r="G84" s="251"/>
      <c r="H84" s="251"/>
      <c r="I84" s="251"/>
      <c r="J84" s="251"/>
      <c r="K84" s="16"/>
      <c r="L84" s="16"/>
      <c r="M84" s="242"/>
      <c r="N84" s="16"/>
      <c r="O84" s="207" t="str">
        <f>IF(AND($E84&lt;&gt;"",$E84&lt;&gt;"A compléter"),
IF(COUNTIF(Listes!A$17:A$30,A84)=0,
VLOOKUP($A84&amp;"/"&amp;$B84,'Références GES'!$E$21:$M$183,3,FALSE),
VLOOKUP($A84&amp;"/"&amp;$D84,'Références GES'!$E$21:$M$183,3,FALSE)),
"")</f>
        <v/>
      </c>
      <c r="P84" s="13" t="str">
        <f>IF(AND($E84&lt;&gt;"",$E84&lt;&gt;"A compléter"),
IF(COUNTIF(Listes!A$17:A$30,A84)=0,
VLOOKUP($A84&amp;"/"&amp;$B84,'Références GES'!$E$21:$M$183,2,FALSE),
VLOOKUP($A84&amp;"/"&amp;$D84,'Références GES'!$E$21:$M$183,2,FALSE)),
"")</f>
        <v/>
      </c>
      <c r="Q84" s="14"/>
      <c r="R84" s="14"/>
      <c r="S84" s="14"/>
      <c r="T84" s="14"/>
      <c r="U84" s="15" t="str">
        <f>IF('0. Installation'!$B$4&lt;DATE(2021,1,1),
"Pas de critère à respecter",
IF(E84&lt;&gt;"",
IF(AND('0. Installation'!$B$4&gt;=DATE(2021,1,1),'0. Installation'!$B$4&lt;DATE(2026,1,1)),IF(MAX(O84,IF(ISNA(S84)=FALSE,S84,0))&gt;=0.7,"Elec. : oui","Elec. : non"),
IF(MAX(O84,IF(ISNA(S84)=FALSE,S84,0))&gt;=0.8,"Elec. : oui","Elec. : non"))
&amp;" / "&amp;
IF(AND('0. Installation'!$B$4&gt;=DATE(2021,1,1),'0. Installation'!$B$4&lt;DATE(2026,1,1)),IF(MAX(P84,IF(ISNA(T84)=FALSE,T84,0))&gt;=0.7,"Chaleur : oui","Chaleur : non"),
IF(MAX(P84,IF(ISNA(T84)=FALSE,T84,0))&gt;=0.8,"Elec. : oui","Elec. : non")),
""))</f>
        <v>Pas de critère à respecter</v>
      </c>
      <c r="V84" s="9"/>
      <c r="W84" s="117">
        <f t="shared" si="0"/>
        <v>0</v>
      </c>
    </row>
    <row r="85" spans="1:23" ht="15" customHeight="1">
      <c r="A85" s="21"/>
      <c r="B85" s="21"/>
      <c r="C85" s="14"/>
      <c r="D85" s="21"/>
      <c r="E85" s="266" t="str">
        <f t="shared" si="1"/>
        <v/>
      </c>
      <c r="F85" s="251"/>
      <c r="G85" s="251"/>
      <c r="H85" s="251"/>
      <c r="I85" s="251"/>
      <c r="J85" s="251"/>
      <c r="K85" s="16"/>
      <c r="L85" s="16"/>
      <c r="M85" s="242"/>
      <c r="N85" s="16"/>
      <c r="O85" s="207" t="str">
        <f>IF(AND($E85&lt;&gt;"",$E85&lt;&gt;"A compléter"),
IF(COUNTIF(Listes!A$17:A$30,A85)=0,
VLOOKUP($A85&amp;"/"&amp;$B85,'Références GES'!$E$21:$M$183,3,FALSE),
VLOOKUP($A85&amp;"/"&amp;$D85,'Références GES'!$E$21:$M$183,3,FALSE)),
"")</f>
        <v/>
      </c>
      <c r="P85" s="13" t="str">
        <f>IF(AND($E85&lt;&gt;"",$E85&lt;&gt;"A compléter"),
IF(COUNTIF(Listes!A$17:A$30,A85)=0,
VLOOKUP($A85&amp;"/"&amp;$B85,'Références GES'!$E$21:$M$183,2,FALSE),
VLOOKUP($A85&amp;"/"&amp;$D85,'Références GES'!$E$21:$M$183,2,FALSE)),
"")</f>
        <v/>
      </c>
      <c r="Q85" s="14"/>
      <c r="R85" s="14"/>
      <c r="S85" s="14"/>
      <c r="T85" s="14"/>
      <c r="U85" s="15" t="str">
        <f>IF('0. Installation'!$B$4&lt;DATE(2021,1,1),
"Pas de critère à respecter",
IF(E85&lt;&gt;"",
IF(AND('0. Installation'!$B$4&gt;=DATE(2021,1,1),'0. Installation'!$B$4&lt;DATE(2026,1,1)),IF(MAX(O85,IF(ISNA(S85)=FALSE,S85,0))&gt;=0.7,"Elec. : oui","Elec. : non"),
IF(MAX(O85,IF(ISNA(S85)=FALSE,S85,0))&gt;=0.8,"Elec. : oui","Elec. : non"))
&amp;" / "&amp;
IF(AND('0. Installation'!$B$4&gt;=DATE(2021,1,1),'0. Installation'!$B$4&lt;DATE(2026,1,1)),IF(MAX(P85,IF(ISNA(T85)=FALSE,T85,0))&gt;=0.7,"Chaleur : oui","Chaleur : non"),
IF(MAX(P85,IF(ISNA(T85)=FALSE,T85,0))&gt;=0.8,"Elec. : oui","Elec. : non")),
""))</f>
        <v>Pas de critère à respecter</v>
      </c>
      <c r="V85" s="9"/>
      <c r="W85" s="117">
        <f t="shared" si="0"/>
        <v>0</v>
      </c>
    </row>
    <row r="86" spans="1:23" ht="15" customHeight="1">
      <c r="A86" s="21"/>
      <c r="B86" s="21"/>
      <c r="C86" s="14"/>
      <c r="D86" s="21"/>
      <c r="E86" s="266" t="str">
        <f t="shared" si="1"/>
        <v/>
      </c>
      <c r="F86" s="251"/>
      <c r="G86" s="251"/>
      <c r="H86" s="251"/>
      <c r="I86" s="251"/>
      <c r="J86" s="251"/>
      <c r="K86" s="16"/>
      <c r="L86" s="16"/>
      <c r="M86" s="242"/>
      <c r="N86" s="16"/>
      <c r="O86" s="207" t="str">
        <f>IF(AND($E86&lt;&gt;"",$E86&lt;&gt;"A compléter"),
IF(COUNTIF(Listes!A$17:A$30,A86)=0,
VLOOKUP($A86&amp;"/"&amp;$B86,'Références GES'!$E$21:$M$183,3,FALSE),
VLOOKUP($A86&amp;"/"&amp;$D86,'Références GES'!$E$21:$M$183,3,FALSE)),
"")</f>
        <v/>
      </c>
      <c r="P86" s="13" t="str">
        <f>IF(AND($E86&lt;&gt;"",$E86&lt;&gt;"A compléter"),
IF(COUNTIF(Listes!A$17:A$30,A86)=0,
VLOOKUP($A86&amp;"/"&amp;$B86,'Références GES'!$E$21:$M$183,2,FALSE),
VLOOKUP($A86&amp;"/"&amp;$D86,'Références GES'!$E$21:$M$183,2,FALSE)),
"")</f>
        <v/>
      </c>
      <c r="Q86" s="14"/>
      <c r="R86" s="14"/>
      <c r="S86" s="14"/>
      <c r="T86" s="14"/>
      <c r="U86" s="15" t="str">
        <f>IF('0. Installation'!$B$4&lt;DATE(2021,1,1),
"Pas de critère à respecter",
IF(E86&lt;&gt;"",
IF(AND('0. Installation'!$B$4&gt;=DATE(2021,1,1),'0. Installation'!$B$4&lt;DATE(2026,1,1)),IF(MAX(O86,IF(ISNA(S86)=FALSE,S86,0))&gt;=0.7,"Elec. : oui","Elec. : non"),
IF(MAX(O86,IF(ISNA(S86)=FALSE,S86,0))&gt;=0.8,"Elec. : oui","Elec. : non"))
&amp;" / "&amp;
IF(AND('0. Installation'!$B$4&gt;=DATE(2021,1,1),'0. Installation'!$B$4&lt;DATE(2026,1,1)),IF(MAX(P86,IF(ISNA(T86)=FALSE,T86,0))&gt;=0.7,"Chaleur : oui","Chaleur : non"),
IF(MAX(P86,IF(ISNA(T86)=FALSE,T86,0))&gt;=0.8,"Elec. : oui","Elec. : non")),
""))</f>
        <v>Pas de critère à respecter</v>
      </c>
      <c r="V86" s="9"/>
      <c r="W86" s="117">
        <f t="shared" si="0"/>
        <v>0</v>
      </c>
    </row>
    <row r="87" spans="1:23" ht="15" customHeight="1">
      <c r="A87" s="21"/>
      <c r="B87" s="21"/>
      <c r="C87" s="14"/>
      <c r="D87" s="21"/>
      <c r="E87" s="266" t="str">
        <f t="shared" si="1"/>
        <v/>
      </c>
      <c r="F87" s="251"/>
      <c r="G87" s="251"/>
      <c r="H87" s="251"/>
      <c r="I87" s="251"/>
      <c r="J87" s="251"/>
      <c r="K87" s="16"/>
      <c r="L87" s="16"/>
      <c r="M87" s="242"/>
      <c r="N87" s="16"/>
      <c r="O87" s="207" t="str">
        <f>IF(AND($E87&lt;&gt;"",$E87&lt;&gt;"A compléter"),
IF(COUNTIF(Listes!A$17:A$30,A87)=0,
VLOOKUP($A87&amp;"/"&amp;$B87,'Références GES'!$E$21:$M$183,3,FALSE),
VLOOKUP($A87&amp;"/"&amp;$D87,'Références GES'!$E$21:$M$183,3,FALSE)),
"")</f>
        <v/>
      </c>
      <c r="P87" s="13" t="str">
        <f>IF(AND($E87&lt;&gt;"",$E87&lt;&gt;"A compléter"),
IF(COUNTIF(Listes!A$17:A$30,A87)=0,
VLOOKUP($A87&amp;"/"&amp;$B87,'Références GES'!$E$21:$M$183,2,FALSE),
VLOOKUP($A87&amp;"/"&amp;$D87,'Références GES'!$E$21:$M$183,2,FALSE)),
"")</f>
        <v/>
      </c>
      <c r="Q87" s="14"/>
      <c r="R87" s="14"/>
      <c r="S87" s="14"/>
      <c r="T87" s="14"/>
      <c r="U87" s="15" t="str">
        <f>IF('0. Installation'!$B$4&lt;DATE(2021,1,1),
"Pas de critère à respecter",
IF(E87&lt;&gt;"",
IF(AND('0. Installation'!$B$4&gt;=DATE(2021,1,1),'0. Installation'!$B$4&lt;DATE(2026,1,1)),IF(MAX(O87,IF(ISNA(S87)=FALSE,S87,0))&gt;=0.7,"Elec. : oui","Elec. : non"),
IF(MAX(O87,IF(ISNA(S87)=FALSE,S87,0))&gt;=0.8,"Elec. : oui","Elec. : non"))
&amp;" / "&amp;
IF(AND('0. Installation'!$B$4&gt;=DATE(2021,1,1),'0. Installation'!$B$4&lt;DATE(2026,1,1)),IF(MAX(P87,IF(ISNA(T87)=FALSE,T87,0))&gt;=0.7,"Chaleur : oui","Chaleur : non"),
IF(MAX(P87,IF(ISNA(T87)=FALSE,T87,0))&gt;=0.8,"Elec. : oui","Elec. : non")),
""))</f>
        <v>Pas de critère à respecter</v>
      </c>
      <c r="V87" s="9"/>
      <c r="W87" s="117">
        <f t="shared" si="0"/>
        <v>0</v>
      </c>
    </row>
    <row r="88" spans="1:23" ht="15" customHeight="1">
      <c r="A88" s="21"/>
      <c r="B88" s="21"/>
      <c r="C88" s="14"/>
      <c r="D88" s="21"/>
      <c r="E88" s="266" t="str">
        <f t="shared" si="1"/>
        <v/>
      </c>
      <c r="F88" s="251"/>
      <c r="G88" s="251"/>
      <c r="H88" s="251"/>
      <c r="I88" s="251"/>
      <c r="J88" s="251"/>
      <c r="K88" s="16"/>
      <c r="L88" s="16"/>
      <c r="M88" s="242"/>
      <c r="N88" s="16"/>
      <c r="O88" s="207" t="str">
        <f>IF(AND($E88&lt;&gt;"",$E88&lt;&gt;"A compléter"),
IF(COUNTIF(Listes!A$17:A$30,A88)=0,
VLOOKUP($A88&amp;"/"&amp;$B88,'Références GES'!$E$21:$M$183,3,FALSE),
VLOOKUP($A88&amp;"/"&amp;$D88,'Références GES'!$E$21:$M$183,3,FALSE)),
"")</f>
        <v/>
      </c>
      <c r="P88" s="13" t="str">
        <f>IF(AND($E88&lt;&gt;"",$E88&lt;&gt;"A compléter"),
IF(COUNTIF(Listes!A$17:A$30,A88)=0,
VLOOKUP($A88&amp;"/"&amp;$B88,'Références GES'!$E$21:$M$183,2,FALSE),
VLOOKUP($A88&amp;"/"&amp;$D88,'Références GES'!$E$21:$M$183,2,FALSE)),
"")</f>
        <v/>
      </c>
      <c r="Q88" s="14"/>
      <c r="R88" s="14"/>
      <c r="S88" s="14"/>
      <c r="T88" s="14"/>
      <c r="U88" s="15" t="str">
        <f>IF('0. Installation'!$B$4&lt;DATE(2021,1,1),
"Pas de critère à respecter",
IF(E88&lt;&gt;"",
IF(AND('0. Installation'!$B$4&gt;=DATE(2021,1,1),'0. Installation'!$B$4&lt;DATE(2026,1,1)),IF(MAX(O88,IF(ISNA(S88)=FALSE,S88,0))&gt;=0.7,"Elec. : oui","Elec. : non"),
IF(MAX(O88,IF(ISNA(S88)=FALSE,S88,0))&gt;=0.8,"Elec. : oui","Elec. : non"))
&amp;" / "&amp;
IF(AND('0. Installation'!$B$4&gt;=DATE(2021,1,1),'0. Installation'!$B$4&lt;DATE(2026,1,1)),IF(MAX(P88,IF(ISNA(T88)=FALSE,T88,0))&gt;=0.7,"Chaleur : oui","Chaleur : non"),
IF(MAX(P88,IF(ISNA(T88)=FALSE,T88,0))&gt;=0.8,"Elec. : oui","Elec. : non")),
""))</f>
        <v>Pas de critère à respecter</v>
      </c>
      <c r="V88" s="9"/>
      <c r="W88" s="117">
        <f t="shared" si="0"/>
        <v>0</v>
      </c>
    </row>
    <row r="89" spans="1:23" ht="15" customHeight="1">
      <c r="A89" s="21"/>
      <c r="B89" s="21"/>
      <c r="C89" s="14"/>
      <c r="D89" s="21"/>
      <c r="E89" s="266" t="str">
        <f t="shared" si="1"/>
        <v/>
      </c>
      <c r="F89" s="251"/>
      <c r="G89" s="251"/>
      <c r="H89" s="251"/>
      <c r="I89" s="251"/>
      <c r="J89" s="251"/>
      <c r="K89" s="16"/>
      <c r="L89" s="16"/>
      <c r="M89" s="242"/>
      <c r="N89" s="16"/>
      <c r="O89" s="207" t="str">
        <f>IF(AND($E89&lt;&gt;"",$E89&lt;&gt;"A compléter"),
IF(COUNTIF(Listes!A$17:A$30,A89)=0,
VLOOKUP($A89&amp;"/"&amp;$B89,'Références GES'!$E$21:$M$183,3,FALSE),
VLOOKUP($A89&amp;"/"&amp;$D89,'Références GES'!$E$21:$M$183,3,FALSE)),
"")</f>
        <v/>
      </c>
      <c r="P89" s="13" t="str">
        <f>IF(AND($E89&lt;&gt;"",$E89&lt;&gt;"A compléter"),
IF(COUNTIF(Listes!A$17:A$30,A89)=0,
VLOOKUP($A89&amp;"/"&amp;$B89,'Références GES'!$E$21:$M$183,2,FALSE),
VLOOKUP($A89&amp;"/"&amp;$D89,'Références GES'!$E$21:$M$183,2,FALSE)),
"")</f>
        <v/>
      </c>
      <c r="Q89" s="14"/>
      <c r="R89" s="14"/>
      <c r="S89" s="14"/>
      <c r="T89" s="14"/>
      <c r="U89" s="15" t="str">
        <f>IF('0. Installation'!$B$4&lt;DATE(2021,1,1),
"Pas de critère à respecter",
IF(E89&lt;&gt;"",
IF(AND('0. Installation'!$B$4&gt;=DATE(2021,1,1),'0. Installation'!$B$4&lt;DATE(2026,1,1)),IF(MAX(O89,IF(ISNA(S89)=FALSE,S89,0))&gt;=0.7,"Elec. : oui","Elec. : non"),
IF(MAX(O89,IF(ISNA(S89)=FALSE,S89,0))&gt;=0.8,"Elec. : oui","Elec. : non"))
&amp;" / "&amp;
IF(AND('0. Installation'!$B$4&gt;=DATE(2021,1,1),'0. Installation'!$B$4&lt;DATE(2026,1,1)),IF(MAX(P89,IF(ISNA(T89)=FALSE,T89,0))&gt;=0.7,"Chaleur : oui","Chaleur : non"),
IF(MAX(P89,IF(ISNA(T89)=FALSE,T89,0))&gt;=0.8,"Elec. : oui","Elec. : non")),
""))</f>
        <v>Pas de critère à respecter</v>
      </c>
      <c r="V89" s="9"/>
      <c r="W89" s="117">
        <f t="shared" si="0"/>
        <v>0</v>
      </c>
    </row>
    <row r="90" spans="1:23" ht="15.75" customHeight="1">
      <c r="A90" s="12"/>
      <c r="B90" s="21"/>
      <c r="C90" s="14"/>
      <c r="D90" s="12"/>
      <c r="E90" s="266" t="str">
        <f t="shared" si="1"/>
        <v/>
      </c>
      <c r="F90" s="251"/>
      <c r="G90" s="251"/>
      <c r="H90" s="251"/>
      <c r="I90" s="251"/>
      <c r="J90" s="251"/>
      <c r="K90" s="16"/>
      <c r="L90" s="16"/>
      <c r="M90" s="242"/>
      <c r="N90" s="16"/>
      <c r="O90" s="207" t="str">
        <f>IF(AND($E90&lt;&gt;"",$E90&lt;&gt;"A compléter"),
IF(COUNTIF(Listes!A$17:A$30,A90)=0,
VLOOKUP($A90&amp;"/"&amp;$B90,'Références GES'!$E$21:$M$183,3,FALSE),
VLOOKUP($A90&amp;"/"&amp;$D90,'Références GES'!$E$21:$M$183,3,FALSE)),
"")</f>
        <v/>
      </c>
      <c r="P90" s="13" t="str">
        <f>IF(AND($E90&lt;&gt;"",$E90&lt;&gt;"A compléter"),
IF(COUNTIF(Listes!A$17:A$30,A90)=0,
VLOOKUP($A90&amp;"/"&amp;$B90,'Références GES'!$E$21:$M$183,2,FALSE),
VLOOKUP($A90&amp;"/"&amp;$D90,'Références GES'!$E$21:$M$183,2,FALSE)),
"")</f>
        <v/>
      </c>
      <c r="Q90" s="14"/>
      <c r="R90" s="14"/>
      <c r="S90" s="14"/>
      <c r="T90" s="14"/>
      <c r="U90" s="15" t="str">
        <f>IF('0. Installation'!$B$4&lt;DATE(2021,1,1),
"Pas de critère à respecter",
IF(E90&lt;&gt;"",
IF(AND('0. Installation'!$B$4&gt;=DATE(2021,1,1),'0. Installation'!$B$4&lt;DATE(2026,1,1)),IF(MAX(O90,IF(ISNA(S90)=FALSE,S90,0))&gt;=0.7,"Elec. : oui","Elec. : non"),
IF(MAX(O90,IF(ISNA(S90)=FALSE,S90,0))&gt;=0.8,"Elec. : oui","Elec. : non"))
&amp;" / "&amp;
IF(AND('0. Installation'!$B$4&gt;=DATE(2021,1,1),'0. Installation'!$B$4&lt;DATE(2026,1,1)),IF(MAX(P90,IF(ISNA(T90)=FALSE,T90,0))&gt;=0.7,"Chaleur : oui","Chaleur : non"),
IF(MAX(P90,IF(ISNA(T90)=FALSE,T90,0))&gt;=0.8,"Elec. : oui","Elec. : non")),
""))</f>
        <v>Pas de critère à respecter</v>
      </c>
      <c r="V90" s="9"/>
      <c r="W90" s="117">
        <f t="shared" si="0"/>
        <v>0</v>
      </c>
    </row>
    <row r="91" spans="1:23" ht="15" customHeight="1">
      <c r="A91" s="12"/>
      <c r="B91" s="21"/>
      <c r="C91" s="14"/>
      <c r="D91" s="12"/>
      <c r="E91" s="266" t="str">
        <f t="shared" si="1"/>
        <v/>
      </c>
      <c r="F91" s="251"/>
      <c r="G91" s="251"/>
      <c r="H91" s="251"/>
      <c r="I91" s="251"/>
      <c r="J91" s="251"/>
      <c r="K91" s="16"/>
      <c r="L91" s="16"/>
      <c r="M91" s="242"/>
      <c r="N91" s="16"/>
      <c r="O91" s="207" t="str">
        <f>IF(AND($E91&lt;&gt;"",$E91&lt;&gt;"A compléter"),
IF(COUNTIF(Listes!A$17:A$30,A91)=0,
VLOOKUP($A91&amp;"/"&amp;$B91,'Références GES'!$E$21:$M$183,3,FALSE),
VLOOKUP($A91&amp;"/"&amp;$D91,'Références GES'!$E$21:$M$183,3,FALSE)),
"")</f>
        <v/>
      </c>
      <c r="P91" s="13" t="str">
        <f>IF(AND($E91&lt;&gt;"",$E91&lt;&gt;"A compléter"),
IF(COUNTIF(Listes!A$17:A$30,A91)=0,
VLOOKUP($A91&amp;"/"&amp;$B91,'Références GES'!$E$21:$M$183,2,FALSE),
VLOOKUP($A91&amp;"/"&amp;$D91,'Références GES'!$E$21:$M$183,2,FALSE)),
"")</f>
        <v/>
      </c>
      <c r="Q91" s="14"/>
      <c r="R91" s="14"/>
      <c r="S91" s="14"/>
      <c r="T91" s="14"/>
      <c r="U91" s="15" t="str">
        <f>IF('0. Installation'!$B$4&lt;DATE(2021,1,1),
"Pas de critère à respecter",
IF(E91&lt;&gt;"",
IF(AND('0. Installation'!$B$4&gt;=DATE(2021,1,1),'0. Installation'!$B$4&lt;DATE(2026,1,1)),IF(MAX(O91,IF(ISNA(S91)=FALSE,S91,0))&gt;=0.7,"Elec. : oui","Elec. : non"),
IF(MAX(O91,IF(ISNA(S91)=FALSE,S91,0))&gt;=0.8,"Elec. : oui","Elec. : non"))
&amp;" / "&amp;
IF(AND('0. Installation'!$B$4&gt;=DATE(2021,1,1),'0. Installation'!$B$4&lt;DATE(2026,1,1)),IF(MAX(P91,IF(ISNA(T91)=FALSE,T91,0))&gt;=0.7,"Chaleur : oui","Chaleur : non"),
IF(MAX(P91,IF(ISNA(T91)=FALSE,T91,0))&gt;=0.8,"Elec. : oui","Elec. : non")),
""))</f>
        <v>Pas de critère à respecter</v>
      </c>
      <c r="V91" s="9"/>
      <c r="W91" s="117">
        <f t="shared" si="0"/>
        <v>0</v>
      </c>
    </row>
    <row r="92" spans="1:23">
      <c r="A92" s="215" t="s">
        <v>330</v>
      </c>
      <c r="B92" s="215">
        <f>IF('0. Installation'!$B$2="Chaleur/froid seul(e)",
COUNTIFS($A72:$A91,"&lt;&gt;",U72:U91,"&lt;&gt;Pas de critère à respecter",P72:P91,0,T72:T91,0)+COUNTIFS($A72:$A91,"&lt;&gt;",U72:U91,"&lt;&gt;Pas de critère à respecter",P72:P91,NA(),T72:T91,NA())+COUNTIFS($A72:$A91,"&lt;&gt;",U72:U91,"&lt;&gt;Pas de critère à respecter",P72:P91,0,T72:T91,NA()),
IF('0. Installation'!$B$2="Electricité seule",
COUNTIFS($A72:$A91,"&lt;&gt;",U72:U91,"&lt;&gt;Pas de critère à respecter",O72:O91,0,S72:S91,0)+COUNTIFS($A72:$A91,"&lt;&gt;",U72:U91,"&lt;&gt;Pas de critère à respecter",O72:O91,NA(),S72:S91,NA()),
COUNTIFS($A72:$A91,"&lt;&gt;",U72:U91,"&lt;&gt;Pas de critère à respecter",O72:O91,0,P72:P91,0,S72:S91,0,T72:T91,0)+COUNTIFS($A72:$A91,"&lt;&gt;",U72:U91,"&lt;&gt;Pas de critère à respecter",O72:O91,NA(),S72:S91,NA(),P72:P91,NA(),T72:T91,NA())+COUNTIFS($A72:$A91,"&lt;&gt;",U72:U91,"&lt;&gt;Pas de critère à respecter",O72:O91,NA(),S72:S91,0,P72:P91,NA(),T72:T91,0)))</f>
        <v>0</v>
      </c>
      <c r="C92" s="216"/>
      <c r="W92" s="117"/>
    </row>
    <row r="93" spans="1:23" ht="15" thickBot="1">
      <c r="A93" s="103"/>
      <c r="B93" s="267"/>
      <c r="C93" s="216"/>
      <c r="W93" s="117"/>
    </row>
    <row r="94" spans="1:23" ht="45" customHeight="1" thickBot="1">
      <c r="A94" s="325" t="s">
        <v>339</v>
      </c>
      <c r="B94" s="307"/>
      <c r="C94" s="307"/>
      <c r="D94" s="307"/>
      <c r="E94" s="307"/>
      <c r="F94" s="307"/>
      <c r="G94" s="307"/>
      <c r="H94" s="307"/>
      <c r="I94" s="307"/>
      <c r="J94" s="307"/>
      <c r="K94" s="307"/>
      <c r="L94" s="307"/>
      <c r="M94" s="307"/>
      <c r="N94" s="307"/>
      <c r="O94" s="307"/>
      <c r="P94" s="307"/>
      <c r="Q94" s="307"/>
      <c r="R94" s="307"/>
      <c r="S94" s="307"/>
      <c r="T94" s="307"/>
      <c r="U94" s="308"/>
      <c r="W94" s="117"/>
    </row>
    <row r="95" spans="1:23" ht="45" customHeight="1">
      <c r="A95" s="202" t="s">
        <v>67</v>
      </c>
      <c r="B95" s="249"/>
      <c r="C95" s="243" t="s">
        <v>65</v>
      </c>
      <c r="D95" s="7"/>
      <c r="E95" s="247" t="s">
        <v>19</v>
      </c>
      <c r="F95" s="336" t="s">
        <v>325</v>
      </c>
      <c r="G95" s="331"/>
      <c r="H95" s="331"/>
      <c r="I95" s="331"/>
      <c r="J95" s="331"/>
      <c r="K95" s="331"/>
      <c r="L95" s="331"/>
      <c r="M95" s="248" t="s">
        <v>318</v>
      </c>
      <c r="N95" s="248" t="s">
        <v>22</v>
      </c>
      <c r="O95" s="337"/>
      <c r="P95" s="337"/>
      <c r="Q95" s="337"/>
      <c r="R95" s="337"/>
      <c r="S95" s="329" t="s">
        <v>66</v>
      </c>
      <c r="T95" s="330"/>
      <c r="U95" s="243" t="s">
        <v>21</v>
      </c>
      <c r="V95" s="6" t="s">
        <v>23</v>
      </c>
      <c r="W95" s="117"/>
    </row>
    <row r="96" spans="1:23" ht="63.6" customHeight="1">
      <c r="A96" s="201"/>
      <c r="B96" s="8"/>
      <c r="C96" s="8"/>
      <c r="D96" s="8"/>
      <c r="E96" s="8"/>
      <c r="F96" s="8" t="s">
        <v>26</v>
      </c>
      <c r="G96" s="8" t="s">
        <v>27</v>
      </c>
      <c r="H96" s="8" t="s">
        <v>28</v>
      </c>
      <c r="I96" s="8" t="s">
        <v>29</v>
      </c>
      <c r="J96" s="8" t="s">
        <v>30</v>
      </c>
      <c r="K96" s="8" t="s">
        <v>415</v>
      </c>
      <c r="L96" s="8" t="s">
        <v>416</v>
      </c>
      <c r="M96" s="9"/>
      <c r="N96" s="9"/>
      <c r="O96" s="8"/>
      <c r="P96" s="8"/>
      <c r="Q96" s="8"/>
      <c r="R96" s="8"/>
      <c r="S96" s="3" t="s">
        <v>24</v>
      </c>
      <c r="T96" s="3" t="s">
        <v>25</v>
      </c>
      <c r="U96" s="3"/>
      <c r="V96" s="8"/>
      <c r="W96" s="117"/>
    </row>
    <row r="97" spans="1:23" ht="15.6">
      <c r="A97" s="27"/>
      <c r="B97" s="14"/>
      <c r="C97" s="28" t="str">
        <f>IF(ISBLANK(A97)=FALSE,"Lot "&amp;(ROW()-ROW(C$97)+1),"")</f>
        <v/>
      </c>
      <c r="D97" s="14"/>
      <c r="E97" s="266"/>
      <c r="F97" s="251"/>
      <c r="G97" s="251"/>
      <c r="H97" s="251"/>
      <c r="I97" s="251"/>
      <c r="J97" s="251"/>
      <c r="K97" s="16"/>
      <c r="L97" s="16"/>
      <c r="M97" s="242"/>
      <c r="N97" s="16"/>
      <c r="O97" s="14"/>
      <c r="P97" s="14"/>
      <c r="Q97" s="14"/>
      <c r="R97" s="14"/>
      <c r="S97" s="13" t="str">
        <f>IF(A97&lt;&gt;"",
IF(OR($A97="Graisses de station d’épuration",$A97="Déchets IAA liquides (&lt;20% MS)",$A97="Déchets liquides industriels"),
VLOOKUP($C97,'2. Détail calcul GES'!$A$4:$AN$60,32,FALSE),
VLOOKUP($C97,'2. Détail calcul GES'!$A$4:$AN$60,27,FALSE)),
"")</f>
        <v/>
      </c>
      <c r="T97" s="13" t="str">
        <f>IF(A97&lt;&gt;"",
IF(OR($A97="Graisses de station d’épuration",$A97="Déchets IAA liquides (&lt;20% MS)",$A97="Déchets liquides industriels"),
VLOOKUP($C97,'2. Détail calcul GES'!$A$4:$AN$60,34,FALSE),
VLOOKUP($C97,'2. Détail calcul GES'!$A$4:$AN$60,29,FALSE)),
"")</f>
        <v/>
      </c>
      <c r="U97" s="15" t="str">
        <f>IF(OR('0. Installation'!$B$4&lt;DATE(2021,1,1),A97="Déchets ménager et assimilés"),
"Pas de critère à respecter",
IF(E97&lt;&gt;"",
IF(AND('0. Installation'!$B$4&gt;=DATE(2021,1,1),'0. Installation'!$B$4&lt;DATE(2026,1,1)),IF(S97&gt;=0.7,"Elec. : oui","Elec. : non"),
IF(S97&gt;=0.8,"Elec. : oui","Elec. : non"))
&amp;" / "&amp;
IF(AND('0. Installation'!$B$4&gt;=DATE(2021,1,1),'0. Installation'!$B$4&lt;DATE(2026,1,1)),IF(T97&gt;=0.7,"Chaleur : oui","Chaleur : non"),
IF(T97&gt;=0.8,"Chaleur. : oui","Chaleur : non")),
""))</f>
        <v>Pas de critère à respecter</v>
      </c>
      <c r="V97" s="9"/>
      <c r="W97" s="117">
        <f>A97</f>
        <v>0</v>
      </c>
    </row>
    <row r="98" spans="1:23" ht="15.6">
      <c r="A98" s="27"/>
      <c r="B98" s="14"/>
      <c r="C98" s="28" t="str">
        <f t="shared" ref="C98:C125" si="2">IF(ISBLANK(A98)=FALSE,"Lot "&amp;(ROW()-ROW(C$97)+1),"")</f>
        <v/>
      </c>
      <c r="D98" s="14"/>
      <c r="E98" s="266"/>
      <c r="F98" s="251"/>
      <c r="G98" s="251"/>
      <c r="H98" s="251"/>
      <c r="I98" s="251"/>
      <c r="J98" s="251"/>
      <c r="K98" s="16"/>
      <c r="L98" s="16"/>
      <c r="M98" s="242"/>
      <c r="N98" s="16"/>
      <c r="O98" s="14"/>
      <c r="P98" s="14"/>
      <c r="Q98" s="14"/>
      <c r="R98" s="14"/>
      <c r="S98" s="13" t="str">
        <f>IF(A98&lt;&gt;"",
IF(OR($A98="Graisses de station d’épuration",$A98="Déchets IAA liquides (&lt;20% MS)",$A98="Déchets liquides industriels"),
VLOOKUP($C98,'2. Détail calcul GES'!$A$4:$AN$60,32,FALSE),
VLOOKUP($C98,'2. Détail calcul GES'!$A$4:$AN$60,27,FALSE)),
"")</f>
        <v/>
      </c>
      <c r="T98" s="13" t="str">
        <f>IF(A98&lt;&gt;"",
IF(OR($A98="Graisses de station d’épuration",$A98="Déchets IAA liquides (&lt;20% MS)",$A98="Déchets liquides industriels"),
VLOOKUP($C98,'2. Détail calcul GES'!$A$4:$AN$60,34,FALSE),
VLOOKUP($C98,'2. Détail calcul GES'!$A$4:$AN$60,29,FALSE)),
"")</f>
        <v/>
      </c>
      <c r="U98" s="15" t="str">
        <f>IF(OR('0. Installation'!$B$4&lt;DATE(2021,1,1),A98="Déchets ménager et assimilés"),
"Pas de critère à respecter",
IF(E98&lt;&gt;"",
IF(AND('0. Installation'!$B$4&gt;=DATE(2021,1,1),'0. Installation'!$B$4&lt;DATE(2026,1,1)),IF(S98&gt;=0.7,"Elec. : oui","Elec. : non"),
IF(S98&gt;=0.8,"Elec. : oui","Elec. : non"))
&amp;" / "&amp;
IF(AND('0. Installation'!$B$4&gt;=DATE(2021,1,1),'0. Installation'!$B$4&lt;DATE(2026,1,1)),IF(T98&gt;=0.7,"Chaleur : oui","Chaleur : non"),
IF(T98&gt;=0.8,"Chaleur. : oui","Chaleur : non")),
""))</f>
        <v>Pas de critère à respecter</v>
      </c>
      <c r="V98" s="9"/>
      <c r="W98" s="117">
        <f t="shared" ref="W98:W188" si="3">A98</f>
        <v>0</v>
      </c>
    </row>
    <row r="99" spans="1:23" ht="15.6">
      <c r="A99" s="27"/>
      <c r="B99" s="14"/>
      <c r="C99" s="28" t="str">
        <f>IF(ISBLANK(A99)=FALSE,"Lot "&amp;(ROW()-ROW(C$97)+1),"")</f>
        <v/>
      </c>
      <c r="D99" s="14"/>
      <c r="E99" s="266"/>
      <c r="F99" s="251"/>
      <c r="G99" s="251"/>
      <c r="H99" s="251"/>
      <c r="I99" s="251"/>
      <c r="J99" s="251"/>
      <c r="K99" s="16"/>
      <c r="L99" s="16"/>
      <c r="M99" s="242"/>
      <c r="N99" s="16"/>
      <c r="O99" s="14"/>
      <c r="P99" s="14"/>
      <c r="Q99" s="14"/>
      <c r="R99" s="14"/>
      <c r="S99" s="13" t="str">
        <f>IF(A99&lt;&gt;"",
IF(OR($A99="Graisses de station d’épuration",$A99="Déchets IAA liquides (&lt;20% MS)",$A99="Déchets liquides industriels"),
VLOOKUP($C99,'2. Détail calcul GES'!$A$4:$AN$60,32,FALSE),
VLOOKUP($C99,'2. Détail calcul GES'!$A$4:$AN$60,27,FALSE)),
"")</f>
        <v/>
      </c>
      <c r="T99" s="13" t="str">
        <f>IF(A99&lt;&gt;"",
IF(OR($A99="Graisses de station d’épuration",$A99="Déchets IAA liquides (&lt;20% MS)",$A99="Déchets liquides industriels"),
VLOOKUP($C99,'2. Détail calcul GES'!$A$4:$AN$60,34,FALSE),
VLOOKUP($C99,'2. Détail calcul GES'!$A$4:$AN$60,29,FALSE)),
"")</f>
        <v/>
      </c>
      <c r="U99" s="15" t="str">
        <f>IF(OR('0. Installation'!$B$4&lt;DATE(2021,1,1),A99="Déchets ménager et assimilés"),
"Pas de critère à respecter",
IF(E99&lt;&gt;"",
IF(AND('0. Installation'!$B$4&gt;=DATE(2021,1,1),'0. Installation'!$B$4&lt;DATE(2026,1,1)),IF(S99&gt;=0.7,"Elec. : oui","Elec. : non"),
IF(S99&gt;=0.8,"Elec. : oui","Elec. : non"))
&amp;" / "&amp;
IF(AND('0. Installation'!$B$4&gt;=DATE(2021,1,1),'0. Installation'!$B$4&lt;DATE(2026,1,1)),IF(T99&gt;=0.7,"Chaleur : oui","Chaleur : non"),
IF(T99&gt;=0.8,"Chaleur. : oui","Chaleur : non")),
""))</f>
        <v>Pas de critère à respecter</v>
      </c>
      <c r="V99" s="9"/>
      <c r="W99" s="117">
        <f t="shared" si="3"/>
        <v>0</v>
      </c>
    </row>
    <row r="100" spans="1:23" ht="15.6">
      <c r="A100" s="27"/>
      <c r="B100" s="14"/>
      <c r="C100" s="28" t="str">
        <f t="shared" si="2"/>
        <v/>
      </c>
      <c r="D100" s="14"/>
      <c r="E100" s="266"/>
      <c r="F100" s="251"/>
      <c r="G100" s="251"/>
      <c r="H100" s="251"/>
      <c r="I100" s="251"/>
      <c r="J100" s="251"/>
      <c r="K100" s="16"/>
      <c r="L100" s="16"/>
      <c r="M100" s="242"/>
      <c r="N100" s="16"/>
      <c r="O100" s="14"/>
      <c r="P100" s="14"/>
      <c r="Q100" s="14"/>
      <c r="R100" s="14"/>
      <c r="S100" s="13" t="str">
        <f>IF(A100&lt;&gt;"",
IF(OR($A100="Graisses de station d’épuration",$A100="Déchets IAA liquides (&lt;20% MS)",$A100="Déchets liquides industriels"),
VLOOKUP($C100,'2. Détail calcul GES'!$A$4:$AN$60,32,FALSE),
VLOOKUP($C100,'2. Détail calcul GES'!$A$4:$AN$60,27,FALSE)),
"")</f>
        <v/>
      </c>
      <c r="T100" s="13" t="str">
        <f>IF(A100&lt;&gt;"",
IF(OR($A100="Graisses de station d’épuration",$A100="Déchets IAA liquides (&lt;20% MS)",$A100="Déchets liquides industriels"),
VLOOKUP($C100,'2. Détail calcul GES'!$A$4:$AN$60,34,FALSE),
VLOOKUP($C100,'2. Détail calcul GES'!$A$4:$AN$60,29,FALSE)),
"")</f>
        <v/>
      </c>
      <c r="U100" s="15" t="str">
        <f>IF(OR('0. Installation'!$B$4&lt;DATE(2021,1,1),A100="Déchets ménager et assimilés"),
"Pas de critère à respecter",
IF(E100&lt;&gt;"",
IF(AND('0. Installation'!$B$4&gt;=DATE(2021,1,1),'0. Installation'!$B$4&lt;DATE(2026,1,1)),IF(S100&gt;=0.7,"Elec. : oui","Elec. : non"),
IF(S100&gt;=0.8,"Elec. : oui","Elec. : non"))
&amp;" / "&amp;
IF(AND('0. Installation'!$B$4&gt;=DATE(2021,1,1),'0. Installation'!$B$4&lt;DATE(2026,1,1)),IF(T100&gt;=0.7,"Chaleur : oui","Chaleur : non"),
IF(T100&gt;=0.8,"Chaleur. : oui","Chaleur : non")),
""))</f>
        <v>Pas de critère à respecter</v>
      </c>
      <c r="V100" s="9"/>
      <c r="W100" s="117">
        <f t="shared" si="3"/>
        <v>0</v>
      </c>
    </row>
    <row r="101" spans="1:23" ht="15.6">
      <c r="A101" s="27"/>
      <c r="B101" s="14"/>
      <c r="C101" s="28" t="str">
        <f t="shared" si="2"/>
        <v/>
      </c>
      <c r="D101" s="14"/>
      <c r="E101" s="266" t="str">
        <f t="shared" ref="E101:E126" si="4">IF(A101&lt;&gt;"","A compléter","")</f>
        <v/>
      </c>
      <c r="F101" s="251"/>
      <c r="G101" s="251"/>
      <c r="H101" s="251"/>
      <c r="I101" s="251"/>
      <c r="J101" s="251"/>
      <c r="K101" s="16"/>
      <c r="L101" s="16"/>
      <c r="M101" s="242"/>
      <c r="N101" s="16"/>
      <c r="O101" s="14"/>
      <c r="P101" s="14"/>
      <c r="Q101" s="14"/>
      <c r="R101" s="14"/>
      <c r="S101" s="13" t="str">
        <f>IF(A101&lt;&gt;"",
IF(OR($A101="Graisses de station d’épuration",$A101="Déchets IAA liquides (&lt;20% MS)",$A101="Déchets liquides industriels"),
VLOOKUP($C101,'2. Détail calcul GES'!$A$4:$AN$60,32,FALSE),
VLOOKUP($C101,'2. Détail calcul GES'!$A$4:$AN$60,27,FALSE)),
"")</f>
        <v/>
      </c>
      <c r="T101" s="13" t="str">
        <f>IF(A101&lt;&gt;"",
IF(OR($A101="Graisses de station d’épuration",$A101="Déchets IAA liquides (&lt;20% MS)",$A101="Déchets liquides industriels"),
VLOOKUP($C101,'2. Détail calcul GES'!$A$4:$AN$60,34,FALSE),
VLOOKUP($C101,'2. Détail calcul GES'!$A$4:$AN$60,29,FALSE)),
"")</f>
        <v/>
      </c>
      <c r="U101" s="15" t="str">
        <f>IF(OR('0. Installation'!$B$4&lt;DATE(2021,1,1),A101="Déchets ménager et assimilés"),
"Pas de critère à respecter",
IF(E101&lt;&gt;"",
IF(AND('0. Installation'!$B$4&gt;=DATE(2021,1,1),'0. Installation'!$B$4&lt;DATE(2026,1,1)),IF(S101&gt;=0.7,"Elec. : oui","Elec. : non"),
IF(S101&gt;=0.8,"Elec. : oui","Elec. : non"))
&amp;" / "&amp;
IF(AND('0. Installation'!$B$4&gt;=DATE(2021,1,1),'0. Installation'!$B$4&lt;DATE(2026,1,1)),IF(T101&gt;=0.7,"Chaleur : oui","Chaleur : non"),
IF(T101&gt;=0.8,"Chaleur. : oui","Chaleur : non")),
""))</f>
        <v>Pas de critère à respecter</v>
      </c>
      <c r="V101" s="9"/>
      <c r="W101" s="117">
        <f t="shared" si="3"/>
        <v>0</v>
      </c>
    </row>
    <row r="102" spans="1:23" ht="15.6">
      <c r="A102" s="27"/>
      <c r="B102" s="14"/>
      <c r="C102" s="28" t="str">
        <f t="shared" si="2"/>
        <v/>
      </c>
      <c r="D102" s="14"/>
      <c r="E102" s="266" t="str">
        <f t="shared" si="4"/>
        <v/>
      </c>
      <c r="F102" s="251"/>
      <c r="G102" s="251"/>
      <c r="H102" s="251"/>
      <c r="I102" s="251"/>
      <c r="J102" s="251"/>
      <c r="K102" s="16"/>
      <c r="L102" s="16"/>
      <c r="M102" s="242"/>
      <c r="N102" s="16"/>
      <c r="O102" s="14"/>
      <c r="P102" s="14"/>
      <c r="Q102" s="14"/>
      <c r="R102" s="14"/>
      <c r="S102" s="13" t="str">
        <f>IF(A102&lt;&gt;"",
IF(OR($A102="Graisses de station d’épuration",$A102="Déchets IAA liquides (&lt;20% MS)",$A102="Déchets liquides industriels"),
VLOOKUP($C102,'2. Détail calcul GES'!$A$4:$AN$60,32,FALSE),
VLOOKUP($C102,'2. Détail calcul GES'!$A$4:$AN$60,27,FALSE)),
"")</f>
        <v/>
      </c>
      <c r="T102" s="13" t="str">
        <f>IF(A102&lt;&gt;"",
IF(OR($A102="Graisses de station d’épuration",$A102="Déchets IAA liquides (&lt;20% MS)",$A102="Déchets liquides industriels"),
VLOOKUP($C102,'2. Détail calcul GES'!$A$4:$AN$60,34,FALSE),
VLOOKUP($C102,'2. Détail calcul GES'!$A$4:$AN$60,29,FALSE)),
"")</f>
        <v/>
      </c>
      <c r="U102" s="15" t="str">
        <f>IF(OR('0. Installation'!$B$4&lt;DATE(2021,1,1),A102="Déchets ménager et assimilés"),
"Pas de critère à respecter",
IF(E102&lt;&gt;"",
IF(AND('0. Installation'!$B$4&gt;=DATE(2021,1,1),'0. Installation'!$B$4&lt;DATE(2026,1,1)),IF(S102&gt;=0.7,"Elec. : oui","Elec. : non"),
IF(S102&gt;=0.8,"Elec. : oui","Elec. : non"))
&amp;" / "&amp;
IF(AND('0. Installation'!$B$4&gt;=DATE(2021,1,1),'0. Installation'!$B$4&lt;DATE(2026,1,1)),IF(T102&gt;=0.7,"Chaleur : oui","Chaleur : non"),
IF(T102&gt;=0.8,"Chaleur. : oui","Chaleur : non")),
""))</f>
        <v>Pas de critère à respecter</v>
      </c>
      <c r="V102" s="9"/>
      <c r="W102" s="117">
        <f t="shared" si="3"/>
        <v>0</v>
      </c>
    </row>
    <row r="103" spans="1:23" ht="15.6">
      <c r="A103" s="27"/>
      <c r="B103" s="14"/>
      <c r="C103" s="28" t="str">
        <f t="shared" si="2"/>
        <v/>
      </c>
      <c r="D103" s="14"/>
      <c r="E103" s="266" t="str">
        <f t="shared" si="4"/>
        <v/>
      </c>
      <c r="F103" s="251"/>
      <c r="G103" s="251"/>
      <c r="H103" s="251"/>
      <c r="I103" s="251"/>
      <c r="J103" s="251"/>
      <c r="K103" s="16"/>
      <c r="L103" s="16"/>
      <c r="M103" s="242"/>
      <c r="N103" s="16"/>
      <c r="O103" s="14"/>
      <c r="P103" s="14"/>
      <c r="Q103" s="14"/>
      <c r="R103" s="14"/>
      <c r="S103" s="13" t="str">
        <f>IF(A103&lt;&gt;"",
IF(OR($A103="Graisses de station d’épuration",$A103="Déchets IAA liquides (&lt;20% MS)",$A103="Déchets liquides industriels"),
VLOOKUP($C103,'2. Détail calcul GES'!$A$4:$AN$60,32,FALSE),
VLOOKUP($C103,'2. Détail calcul GES'!$A$4:$AN$60,27,FALSE)),
"")</f>
        <v/>
      </c>
      <c r="T103" s="13" t="str">
        <f>IF(A103&lt;&gt;"",
IF(OR($A103="Graisses de station d’épuration",$A103="Déchets IAA liquides (&lt;20% MS)",$A103="Déchets liquides industriels"),
VLOOKUP($C103,'2. Détail calcul GES'!$A$4:$AN$60,34,FALSE),
VLOOKUP($C103,'2. Détail calcul GES'!$A$4:$AN$60,29,FALSE)),
"")</f>
        <v/>
      </c>
      <c r="U103" s="15" t="str">
        <f>IF(OR('0. Installation'!$B$4&lt;DATE(2021,1,1),A103="Déchets ménager et assimilés"),
"Pas de critère à respecter",
IF(E103&lt;&gt;"",
IF(AND('0. Installation'!$B$4&gt;=DATE(2021,1,1),'0. Installation'!$B$4&lt;DATE(2026,1,1)),IF(S103&gt;=0.7,"Elec. : oui","Elec. : non"),
IF(S103&gt;=0.8,"Elec. : oui","Elec. : non"))
&amp;" / "&amp;
IF(AND('0. Installation'!$B$4&gt;=DATE(2021,1,1),'0. Installation'!$B$4&lt;DATE(2026,1,1)),IF(T103&gt;=0.7,"Chaleur : oui","Chaleur : non"),
IF(T103&gt;=0.8,"Chaleur. : oui","Chaleur : non")),
""))</f>
        <v>Pas de critère à respecter</v>
      </c>
      <c r="V103" s="9"/>
      <c r="W103" s="117">
        <f>A103</f>
        <v>0</v>
      </c>
    </row>
    <row r="104" spans="1:23" ht="15.6">
      <c r="A104" s="27"/>
      <c r="B104" s="14"/>
      <c r="C104" s="28" t="str">
        <f t="shared" si="2"/>
        <v/>
      </c>
      <c r="D104" s="14"/>
      <c r="E104" s="266" t="str">
        <f t="shared" si="4"/>
        <v/>
      </c>
      <c r="F104" s="251"/>
      <c r="G104" s="251"/>
      <c r="H104" s="251"/>
      <c r="I104" s="251"/>
      <c r="J104" s="251"/>
      <c r="K104" s="16"/>
      <c r="L104" s="16"/>
      <c r="M104" s="242"/>
      <c r="N104" s="16"/>
      <c r="O104" s="14"/>
      <c r="P104" s="14"/>
      <c r="Q104" s="14"/>
      <c r="R104" s="14"/>
      <c r="S104" s="13" t="str">
        <f>IF(A104&lt;&gt;"",
IF(OR($A104="Graisses de station d’épuration",$A104="Déchets IAA liquides (&lt;20% MS)",$A104="Déchets liquides industriels"),
VLOOKUP($C104,'2. Détail calcul GES'!$A$4:$AN$60,32,FALSE),
VLOOKUP($C104,'2. Détail calcul GES'!$A$4:$AN$60,27,FALSE)),
"")</f>
        <v/>
      </c>
      <c r="T104" s="13" t="str">
        <f>IF(A104&lt;&gt;"",
IF(OR($A104="Graisses de station d’épuration",$A104="Déchets IAA liquides (&lt;20% MS)",$A104="Déchets liquides industriels"),
VLOOKUP($C104,'2. Détail calcul GES'!$A$4:$AN$60,34,FALSE),
VLOOKUP($C104,'2. Détail calcul GES'!$A$4:$AN$60,29,FALSE)),
"")</f>
        <v/>
      </c>
      <c r="U104" s="15" t="str">
        <f>IF(OR('0. Installation'!$B$4&lt;DATE(2021,1,1),A104="Déchets ménager et assimilés"),
"Pas de critère à respecter",
IF(E104&lt;&gt;"",
IF(AND('0. Installation'!$B$4&gt;=DATE(2021,1,1),'0. Installation'!$B$4&lt;DATE(2026,1,1)),IF(S104&gt;=0.7,"Elec. : oui","Elec. : non"),
IF(S104&gt;=0.8,"Elec. : oui","Elec. : non"))
&amp;" / "&amp;
IF(AND('0. Installation'!$B$4&gt;=DATE(2021,1,1),'0. Installation'!$B$4&lt;DATE(2026,1,1)),IF(T104&gt;=0.7,"Chaleur : oui","Chaleur : non"),
IF(T104&gt;=0.8,"Chaleur. : oui","Chaleur : non")),
""))</f>
        <v>Pas de critère à respecter</v>
      </c>
      <c r="V104" s="9"/>
      <c r="W104" s="117">
        <f t="shared" si="3"/>
        <v>0</v>
      </c>
    </row>
    <row r="105" spans="1:23" ht="15.6">
      <c r="A105" s="27"/>
      <c r="B105" s="14"/>
      <c r="C105" s="28" t="str">
        <f t="shared" si="2"/>
        <v/>
      </c>
      <c r="D105" s="14"/>
      <c r="E105" s="266" t="str">
        <f t="shared" si="4"/>
        <v/>
      </c>
      <c r="F105" s="251"/>
      <c r="G105" s="251"/>
      <c r="H105" s="251"/>
      <c r="I105" s="251"/>
      <c r="J105" s="251"/>
      <c r="K105" s="16"/>
      <c r="L105" s="16"/>
      <c r="M105" s="242"/>
      <c r="N105" s="16"/>
      <c r="O105" s="14"/>
      <c r="P105" s="14"/>
      <c r="Q105" s="14"/>
      <c r="R105" s="14"/>
      <c r="S105" s="13" t="str">
        <f>IF(A105&lt;&gt;"",
IF(OR($A105="Graisses de station d’épuration",$A105="Déchets IAA liquides (&lt;20% MS)",$A105="Déchets liquides industriels"),
VLOOKUP($C105,'2. Détail calcul GES'!$A$4:$AN$60,32,FALSE),
VLOOKUP($C105,'2. Détail calcul GES'!$A$4:$AN$60,27,FALSE)),
"")</f>
        <v/>
      </c>
      <c r="T105" s="13" t="str">
        <f>IF(A105&lt;&gt;"",
IF(OR($A105="Graisses de station d’épuration",$A105="Déchets IAA liquides (&lt;20% MS)",$A105="Déchets liquides industriels"),
VLOOKUP($C105,'2. Détail calcul GES'!$A$4:$AN$60,34,FALSE),
VLOOKUP($C105,'2. Détail calcul GES'!$A$4:$AN$60,29,FALSE)),
"")</f>
        <v/>
      </c>
      <c r="U105" s="15" t="str">
        <f>IF(OR('0. Installation'!$B$4&lt;DATE(2021,1,1),A105="Déchets ménager et assimilés"),
"Pas de critère à respecter",
IF(E105&lt;&gt;"",
IF(AND('0. Installation'!$B$4&gt;=DATE(2021,1,1),'0. Installation'!$B$4&lt;DATE(2026,1,1)),IF(S105&gt;=0.7,"Elec. : oui","Elec. : non"),
IF(S105&gt;=0.8,"Elec. : oui","Elec. : non"))
&amp;" / "&amp;
IF(AND('0. Installation'!$B$4&gt;=DATE(2021,1,1),'0. Installation'!$B$4&lt;DATE(2026,1,1)),IF(T105&gt;=0.7,"Chaleur : oui","Chaleur : non"),
IF(T105&gt;=0.8,"Chaleur. : oui","Chaleur : non")),
""))</f>
        <v>Pas de critère à respecter</v>
      </c>
      <c r="V105" s="9"/>
      <c r="W105" s="117">
        <f t="shared" si="3"/>
        <v>0</v>
      </c>
    </row>
    <row r="106" spans="1:23" ht="15.6">
      <c r="A106" s="27"/>
      <c r="B106" s="14"/>
      <c r="C106" s="28" t="str">
        <f t="shared" si="2"/>
        <v/>
      </c>
      <c r="D106" s="14"/>
      <c r="E106" s="266" t="str">
        <f t="shared" si="4"/>
        <v/>
      </c>
      <c r="F106" s="251"/>
      <c r="G106" s="251"/>
      <c r="H106" s="251"/>
      <c r="I106" s="251"/>
      <c r="J106" s="251"/>
      <c r="K106" s="16"/>
      <c r="L106" s="16"/>
      <c r="M106" s="242"/>
      <c r="N106" s="16"/>
      <c r="O106" s="14"/>
      <c r="P106" s="14"/>
      <c r="Q106" s="14"/>
      <c r="R106" s="14"/>
      <c r="S106" s="13" t="str">
        <f>IF(A106&lt;&gt;"",
IF(OR($A106="Graisses de station d’épuration",$A106="Déchets IAA liquides (&lt;20% MS)",$A106="Déchets liquides industriels"),
VLOOKUP($C106,'2. Détail calcul GES'!$A$4:$AN$60,32,FALSE),
VLOOKUP($C106,'2. Détail calcul GES'!$A$4:$AN$60,27,FALSE)),
"")</f>
        <v/>
      </c>
      <c r="T106" s="13" t="str">
        <f>IF(A106&lt;&gt;"",
IF(OR($A106="Graisses de station d’épuration",$A106="Déchets IAA liquides (&lt;20% MS)",$A106="Déchets liquides industriels"),
VLOOKUP($C106,'2. Détail calcul GES'!$A$4:$AN$60,34,FALSE),
VLOOKUP($C106,'2. Détail calcul GES'!$A$4:$AN$60,29,FALSE)),
"")</f>
        <v/>
      </c>
      <c r="U106" s="15" t="str">
        <f>IF(OR('0. Installation'!$B$4&lt;DATE(2021,1,1),A106="Déchets ménager et assimilés"),
"Pas de critère à respecter",
IF(E106&lt;&gt;"",
IF(AND('0. Installation'!$B$4&gt;=DATE(2021,1,1),'0. Installation'!$B$4&lt;DATE(2026,1,1)),IF(S106&gt;=0.7,"Elec. : oui","Elec. : non"),
IF(S106&gt;=0.8,"Elec. : oui","Elec. : non"))
&amp;" / "&amp;
IF(AND('0. Installation'!$B$4&gt;=DATE(2021,1,1),'0. Installation'!$B$4&lt;DATE(2026,1,1)),IF(T106&gt;=0.7,"Chaleur : oui","Chaleur : non"),
IF(T106&gt;=0.8,"Chaleur. : oui","Chaleur : non")),
""))</f>
        <v>Pas de critère à respecter</v>
      </c>
      <c r="V106" s="9"/>
      <c r="W106" s="117">
        <f t="shared" si="3"/>
        <v>0</v>
      </c>
    </row>
    <row r="107" spans="1:23" ht="15.6">
      <c r="A107" s="27"/>
      <c r="B107" s="14"/>
      <c r="C107" s="28" t="str">
        <f t="shared" si="2"/>
        <v/>
      </c>
      <c r="D107" s="14"/>
      <c r="E107" s="266" t="str">
        <f t="shared" si="4"/>
        <v/>
      </c>
      <c r="F107" s="251"/>
      <c r="G107" s="251"/>
      <c r="H107" s="251"/>
      <c r="I107" s="251"/>
      <c r="J107" s="251"/>
      <c r="K107" s="16"/>
      <c r="L107" s="16"/>
      <c r="M107" s="242"/>
      <c r="N107" s="16"/>
      <c r="O107" s="14"/>
      <c r="P107" s="14"/>
      <c r="Q107" s="14"/>
      <c r="R107" s="14"/>
      <c r="S107" s="13" t="str">
        <f>IF(A107&lt;&gt;"",
IF(OR($A107="Graisses de station d’épuration",$A107="Déchets IAA liquides (&lt;20% MS)",$A107="Déchets liquides industriels"),
VLOOKUP($C107,'2. Détail calcul GES'!$A$4:$AN$60,32,FALSE),
VLOOKUP($C107,'2. Détail calcul GES'!$A$4:$AN$60,27,FALSE)),
"")</f>
        <v/>
      </c>
      <c r="T107" s="13" t="str">
        <f>IF(A107&lt;&gt;"",
IF(OR($A107="Graisses de station d’épuration",$A107="Déchets IAA liquides (&lt;20% MS)",$A107="Déchets liquides industriels"),
VLOOKUP($C107,'2. Détail calcul GES'!$A$4:$AN$60,34,FALSE),
VLOOKUP($C107,'2. Détail calcul GES'!$A$4:$AN$60,29,FALSE)),
"")</f>
        <v/>
      </c>
      <c r="U107" s="15" t="str">
        <f>IF(OR('0. Installation'!$B$4&lt;DATE(2021,1,1),A107="Déchets ménager et assimilés"),
"Pas de critère à respecter",
IF(E107&lt;&gt;"",
IF(AND('0. Installation'!$B$4&gt;=DATE(2021,1,1),'0. Installation'!$B$4&lt;DATE(2026,1,1)),IF(S107&gt;=0.7,"Elec. : oui","Elec. : non"),
IF(S107&gt;=0.8,"Elec. : oui","Elec. : non"))
&amp;" / "&amp;
IF(AND('0. Installation'!$B$4&gt;=DATE(2021,1,1),'0. Installation'!$B$4&lt;DATE(2026,1,1)),IF(T107&gt;=0.7,"Chaleur : oui","Chaleur : non"),
IF(T107&gt;=0.8,"Chaleur. : oui","Chaleur : non")),
""))</f>
        <v>Pas de critère à respecter</v>
      </c>
      <c r="V107" s="9"/>
      <c r="W107" s="117">
        <f t="shared" si="3"/>
        <v>0</v>
      </c>
    </row>
    <row r="108" spans="1:23" ht="15.6">
      <c r="A108" s="27"/>
      <c r="B108" s="14"/>
      <c r="C108" s="28" t="str">
        <f t="shared" si="2"/>
        <v/>
      </c>
      <c r="D108" s="14"/>
      <c r="E108" s="266" t="str">
        <f t="shared" si="4"/>
        <v/>
      </c>
      <c r="F108" s="251"/>
      <c r="G108" s="251"/>
      <c r="H108" s="251"/>
      <c r="I108" s="251"/>
      <c r="J108" s="251"/>
      <c r="K108" s="16"/>
      <c r="L108" s="16"/>
      <c r="M108" s="242"/>
      <c r="N108" s="16"/>
      <c r="O108" s="14"/>
      <c r="P108" s="14"/>
      <c r="Q108" s="14"/>
      <c r="R108" s="14"/>
      <c r="S108" s="13" t="str">
        <f>IF(A108&lt;&gt;"",
IF(OR($A108="Graisses de station d’épuration",$A108="Déchets IAA liquides (&lt;20% MS)",$A108="Déchets liquides industriels"),
VLOOKUP($C108,'2. Détail calcul GES'!$A$4:$AN$60,32,FALSE),
VLOOKUP($C108,'2. Détail calcul GES'!$A$4:$AN$60,27,FALSE)),
"")</f>
        <v/>
      </c>
      <c r="T108" s="13" t="str">
        <f>IF(A108&lt;&gt;"",
IF(OR($A108="Graisses de station d’épuration",$A108="Déchets IAA liquides (&lt;20% MS)",$A108="Déchets liquides industriels"),
VLOOKUP($C108,'2. Détail calcul GES'!$A$4:$AN$60,34,FALSE),
VLOOKUP($C108,'2. Détail calcul GES'!$A$4:$AN$60,29,FALSE)),
"")</f>
        <v/>
      </c>
      <c r="U108" s="15" t="str">
        <f>IF(OR('0. Installation'!$B$4&lt;DATE(2021,1,1),A108="Déchets ménager et assimilés"),
"Pas de critère à respecter",
IF(E108&lt;&gt;"",
IF(AND('0. Installation'!$B$4&gt;=DATE(2021,1,1),'0. Installation'!$B$4&lt;DATE(2026,1,1)),IF(S108&gt;=0.7,"Elec. : oui","Elec. : non"),
IF(S108&gt;=0.8,"Elec. : oui","Elec. : non"))
&amp;" / "&amp;
IF(AND('0. Installation'!$B$4&gt;=DATE(2021,1,1),'0. Installation'!$B$4&lt;DATE(2026,1,1)),IF(T108&gt;=0.7,"Chaleur : oui","Chaleur : non"),
IF(T108&gt;=0.8,"Chaleur. : oui","Chaleur : non")),
""))</f>
        <v>Pas de critère à respecter</v>
      </c>
      <c r="V108" s="9"/>
      <c r="W108" s="117">
        <f t="shared" si="3"/>
        <v>0</v>
      </c>
    </row>
    <row r="109" spans="1:23" ht="15.6">
      <c r="A109" s="27"/>
      <c r="B109" s="14"/>
      <c r="C109" s="28" t="str">
        <f t="shared" si="2"/>
        <v/>
      </c>
      <c r="D109" s="14"/>
      <c r="E109" s="266" t="str">
        <f t="shared" si="4"/>
        <v/>
      </c>
      <c r="F109" s="251"/>
      <c r="G109" s="251"/>
      <c r="H109" s="251"/>
      <c r="I109" s="251"/>
      <c r="J109" s="251"/>
      <c r="K109" s="16"/>
      <c r="L109" s="16"/>
      <c r="M109" s="242"/>
      <c r="N109" s="16"/>
      <c r="O109" s="14"/>
      <c r="P109" s="14"/>
      <c r="Q109" s="14"/>
      <c r="R109" s="14"/>
      <c r="S109" s="13" t="str">
        <f>IF(A109&lt;&gt;"",
IF(OR($A109="Graisses de station d’épuration",$A109="Déchets IAA liquides (&lt;20% MS)",$A109="Déchets liquides industriels"),
VLOOKUP($C109,'2. Détail calcul GES'!$A$4:$AN$60,32,FALSE),
VLOOKUP($C109,'2. Détail calcul GES'!$A$4:$AN$60,27,FALSE)),
"")</f>
        <v/>
      </c>
      <c r="T109" s="13" t="str">
        <f>IF(A109&lt;&gt;"",
IF(OR($A109="Graisses de station d’épuration",$A109="Déchets IAA liquides (&lt;20% MS)",$A109="Déchets liquides industriels"),
VLOOKUP($C109,'2. Détail calcul GES'!$A$4:$AN$60,34,FALSE),
VLOOKUP($C109,'2. Détail calcul GES'!$A$4:$AN$60,29,FALSE)),
"")</f>
        <v/>
      </c>
      <c r="U109" s="15" t="str">
        <f>IF(OR('0. Installation'!$B$4&lt;DATE(2021,1,1),A109="Déchets ménager et assimilés"),
"Pas de critère à respecter",
IF(E109&lt;&gt;"",
IF(AND('0. Installation'!$B$4&gt;=DATE(2021,1,1),'0. Installation'!$B$4&lt;DATE(2026,1,1)),IF(S109&gt;=0.7,"Elec. : oui","Elec. : non"),
IF(S109&gt;=0.8,"Elec. : oui","Elec. : non"))
&amp;" / "&amp;
IF(AND('0. Installation'!$B$4&gt;=DATE(2021,1,1),'0. Installation'!$B$4&lt;DATE(2026,1,1)),IF(T109&gt;=0.7,"Chaleur : oui","Chaleur : non"),
IF(T109&gt;=0.8,"Chaleur. : oui","Chaleur : non")),
""))</f>
        <v>Pas de critère à respecter</v>
      </c>
      <c r="V109" s="9"/>
      <c r="W109" s="117">
        <f t="shared" si="3"/>
        <v>0</v>
      </c>
    </row>
    <row r="110" spans="1:23" ht="15.6">
      <c r="A110" s="27"/>
      <c r="B110" s="14"/>
      <c r="C110" s="28" t="str">
        <f t="shared" si="2"/>
        <v/>
      </c>
      <c r="D110" s="14"/>
      <c r="E110" s="266" t="str">
        <f t="shared" si="4"/>
        <v/>
      </c>
      <c r="F110" s="251"/>
      <c r="G110" s="251"/>
      <c r="H110" s="251"/>
      <c r="I110" s="251"/>
      <c r="J110" s="251"/>
      <c r="K110" s="16"/>
      <c r="L110" s="16"/>
      <c r="M110" s="242"/>
      <c r="N110" s="16"/>
      <c r="O110" s="14"/>
      <c r="P110" s="14"/>
      <c r="Q110" s="14"/>
      <c r="R110" s="14"/>
      <c r="S110" s="13" t="str">
        <f>IF(A110&lt;&gt;"",
IF(OR($A110="Graisses de station d’épuration",$A110="Déchets IAA liquides (&lt;20% MS)",$A110="Déchets liquides industriels"),
VLOOKUP($C110,'2. Détail calcul GES'!$A$4:$AN$60,32,FALSE),
VLOOKUP($C110,'2. Détail calcul GES'!$A$4:$AN$60,27,FALSE)),
"")</f>
        <v/>
      </c>
      <c r="T110" s="13" t="str">
        <f>IF(A110&lt;&gt;"",
IF(OR($A110="Graisses de station d’épuration",$A110="Déchets IAA liquides (&lt;20% MS)",$A110="Déchets liquides industriels"),
VLOOKUP($C110,'2. Détail calcul GES'!$A$4:$AN$60,34,FALSE),
VLOOKUP($C110,'2. Détail calcul GES'!$A$4:$AN$60,29,FALSE)),
"")</f>
        <v/>
      </c>
      <c r="U110" s="15" t="str">
        <f>IF(OR('0. Installation'!$B$4&lt;DATE(2021,1,1),A110="Déchets ménager et assimilés"),
"Pas de critère à respecter",
IF(E110&lt;&gt;"",
IF(AND('0. Installation'!$B$4&gt;=DATE(2021,1,1),'0. Installation'!$B$4&lt;DATE(2026,1,1)),IF(S110&gt;=0.7,"Elec. : oui","Elec. : non"),
IF(S110&gt;=0.8,"Elec. : oui","Elec. : non"))
&amp;" / "&amp;
IF(AND('0. Installation'!$B$4&gt;=DATE(2021,1,1),'0. Installation'!$B$4&lt;DATE(2026,1,1)),IF(T110&gt;=0.7,"Chaleur : oui","Chaleur : non"),
IF(T110&gt;=0.8,"Chaleur. : oui","Chaleur : non")),
""))</f>
        <v>Pas de critère à respecter</v>
      </c>
      <c r="V110" s="9"/>
      <c r="W110" s="117">
        <f t="shared" si="3"/>
        <v>0</v>
      </c>
    </row>
    <row r="111" spans="1:23" ht="15.6">
      <c r="A111" s="27"/>
      <c r="B111" s="14"/>
      <c r="C111" s="28" t="str">
        <f t="shared" si="2"/>
        <v/>
      </c>
      <c r="D111" s="14"/>
      <c r="E111" s="266" t="str">
        <f t="shared" si="4"/>
        <v/>
      </c>
      <c r="F111" s="251"/>
      <c r="G111" s="251"/>
      <c r="H111" s="251"/>
      <c r="I111" s="251"/>
      <c r="J111" s="251"/>
      <c r="K111" s="16"/>
      <c r="L111" s="16"/>
      <c r="M111" s="242"/>
      <c r="N111" s="16"/>
      <c r="O111" s="14"/>
      <c r="P111" s="14"/>
      <c r="Q111" s="14"/>
      <c r="R111" s="14"/>
      <c r="S111" s="13" t="str">
        <f>IF(A111&lt;&gt;"",
IF(OR($A111="Graisses de station d’épuration",$A111="Déchets IAA liquides (&lt;20% MS)",$A111="Déchets liquides industriels"),
VLOOKUP($C111,'2. Détail calcul GES'!$A$4:$AN$60,32,FALSE),
VLOOKUP($C111,'2. Détail calcul GES'!$A$4:$AN$60,27,FALSE)),
"")</f>
        <v/>
      </c>
      <c r="T111" s="13" t="str">
        <f>IF(A111&lt;&gt;"",
IF(OR($A111="Graisses de station d’épuration",$A111="Déchets IAA liquides (&lt;20% MS)",$A111="Déchets liquides industriels"),
VLOOKUP($C111,'2. Détail calcul GES'!$A$4:$AN$60,34,FALSE),
VLOOKUP($C111,'2. Détail calcul GES'!$A$4:$AN$60,29,FALSE)),
"")</f>
        <v/>
      </c>
      <c r="U111" s="15" t="str">
        <f>IF(OR('0. Installation'!$B$4&lt;DATE(2021,1,1),A111="Déchets ménager et assimilés"),
"Pas de critère à respecter",
IF(E111&lt;&gt;"",
IF(AND('0. Installation'!$B$4&gt;=DATE(2021,1,1),'0. Installation'!$B$4&lt;DATE(2026,1,1)),IF(S111&gt;=0.7,"Elec. : oui","Elec. : non"),
IF(S111&gt;=0.8,"Elec. : oui","Elec. : non"))
&amp;" / "&amp;
IF(AND('0. Installation'!$B$4&gt;=DATE(2021,1,1),'0. Installation'!$B$4&lt;DATE(2026,1,1)),IF(T111&gt;=0.7,"Chaleur : oui","Chaleur : non"),
IF(T111&gt;=0.8,"Chaleur. : oui","Chaleur : non")),
""))</f>
        <v>Pas de critère à respecter</v>
      </c>
      <c r="V111" s="9"/>
      <c r="W111" s="117">
        <f t="shared" si="3"/>
        <v>0</v>
      </c>
    </row>
    <row r="112" spans="1:23" ht="15.6">
      <c r="A112" s="27"/>
      <c r="B112" s="14"/>
      <c r="C112" s="28" t="str">
        <f t="shared" si="2"/>
        <v/>
      </c>
      <c r="D112" s="14"/>
      <c r="E112" s="266" t="str">
        <f t="shared" si="4"/>
        <v/>
      </c>
      <c r="F112" s="251"/>
      <c r="G112" s="251"/>
      <c r="H112" s="251"/>
      <c r="I112" s="251"/>
      <c r="J112" s="251"/>
      <c r="K112" s="16"/>
      <c r="L112" s="16"/>
      <c r="M112" s="242"/>
      <c r="N112" s="16"/>
      <c r="O112" s="14"/>
      <c r="P112" s="14"/>
      <c r="Q112" s="14"/>
      <c r="R112" s="14"/>
      <c r="S112" s="13" t="str">
        <f>IF(A112&lt;&gt;"",
IF(OR($A112="Graisses de station d’épuration",$A112="Déchets IAA liquides (&lt;20% MS)",$A112="Déchets liquides industriels"),
VLOOKUP($C112,'2. Détail calcul GES'!$A$4:$AN$60,32,FALSE),
VLOOKUP($C112,'2. Détail calcul GES'!$A$4:$AN$60,27,FALSE)),
"")</f>
        <v/>
      </c>
      <c r="T112" s="13" t="str">
        <f>IF(A112&lt;&gt;"",
IF(OR($A112="Graisses de station d’épuration",$A112="Déchets IAA liquides (&lt;20% MS)",$A112="Déchets liquides industriels"),
VLOOKUP($C112,'2. Détail calcul GES'!$A$4:$AN$60,34,FALSE),
VLOOKUP($C112,'2. Détail calcul GES'!$A$4:$AN$60,29,FALSE)),
"")</f>
        <v/>
      </c>
      <c r="U112" s="15" t="str">
        <f>IF(OR('0. Installation'!$B$4&lt;DATE(2021,1,1),A112="Déchets ménager et assimilés"),
"Pas de critère à respecter",
IF(E112&lt;&gt;"",
IF(AND('0. Installation'!$B$4&gt;=DATE(2021,1,1),'0. Installation'!$B$4&lt;DATE(2026,1,1)),IF(S112&gt;=0.7,"Elec. : oui","Elec. : non"),
IF(S112&gt;=0.8,"Elec. : oui","Elec. : non"))
&amp;" / "&amp;
IF(AND('0. Installation'!$B$4&gt;=DATE(2021,1,1),'0. Installation'!$B$4&lt;DATE(2026,1,1)),IF(T112&gt;=0.7,"Chaleur : oui","Chaleur : non"),
IF(T112&gt;=0.8,"Chaleur. : oui","Chaleur : non")),
""))</f>
        <v>Pas de critère à respecter</v>
      </c>
      <c r="V112" s="9"/>
      <c r="W112" s="117">
        <f t="shared" si="3"/>
        <v>0</v>
      </c>
    </row>
    <row r="113" spans="1:23" ht="15.6">
      <c r="A113" s="27"/>
      <c r="B113" s="14"/>
      <c r="C113" s="28" t="str">
        <f t="shared" si="2"/>
        <v/>
      </c>
      <c r="D113" s="14"/>
      <c r="E113" s="266" t="str">
        <f t="shared" si="4"/>
        <v/>
      </c>
      <c r="F113" s="251"/>
      <c r="G113" s="251"/>
      <c r="H113" s="251"/>
      <c r="I113" s="251"/>
      <c r="J113" s="251"/>
      <c r="K113" s="16"/>
      <c r="L113" s="16"/>
      <c r="M113" s="242"/>
      <c r="N113" s="16"/>
      <c r="O113" s="14"/>
      <c r="P113" s="14"/>
      <c r="Q113" s="14"/>
      <c r="R113" s="14"/>
      <c r="S113" s="13" t="str">
        <f>IF(A113&lt;&gt;"",
IF(OR($A113="Graisses de station d’épuration",$A113="Déchets IAA liquides (&lt;20% MS)",$A113="Déchets liquides industriels"),
VLOOKUP($C113,'2. Détail calcul GES'!$A$4:$AN$60,32,FALSE),
VLOOKUP($C113,'2. Détail calcul GES'!$A$4:$AN$60,27,FALSE)),
"")</f>
        <v/>
      </c>
      <c r="T113" s="13" t="str">
        <f>IF(A113&lt;&gt;"",
IF(OR($A113="Graisses de station d’épuration",$A113="Déchets IAA liquides (&lt;20% MS)",$A113="Déchets liquides industriels"),
VLOOKUP($C113,'2. Détail calcul GES'!$A$4:$AN$60,34,FALSE),
VLOOKUP($C113,'2. Détail calcul GES'!$A$4:$AN$60,29,FALSE)),
"")</f>
        <v/>
      </c>
      <c r="U113" s="15" t="str">
        <f>IF(OR('0. Installation'!$B$4&lt;DATE(2021,1,1),A113="Déchets ménager et assimilés"),
"Pas de critère à respecter",
IF(E113&lt;&gt;"",
IF(AND('0. Installation'!$B$4&gt;=DATE(2021,1,1),'0. Installation'!$B$4&lt;DATE(2026,1,1)),IF(S113&gt;=0.7,"Elec. : oui","Elec. : non"),
IF(S113&gt;=0.8,"Elec. : oui","Elec. : non"))
&amp;" / "&amp;
IF(AND('0. Installation'!$B$4&gt;=DATE(2021,1,1),'0. Installation'!$B$4&lt;DATE(2026,1,1)),IF(T113&gt;=0.7,"Chaleur : oui","Chaleur : non"),
IF(T113&gt;=0.8,"Chaleur. : oui","Chaleur : non")),
""))</f>
        <v>Pas de critère à respecter</v>
      </c>
      <c r="V113" s="9"/>
      <c r="W113" s="117">
        <f t="shared" si="3"/>
        <v>0</v>
      </c>
    </row>
    <row r="114" spans="1:23" ht="15.6">
      <c r="A114" s="27"/>
      <c r="B114" s="14"/>
      <c r="C114" s="28" t="str">
        <f t="shared" si="2"/>
        <v/>
      </c>
      <c r="D114" s="14"/>
      <c r="E114" s="266" t="str">
        <f t="shared" si="4"/>
        <v/>
      </c>
      <c r="F114" s="251"/>
      <c r="G114" s="251"/>
      <c r="H114" s="251"/>
      <c r="I114" s="251"/>
      <c r="J114" s="251"/>
      <c r="K114" s="16"/>
      <c r="L114" s="16"/>
      <c r="M114" s="242"/>
      <c r="N114" s="16"/>
      <c r="O114" s="14"/>
      <c r="P114" s="14"/>
      <c r="Q114" s="14"/>
      <c r="R114" s="14"/>
      <c r="S114" s="13" t="str">
        <f>IF(A114&lt;&gt;"",
IF(OR($A114="Graisses de station d’épuration",$A114="Déchets IAA liquides (&lt;20% MS)",$A114="Déchets liquides industriels"),
VLOOKUP($C114,'2. Détail calcul GES'!$A$4:$AN$60,32,FALSE),
VLOOKUP($C114,'2. Détail calcul GES'!$A$4:$AN$60,27,FALSE)),
"")</f>
        <v/>
      </c>
      <c r="T114" s="13" t="str">
        <f>IF(A114&lt;&gt;"",
IF(OR($A114="Graisses de station d’épuration",$A114="Déchets IAA liquides (&lt;20% MS)",$A114="Déchets liquides industriels"),
VLOOKUP($C114,'2. Détail calcul GES'!$A$4:$AN$60,34,FALSE),
VLOOKUP($C114,'2. Détail calcul GES'!$A$4:$AN$60,29,FALSE)),
"")</f>
        <v/>
      </c>
      <c r="U114" s="15" t="str">
        <f>IF(OR('0. Installation'!$B$4&lt;DATE(2021,1,1),A114="Déchets ménager et assimilés"),
"Pas de critère à respecter",
IF(E114&lt;&gt;"",
IF(AND('0. Installation'!$B$4&gt;=DATE(2021,1,1),'0. Installation'!$B$4&lt;DATE(2026,1,1)),IF(S114&gt;=0.7,"Elec. : oui","Elec. : non"),
IF(S114&gt;=0.8,"Elec. : oui","Elec. : non"))
&amp;" / "&amp;
IF(AND('0. Installation'!$B$4&gt;=DATE(2021,1,1),'0. Installation'!$B$4&lt;DATE(2026,1,1)),IF(T114&gt;=0.7,"Chaleur : oui","Chaleur : non"),
IF(T114&gt;=0.8,"Chaleur. : oui","Chaleur : non")),
""))</f>
        <v>Pas de critère à respecter</v>
      </c>
      <c r="V114" s="9"/>
      <c r="W114" s="117">
        <f t="shared" si="3"/>
        <v>0</v>
      </c>
    </row>
    <row r="115" spans="1:23" ht="15.6">
      <c r="A115" s="27"/>
      <c r="B115" s="14"/>
      <c r="C115" s="28" t="str">
        <f t="shared" si="2"/>
        <v/>
      </c>
      <c r="D115" s="14"/>
      <c r="E115" s="266" t="str">
        <f t="shared" si="4"/>
        <v/>
      </c>
      <c r="F115" s="251"/>
      <c r="G115" s="251"/>
      <c r="H115" s="251"/>
      <c r="I115" s="251"/>
      <c r="J115" s="251"/>
      <c r="K115" s="16"/>
      <c r="L115" s="16"/>
      <c r="M115" s="242"/>
      <c r="N115" s="16"/>
      <c r="O115" s="14"/>
      <c r="P115" s="14"/>
      <c r="Q115" s="14"/>
      <c r="R115" s="14"/>
      <c r="S115" s="13" t="str">
        <f>IF(A115&lt;&gt;"",
IF(OR($A115="Graisses de station d’épuration",$A115="Déchets IAA liquides (&lt;20% MS)",$A115="Déchets liquides industriels"),
VLOOKUP($C115,'2. Détail calcul GES'!$A$4:$AN$60,32,FALSE),
VLOOKUP($C115,'2. Détail calcul GES'!$A$4:$AN$60,27,FALSE)),
"")</f>
        <v/>
      </c>
      <c r="T115" s="13" t="str">
        <f>IF(A115&lt;&gt;"",
IF(OR($A115="Graisses de station d’épuration",$A115="Déchets IAA liquides (&lt;20% MS)",$A115="Déchets liquides industriels"),
VLOOKUP($C115,'2. Détail calcul GES'!$A$4:$AN$60,34,FALSE),
VLOOKUP($C115,'2. Détail calcul GES'!$A$4:$AN$60,29,FALSE)),
"")</f>
        <v/>
      </c>
      <c r="U115" s="15" t="str">
        <f>IF(OR('0. Installation'!$B$4&lt;DATE(2021,1,1),A115="Déchets ménager et assimilés"),
"Pas de critère à respecter",
IF(E115&lt;&gt;"",
IF(AND('0. Installation'!$B$4&gt;=DATE(2021,1,1),'0. Installation'!$B$4&lt;DATE(2026,1,1)),IF(S115&gt;=0.7,"Elec. : oui","Elec. : non"),
IF(S115&gt;=0.8,"Elec. : oui","Elec. : non"))
&amp;" / "&amp;
IF(AND('0. Installation'!$B$4&gt;=DATE(2021,1,1),'0. Installation'!$B$4&lt;DATE(2026,1,1)),IF(T115&gt;=0.7,"Chaleur : oui","Chaleur : non"),
IF(T115&gt;=0.8,"Chaleur. : oui","Chaleur : non")),
""))</f>
        <v>Pas de critère à respecter</v>
      </c>
      <c r="V115" s="9"/>
      <c r="W115" s="117">
        <f t="shared" si="3"/>
        <v>0</v>
      </c>
    </row>
    <row r="116" spans="1:23" ht="15.6">
      <c r="A116" s="27"/>
      <c r="B116" s="14"/>
      <c r="C116" s="28" t="str">
        <f t="shared" si="2"/>
        <v/>
      </c>
      <c r="D116" s="14"/>
      <c r="E116" s="266" t="str">
        <f t="shared" si="4"/>
        <v/>
      </c>
      <c r="F116" s="251"/>
      <c r="G116" s="251"/>
      <c r="H116" s="251"/>
      <c r="I116" s="251"/>
      <c r="J116" s="251"/>
      <c r="K116" s="16"/>
      <c r="L116" s="16"/>
      <c r="M116" s="242"/>
      <c r="N116" s="16"/>
      <c r="O116" s="14"/>
      <c r="P116" s="14"/>
      <c r="Q116" s="14"/>
      <c r="R116" s="14"/>
      <c r="S116" s="13" t="str">
        <f>IF(A116&lt;&gt;"",
IF(OR($A116="Graisses de station d’épuration",$A116="Déchets IAA liquides (&lt;20% MS)",$A116="Déchets liquides industriels"),
VLOOKUP($C116,'2. Détail calcul GES'!$A$4:$AN$60,32,FALSE),
VLOOKUP($C116,'2. Détail calcul GES'!$A$4:$AN$60,27,FALSE)),
"")</f>
        <v/>
      </c>
      <c r="T116" s="13" t="str">
        <f>IF(A116&lt;&gt;"",
IF(OR($A116="Graisses de station d’épuration",$A116="Déchets IAA liquides (&lt;20% MS)",$A116="Déchets liquides industriels"),
VLOOKUP($C116,'2. Détail calcul GES'!$A$4:$AN$60,34,FALSE),
VLOOKUP($C116,'2. Détail calcul GES'!$A$4:$AN$60,29,FALSE)),
"")</f>
        <v/>
      </c>
      <c r="U116" s="15" t="str">
        <f>IF(OR('0. Installation'!$B$4&lt;DATE(2021,1,1),A116="Déchets ménager et assimilés"),
"Pas de critère à respecter",
IF(E116&lt;&gt;"",
IF(AND('0. Installation'!$B$4&gt;=DATE(2021,1,1),'0. Installation'!$B$4&lt;DATE(2026,1,1)),IF(S116&gt;=0.7,"Elec. : oui","Elec. : non"),
IF(S116&gt;=0.8,"Elec. : oui","Elec. : non"))
&amp;" / "&amp;
IF(AND('0. Installation'!$B$4&gt;=DATE(2021,1,1),'0. Installation'!$B$4&lt;DATE(2026,1,1)),IF(T116&gt;=0.7,"Chaleur : oui","Chaleur : non"),
IF(T116&gt;=0.8,"Chaleur. : oui","Chaleur : non")),
""))</f>
        <v>Pas de critère à respecter</v>
      </c>
      <c r="V116" s="9"/>
      <c r="W116" s="117">
        <f t="shared" si="3"/>
        <v>0</v>
      </c>
    </row>
    <row r="117" spans="1:23" ht="15.6">
      <c r="A117" s="27"/>
      <c r="B117" s="14"/>
      <c r="C117" s="28" t="str">
        <f t="shared" si="2"/>
        <v/>
      </c>
      <c r="D117" s="14"/>
      <c r="E117" s="266" t="str">
        <f t="shared" si="4"/>
        <v/>
      </c>
      <c r="F117" s="251"/>
      <c r="G117" s="251"/>
      <c r="H117" s="251"/>
      <c r="I117" s="251"/>
      <c r="J117" s="251"/>
      <c r="K117" s="16"/>
      <c r="L117" s="16"/>
      <c r="M117" s="242"/>
      <c r="N117" s="16"/>
      <c r="O117" s="14"/>
      <c r="P117" s="14"/>
      <c r="Q117" s="14"/>
      <c r="R117" s="14"/>
      <c r="S117" s="13" t="str">
        <f>IF(A117&lt;&gt;"",
IF(OR($A117="Graisses de station d’épuration",$A117="Déchets IAA liquides (&lt;20% MS)",$A117="Déchets liquides industriels"),
VLOOKUP($C117,'2. Détail calcul GES'!$A$4:$AN$60,32,FALSE),
VLOOKUP($C117,'2. Détail calcul GES'!$A$4:$AN$60,27,FALSE)),
"")</f>
        <v/>
      </c>
      <c r="T117" s="13" t="str">
        <f>IF(A117&lt;&gt;"",
IF(OR($A117="Graisses de station d’épuration",$A117="Déchets IAA liquides (&lt;20% MS)",$A117="Déchets liquides industriels"),
VLOOKUP($C117,'2. Détail calcul GES'!$A$4:$AN$60,34,FALSE),
VLOOKUP($C117,'2. Détail calcul GES'!$A$4:$AN$60,29,FALSE)),
"")</f>
        <v/>
      </c>
      <c r="U117" s="15" t="str">
        <f>IF(OR('0. Installation'!$B$4&lt;DATE(2021,1,1),A117="Déchets ménager et assimilés"),
"Pas de critère à respecter",
IF(E117&lt;&gt;"",
IF(AND('0. Installation'!$B$4&gt;=DATE(2021,1,1),'0. Installation'!$B$4&lt;DATE(2026,1,1)),IF(S117&gt;=0.7,"Elec. : oui","Elec. : non"),
IF(S117&gt;=0.8,"Elec. : oui","Elec. : non"))
&amp;" / "&amp;
IF(AND('0. Installation'!$B$4&gt;=DATE(2021,1,1),'0. Installation'!$B$4&lt;DATE(2026,1,1)),IF(T117&gt;=0.7,"Chaleur : oui","Chaleur : non"),
IF(T117&gt;=0.8,"Chaleur. : oui","Chaleur : non")),
""))</f>
        <v>Pas de critère à respecter</v>
      </c>
      <c r="V117" s="9"/>
      <c r="W117" s="117">
        <f t="shared" si="3"/>
        <v>0</v>
      </c>
    </row>
    <row r="118" spans="1:23" ht="15.6">
      <c r="A118" s="27"/>
      <c r="B118" s="14"/>
      <c r="C118" s="28" t="str">
        <f t="shared" si="2"/>
        <v/>
      </c>
      <c r="D118" s="14"/>
      <c r="E118" s="266" t="str">
        <f t="shared" si="4"/>
        <v/>
      </c>
      <c r="F118" s="251"/>
      <c r="G118" s="251"/>
      <c r="H118" s="251"/>
      <c r="I118" s="251"/>
      <c r="J118" s="251"/>
      <c r="K118" s="16"/>
      <c r="L118" s="16"/>
      <c r="M118" s="242"/>
      <c r="N118" s="16"/>
      <c r="O118" s="14"/>
      <c r="P118" s="14"/>
      <c r="Q118" s="14"/>
      <c r="R118" s="14"/>
      <c r="S118" s="13" t="str">
        <f>IF(A118&lt;&gt;"",
IF(OR($A118="Graisses de station d’épuration",$A118="Déchets IAA liquides (&lt;20% MS)",$A118="Déchets liquides industriels"),
VLOOKUP($C118,'2. Détail calcul GES'!$A$4:$AN$60,32,FALSE),
VLOOKUP($C118,'2. Détail calcul GES'!$A$4:$AN$60,27,FALSE)),
"")</f>
        <v/>
      </c>
      <c r="T118" s="13" t="str">
        <f>IF(A118&lt;&gt;"",
IF(OR($A118="Graisses de station d’épuration",$A118="Déchets IAA liquides (&lt;20% MS)",$A118="Déchets liquides industriels"),
VLOOKUP($C118,'2. Détail calcul GES'!$A$4:$AN$60,34,FALSE),
VLOOKUP($C118,'2. Détail calcul GES'!$A$4:$AN$60,29,FALSE)),
"")</f>
        <v/>
      </c>
      <c r="U118" s="15" t="str">
        <f>IF(OR('0. Installation'!$B$4&lt;DATE(2021,1,1),A118="Déchets ménager et assimilés"),
"Pas de critère à respecter",
IF(E118&lt;&gt;"",
IF(AND('0. Installation'!$B$4&gt;=DATE(2021,1,1),'0. Installation'!$B$4&lt;DATE(2026,1,1)),IF(S118&gt;=0.7,"Elec. : oui","Elec. : non"),
IF(S118&gt;=0.8,"Elec. : oui","Elec. : non"))
&amp;" / "&amp;
IF(AND('0. Installation'!$B$4&gt;=DATE(2021,1,1),'0. Installation'!$B$4&lt;DATE(2026,1,1)),IF(T118&gt;=0.7,"Chaleur : oui","Chaleur : non"),
IF(T118&gt;=0.8,"Chaleur. : oui","Chaleur : non")),
""))</f>
        <v>Pas de critère à respecter</v>
      </c>
      <c r="V118" s="9"/>
      <c r="W118" s="117">
        <f t="shared" si="3"/>
        <v>0</v>
      </c>
    </row>
    <row r="119" spans="1:23" ht="15.6">
      <c r="A119" s="27"/>
      <c r="B119" s="14"/>
      <c r="C119" s="28" t="str">
        <f t="shared" si="2"/>
        <v/>
      </c>
      <c r="D119" s="14"/>
      <c r="E119" s="266" t="str">
        <f t="shared" si="4"/>
        <v/>
      </c>
      <c r="F119" s="251"/>
      <c r="G119" s="251"/>
      <c r="H119" s="251"/>
      <c r="I119" s="251"/>
      <c r="J119" s="251"/>
      <c r="K119" s="16"/>
      <c r="L119" s="16"/>
      <c r="M119" s="242"/>
      <c r="N119" s="16"/>
      <c r="O119" s="14"/>
      <c r="P119" s="14"/>
      <c r="Q119" s="14"/>
      <c r="R119" s="14"/>
      <c r="S119" s="13" t="str">
        <f>IF(A119&lt;&gt;"",
IF(OR($A119="Graisses de station d’épuration",$A119="Déchets IAA liquides (&lt;20% MS)",$A119="Déchets liquides industriels"),
VLOOKUP($C119,'2. Détail calcul GES'!$A$4:$AN$60,32,FALSE),
VLOOKUP($C119,'2. Détail calcul GES'!$A$4:$AN$60,27,FALSE)),
"")</f>
        <v/>
      </c>
      <c r="T119" s="13" t="str">
        <f>IF(A119&lt;&gt;"",
IF(OR($A119="Graisses de station d’épuration",$A119="Déchets IAA liquides (&lt;20% MS)",$A119="Déchets liquides industriels"),
VLOOKUP($C119,'2. Détail calcul GES'!$A$4:$AN$60,34,FALSE),
VLOOKUP($C119,'2. Détail calcul GES'!$A$4:$AN$60,29,FALSE)),
"")</f>
        <v/>
      </c>
      <c r="U119" s="15" t="str">
        <f>IF(OR('0. Installation'!$B$4&lt;DATE(2021,1,1),A119="Déchets ménager et assimilés"),
"Pas de critère à respecter",
IF(E119&lt;&gt;"",
IF(AND('0. Installation'!$B$4&gt;=DATE(2021,1,1),'0. Installation'!$B$4&lt;DATE(2026,1,1)),IF(S119&gt;=0.7,"Elec. : oui","Elec. : non"),
IF(S119&gt;=0.8,"Elec. : oui","Elec. : non"))
&amp;" / "&amp;
IF(AND('0. Installation'!$B$4&gt;=DATE(2021,1,1),'0. Installation'!$B$4&lt;DATE(2026,1,1)),IF(T119&gt;=0.7,"Chaleur : oui","Chaleur : non"),
IF(T119&gt;=0.8,"Chaleur. : oui","Chaleur : non")),
""))</f>
        <v>Pas de critère à respecter</v>
      </c>
      <c r="V119" s="9"/>
      <c r="W119" s="117">
        <f t="shared" si="3"/>
        <v>0</v>
      </c>
    </row>
    <row r="120" spans="1:23" ht="15.6">
      <c r="A120" s="27"/>
      <c r="B120" s="14"/>
      <c r="C120" s="28" t="str">
        <f t="shared" si="2"/>
        <v/>
      </c>
      <c r="D120" s="14"/>
      <c r="E120" s="266" t="str">
        <f t="shared" si="4"/>
        <v/>
      </c>
      <c r="F120" s="251"/>
      <c r="G120" s="251"/>
      <c r="H120" s="251"/>
      <c r="I120" s="251"/>
      <c r="J120" s="251"/>
      <c r="K120" s="16"/>
      <c r="L120" s="16"/>
      <c r="M120" s="242"/>
      <c r="N120" s="16"/>
      <c r="O120" s="14"/>
      <c r="P120" s="14"/>
      <c r="Q120" s="14"/>
      <c r="R120" s="14"/>
      <c r="S120" s="13" t="str">
        <f>IF(A120&lt;&gt;"",
IF(OR($A120="Graisses de station d’épuration",$A120="Déchets IAA liquides (&lt;20% MS)",$A120="Déchets liquides industriels"),
VLOOKUP($C120,'2. Détail calcul GES'!$A$4:$AN$60,32,FALSE),
VLOOKUP($C120,'2. Détail calcul GES'!$A$4:$AN$60,27,FALSE)),
"")</f>
        <v/>
      </c>
      <c r="T120" s="13" t="str">
        <f>IF(A120&lt;&gt;"",
IF(OR($A120="Graisses de station d’épuration",$A120="Déchets IAA liquides (&lt;20% MS)",$A120="Déchets liquides industriels"),
VLOOKUP($C120,'2. Détail calcul GES'!$A$4:$AN$60,34,FALSE),
VLOOKUP($C120,'2. Détail calcul GES'!$A$4:$AN$60,29,FALSE)),
"")</f>
        <v/>
      </c>
      <c r="U120" s="15" t="str">
        <f>IF(OR('0. Installation'!$B$4&lt;DATE(2021,1,1),A120="Déchets ménager et assimilés"),
"Pas de critère à respecter",
IF(E120&lt;&gt;"",
IF(AND('0. Installation'!$B$4&gt;=DATE(2021,1,1),'0. Installation'!$B$4&lt;DATE(2026,1,1)),IF(S120&gt;=0.7,"Elec. : oui","Elec. : non"),
IF(S120&gt;=0.8,"Elec. : oui","Elec. : non"))
&amp;" / "&amp;
IF(AND('0. Installation'!$B$4&gt;=DATE(2021,1,1),'0. Installation'!$B$4&lt;DATE(2026,1,1)),IF(T120&gt;=0.7,"Chaleur : oui","Chaleur : non"),
IF(T120&gt;=0.8,"Chaleur. : oui","Chaleur : non")),
""))</f>
        <v>Pas de critère à respecter</v>
      </c>
      <c r="V120" s="9"/>
      <c r="W120" s="117">
        <f t="shared" si="3"/>
        <v>0</v>
      </c>
    </row>
    <row r="121" spans="1:23" ht="15.6">
      <c r="A121" s="27"/>
      <c r="B121" s="14"/>
      <c r="C121" s="28" t="str">
        <f t="shared" si="2"/>
        <v/>
      </c>
      <c r="D121" s="14"/>
      <c r="E121" s="266" t="str">
        <f t="shared" si="4"/>
        <v/>
      </c>
      <c r="F121" s="251"/>
      <c r="G121" s="251"/>
      <c r="H121" s="251"/>
      <c r="I121" s="251"/>
      <c r="J121" s="251"/>
      <c r="K121" s="16"/>
      <c r="L121" s="16"/>
      <c r="M121" s="242"/>
      <c r="N121" s="16"/>
      <c r="O121" s="14"/>
      <c r="P121" s="14"/>
      <c r="Q121" s="14"/>
      <c r="R121" s="14"/>
      <c r="S121" s="13" t="str">
        <f>IF(A121&lt;&gt;"",
IF(OR($A121="Graisses de station d’épuration",$A121="Déchets IAA liquides (&lt;20% MS)",$A121="Déchets liquides industriels"),
VLOOKUP($C121,'2. Détail calcul GES'!$A$4:$AN$60,32,FALSE),
VLOOKUP($C121,'2. Détail calcul GES'!$A$4:$AN$60,27,FALSE)),
"")</f>
        <v/>
      </c>
      <c r="T121" s="13" t="str">
        <f>IF(A121&lt;&gt;"",
IF(OR($A121="Graisses de station d’épuration",$A121="Déchets IAA liquides (&lt;20% MS)",$A121="Déchets liquides industriels"),
VLOOKUP($C121,'2. Détail calcul GES'!$A$4:$AN$60,34,FALSE),
VLOOKUP($C121,'2. Détail calcul GES'!$A$4:$AN$60,29,FALSE)),
"")</f>
        <v/>
      </c>
      <c r="U121" s="15" t="str">
        <f>IF(OR('0. Installation'!$B$4&lt;DATE(2021,1,1),A121="Déchets ménager et assimilés"),
"Pas de critère à respecter",
IF(E121&lt;&gt;"",
IF(AND('0. Installation'!$B$4&gt;=DATE(2021,1,1),'0. Installation'!$B$4&lt;DATE(2026,1,1)),IF(S121&gt;=0.7,"Elec. : oui","Elec. : non"),
IF(S121&gt;=0.8,"Elec. : oui","Elec. : non"))
&amp;" / "&amp;
IF(AND('0. Installation'!$B$4&gt;=DATE(2021,1,1),'0. Installation'!$B$4&lt;DATE(2026,1,1)),IF(T121&gt;=0.7,"Chaleur : oui","Chaleur : non"),
IF(T121&gt;=0.8,"Chaleur. : oui","Chaleur : non")),
""))</f>
        <v>Pas de critère à respecter</v>
      </c>
      <c r="V121" s="9"/>
      <c r="W121" s="117">
        <f t="shared" si="3"/>
        <v>0</v>
      </c>
    </row>
    <row r="122" spans="1:23" ht="15.6">
      <c r="A122" s="27"/>
      <c r="B122" s="14"/>
      <c r="C122" s="28" t="str">
        <f t="shared" si="2"/>
        <v/>
      </c>
      <c r="D122" s="14"/>
      <c r="E122" s="266" t="str">
        <f t="shared" si="4"/>
        <v/>
      </c>
      <c r="F122" s="251"/>
      <c r="G122" s="251"/>
      <c r="H122" s="251"/>
      <c r="I122" s="251"/>
      <c r="J122" s="251"/>
      <c r="K122" s="16"/>
      <c r="L122" s="16"/>
      <c r="M122" s="242"/>
      <c r="N122" s="16"/>
      <c r="O122" s="14"/>
      <c r="P122" s="14"/>
      <c r="Q122" s="14"/>
      <c r="R122" s="14"/>
      <c r="S122" s="13" t="str">
        <f>IF(A122&lt;&gt;"",
IF(OR($A122="Graisses de station d’épuration",$A122="Déchets IAA liquides (&lt;20% MS)",$A122="Déchets liquides industriels"),
VLOOKUP($C122,'2. Détail calcul GES'!$A$4:$AN$60,32,FALSE),
VLOOKUP($C122,'2. Détail calcul GES'!$A$4:$AN$60,27,FALSE)),
"")</f>
        <v/>
      </c>
      <c r="T122" s="13" t="str">
        <f>IF(A122&lt;&gt;"",
IF(OR($A122="Graisses de station d’épuration",$A122="Déchets IAA liquides (&lt;20% MS)",$A122="Déchets liquides industriels"),
VLOOKUP($C122,'2. Détail calcul GES'!$A$4:$AN$60,34,FALSE),
VLOOKUP($C122,'2. Détail calcul GES'!$A$4:$AN$60,29,FALSE)),
"")</f>
        <v/>
      </c>
      <c r="U122" s="15" t="str">
        <f>IF(OR('0. Installation'!$B$4&lt;DATE(2021,1,1),A122="Déchets ménager et assimilés"),
"Pas de critère à respecter",
IF(E122&lt;&gt;"",
IF(AND('0. Installation'!$B$4&gt;=DATE(2021,1,1),'0. Installation'!$B$4&lt;DATE(2026,1,1)),IF(S122&gt;=0.7,"Elec. : oui","Elec. : non"),
IF(S122&gt;=0.8,"Elec. : oui","Elec. : non"))
&amp;" / "&amp;
IF(AND('0. Installation'!$B$4&gt;=DATE(2021,1,1),'0. Installation'!$B$4&lt;DATE(2026,1,1)),IF(T122&gt;=0.7,"Chaleur : oui","Chaleur : non"),
IF(T122&gt;=0.8,"Chaleur. : oui","Chaleur : non")),
""))</f>
        <v>Pas de critère à respecter</v>
      </c>
      <c r="V122" s="9"/>
      <c r="W122" s="117">
        <f t="shared" si="3"/>
        <v>0</v>
      </c>
    </row>
    <row r="123" spans="1:23" ht="15.6">
      <c r="A123" s="27"/>
      <c r="B123" s="14"/>
      <c r="C123" s="28" t="str">
        <f t="shared" si="2"/>
        <v/>
      </c>
      <c r="D123" s="14"/>
      <c r="E123" s="266" t="str">
        <f t="shared" si="4"/>
        <v/>
      </c>
      <c r="F123" s="251"/>
      <c r="G123" s="251"/>
      <c r="H123" s="251"/>
      <c r="I123" s="251"/>
      <c r="J123" s="251"/>
      <c r="K123" s="16"/>
      <c r="L123" s="16"/>
      <c r="M123" s="242"/>
      <c r="N123" s="16"/>
      <c r="O123" s="14"/>
      <c r="P123" s="14"/>
      <c r="Q123" s="14"/>
      <c r="R123" s="14"/>
      <c r="S123" s="13" t="str">
        <f>IF(A123&lt;&gt;"",
IF(OR($A123="Graisses de station d’épuration",$A123="Déchets IAA liquides (&lt;20% MS)",$A123="Déchets liquides industriels"),
VLOOKUP($C123,'2. Détail calcul GES'!$A$4:$AN$60,32,FALSE),
VLOOKUP($C123,'2. Détail calcul GES'!$A$4:$AN$60,27,FALSE)),
"")</f>
        <v/>
      </c>
      <c r="T123" s="13" t="str">
        <f>IF(A123&lt;&gt;"",
IF(OR($A123="Graisses de station d’épuration",$A123="Déchets IAA liquides (&lt;20% MS)",$A123="Déchets liquides industriels"),
VLOOKUP($C123,'2. Détail calcul GES'!$A$4:$AN$60,34,FALSE),
VLOOKUP($C123,'2. Détail calcul GES'!$A$4:$AN$60,29,FALSE)),
"")</f>
        <v/>
      </c>
      <c r="U123" s="15" t="str">
        <f>IF(OR('0. Installation'!$B$4&lt;DATE(2021,1,1),A123="Déchets ménager et assimilés"),
"Pas de critère à respecter",
IF(E123&lt;&gt;"",
IF(AND('0. Installation'!$B$4&gt;=DATE(2021,1,1),'0. Installation'!$B$4&lt;DATE(2026,1,1)),IF(S123&gt;=0.7,"Elec. : oui","Elec. : non"),
IF(S123&gt;=0.8,"Elec. : oui","Elec. : non"))
&amp;" / "&amp;
IF(AND('0. Installation'!$B$4&gt;=DATE(2021,1,1),'0. Installation'!$B$4&lt;DATE(2026,1,1)),IF(T123&gt;=0.7,"Chaleur : oui","Chaleur : non"),
IF(T123&gt;=0.8,"Chaleur. : oui","Chaleur : non")),
""))</f>
        <v>Pas de critère à respecter</v>
      </c>
      <c r="V123" s="9"/>
      <c r="W123" s="117">
        <f t="shared" si="3"/>
        <v>0</v>
      </c>
    </row>
    <row r="124" spans="1:23" ht="15.6">
      <c r="A124" s="27"/>
      <c r="B124" s="14"/>
      <c r="C124" s="28" t="str">
        <f t="shared" si="2"/>
        <v/>
      </c>
      <c r="D124" s="14"/>
      <c r="E124" s="266" t="str">
        <f t="shared" si="4"/>
        <v/>
      </c>
      <c r="F124" s="251"/>
      <c r="G124" s="251"/>
      <c r="H124" s="251"/>
      <c r="I124" s="251"/>
      <c r="J124" s="251"/>
      <c r="K124" s="16"/>
      <c r="L124" s="16"/>
      <c r="M124" s="242"/>
      <c r="N124" s="16"/>
      <c r="O124" s="14"/>
      <c r="P124" s="14"/>
      <c r="Q124" s="14"/>
      <c r="R124" s="14"/>
      <c r="S124" s="13" t="str">
        <f>IF(A124&lt;&gt;"",
IF(OR($A124="Graisses de station d’épuration",$A124="Déchets IAA liquides (&lt;20% MS)",$A124="Déchets liquides industriels"),
VLOOKUP($C124,'2. Détail calcul GES'!$A$4:$AN$60,32,FALSE),
VLOOKUP($C124,'2. Détail calcul GES'!$A$4:$AN$60,27,FALSE)),
"")</f>
        <v/>
      </c>
      <c r="T124" s="13" t="str">
        <f>IF(A124&lt;&gt;"",
IF(OR($A124="Graisses de station d’épuration",$A124="Déchets IAA liquides (&lt;20% MS)",$A124="Déchets liquides industriels"),
VLOOKUP($C124,'2. Détail calcul GES'!$A$4:$AN$60,34,FALSE),
VLOOKUP($C124,'2. Détail calcul GES'!$A$4:$AN$60,29,FALSE)),
"")</f>
        <v/>
      </c>
      <c r="U124" s="15" t="str">
        <f>IF(OR('0. Installation'!$B$4&lt;DATE(2021,1,1),A124="Déchets ménager et assimilés"),
"Pas de critère à respecter",
IF(E124&lt;&gt;"",
IF(AND('0. Installation'!$B$4&gt;=DATE(2021,1,1),'0. Installation'!$B$4&lt;DATE(2026,1,1)),IF(S124&gt;=0.7,"Elec. : oui","Elec. : non"),
IF(S124&gt;=0.8,"Elec. : oui","Elec. : non"))
&amp;" / "&amp;
IF(AND('0. Installation'!$B$4&gt;=DATE(2021,1,1),'0. Installation'!$B$4&lt;DATE(2026,1,1)),IF(T124&gt;=0.7,"Chaleur : oui","Chaleur : non"),
IF(T124&gt;=0.8,"Chaleur. : oui","Chaleur : non")),
""))</f>
        <v>Pas de critère à respecter</v>
      </c>
      <c r="V124" s="9"/>
      <c r="W124" s="117">
        <f t="shared" si="3"/>
        <v>0</v>
      </c>
    </row>
    <row r="125" spans="1:23" ht="15.6">
      <c r="A125" s="27"/>
      <c r="B125" s="14"/>
      <c r="C125" s="28" t="str">
        <f t="shared" si="2"/>
        <v/>
      </c>
      <c r="D125" s="14"/>
      <c r="E125" s="266" t="str">
        <f t="shared" si="4"/>
        <v/>
      </c>
      <c r="F125" s="251"/>
      <c r="G125" s="251"/>
      <c r="H125" s="251"/>
      <c r="I125" s="251"/>
      <c r="J125" s="251"/>
      <c r="K125" s="16"/>
      <c r="L125" s="16"/>
      <c r="M125" s="242"/>
      <c r="N125" s="16"/>
      <c r="O125" s="14"/>
      <c r="P125" s="14"/>
      <c r="Q125" s="14"/>
      <c r="R125" s="14"/>
      <c r="S125" s="13" t="str">
        <f>IF(A125&lt;&gt;"",
IF(OR($A125="Graisses de station d’épuration",$A125="Déchets IAA liquides (&lt;20% MS)",$A125="Déchets liquides industriels"),
VLOOKUP($C125,'2. Détail calcul GES'!$A$4:$AN$60,32,FALSE),
VLOOKUP($C125,'2. Détail calcul GES'!$A$4:$AN$60,27,FALSE)),
"")</f>
        <v/>
      </c>
      <c r="T125" s="13" t="str">
        <f>IF(A125&lt;&gt;"",
IF(OR($A125="Graisses de station d’épuration",$A125="Déchets IAA liquides (&lt;20% MS)",$A125="Déchets liquides industriels"),
VLOOKUP($C125,'2. Détail calcul GES'!$A$4:$AN$60,34,FALSE),
VLOOKUP($C125,'2. Détail calcul GES'!$A$4:$AN$60,29,FALSE)),
"")</f>
        <v/>
      </c>
      <c r="U125" s="15" t="str">
        <f>IF(OR('0. Installation'!$B$4&lt;DATE(2021,1,1),A125="Déchets ménager et assimilés"),
"Pas de critère à respecter",
IF(E125&lt;&gt;"",
IF(AND('0. Installation'!$B$4&gt;=DATE(2021,1,1),'0. Installation'!$B$4&lt;DATE(2026,1,1)),IF(S125&gt;=0.7,"Elec. : oui","Elec. : non"),
IF(S125&gt;=0.8,"Elec. : oui","Elec. : non"))
&amp;" / "&amp;
IF(AND('0. Installation'!$B$4&gt;=DATE(2021,1,1),'0. Installation'!$B$4&lt;DATE(2026,1,1)),IF(T125&gt;=0.7,"Chaleur : oui","Chaleur : non"),
IF(T125&gt;=0.8,"Chaleur. : oui","Chaleur : non")),
""))</f>
        <v>Pas de critère à respecter</v>
      </c>
      <c r="V125" s="9"/>
      <c r="W125" s="117">
        <f t="shared" si="3"/>
        <v>0</v>
      </c>
    </row>
    <row r="126" spans="1:23" ht="15.6">
      <c r="A126" s="27"/>
      <c r="B126" s="14"/>
      <c r="C126" s="28" t="str">
        <f>IF(ISBLANK(A126)=FALSE,"Lot "&amp;(ROW()-ROW(C$97)+1),"")</f>
        <v/>
      </c>
      <c r="D126" s="14"/>
      <c r="E126" s="266" t="str">
        <f t="shared" si="4"/>
        <v/>
      </c>
      <c r="F126" s="251"/>
      <c r="G126" s="251"/>
      <c r="H126" s="251"/>
      <c r="I126" s="251"/>
      <c r="J126" s="251"/>
      <c r="K126" s="16"/>
      <c r="L126" s="16"/>
      <c r="M126" s="242"/>
      <c r="N126" s="16"/>
      <c r="O126" s="14"/>
      <c r="P126" s="14"/>
      <c r="Q126" s="14"/>
      <c r="R126" s="14"/>
      <c r="S126" s="13" t="str">
        <f>IF(A126&lt;&gt;"",
IF(OR($A126="Graisses de station d’épuration",$A126="Déchets IAA liquides (&lt;20% MS)",$A126="Déchets liquides industriels"),
VLOOKUP($C126,'2. Détail calcul GES'!$A$4:$AN$60,32,FALSE),
VLOOKUP($C126,'2. Détail calcul GES'!$A$4:$AN$60,27,FALSE)),
"")</f>
        <v/>
      </c>
      <c r="T126" s="13" t="str">
        <f>IF(A126&lt;&gt;"",
IF(OR($A126="Graisses de station d’épuration",$A126="Déchets IAA liquides (&lt;20% MS)",$A126="Déchets liquides industriels"),
VLOOKUP($C126,'2. Détail calcul GES'!$A$4:$AN$60,34,FALSE),
VLOOKUP($C126,'2. Détail calcul GES'!$A$4:$AN$60,29,FALSE)),
"")</f>
        <v/>
      </c>
      <c r="U126" s="15" t="str">
        <f>IF(OR('0. Installation'!$B$4&lt;DATE(2021,1,1),A126="Déchets ménager et assimilés"),
"Pas de critère à respecter",
IF(E126&lt;&gt;"",
IF(AND('0. Installation'!$B$4&gt;=DATE(2021,1,1),'0. Installation'!$B$4&lt;DATE(2026,1,1)),IF(S126&gt;=0.7,"Elec. : oui","Elec. : non"),
IF(S126&gt;=0.8,"Elec. : oui","Elec. : non"))
&amp;" / "&amp;
IF(AND('0. Installation'!$B$4&gt;=DATE(2021,1,1),'0. Installation'!$B$4&lt;DATE(2026,1,1)),IF(T126&gt;=0.7,"Chaleur : oui","Chaleur : non"),
IF(T126&gt;=0.8,"Chaleur. : oui","Chaleur : non")),
""))</f>
        <v>Pas de critère à respecter</v>
      </c>
      <c r="V126" s="9"/>
      <c r="W126" s="117">
        <f t="shared" si="3"/>
        <v>0</v>
      </c>
    </row>
    <row r="127" spans="1:23" ht="15.75" customHeight="1">
      <c r="A127" s="215" t="s">
        <v>330</v>
      </c>
      <c r="B127" s="215">
        <f>COUNTIFS($A97:$A126,"&lt;&gt;",U97:U126,"&lt;&gt;Pas de critère à respecter",S97:S126,0,T97:T126,0)+COUNTIFS($A97:$A126,"&lt;&gt;",U97:U126,"&lt;&gt;Pas de critère à respecter",S97:S126,NA(),T97:T126,NA())</f>
        <v>0</v>
      </c>
      <c r="E127" s="215">
        <f>IF(SUM(E97:E126)&gt;0,1,0)</f>
        <v>0</v>
      </c>
      <c r="W127" s="117" t="str">
        <f t="shared" si="3"/>
        <v>Lacune détectée sur calcul GES</v>
      </c>
    </row>
    <row r="128" spans="1:23" ht="15" thickBot="1">
      <c r="A128" s="103"/>
      <c r="W128" s="117"/>
    </row>
    <row r="129" spans="1:23" ht="45.75" customHeight="1" thickBot="1">
      <c r="A129" s="325" t="s">
        <v>267</v>
      </c>
      <c r="B129" s="307"/>
      <c r="C129" s="307"/>
      <c r="D129" s="307"/>
      <c r="E129" s="307"/>
      <c r="F129" s="307"/>
      <c r="G129" s="307"/>
      <c r="H129" s="307"/>
      <c r="I129" s="307"/>
      <c r="J129" s="307"/>
      <c r="K129" s="307"/>
      <c r="L129" s="307"/>
      <c r="M129" s="307"/>
      <c r="N129" s="307"/>
      <c r="O129" s="307"/>
      <c r="P129" s="307"/>
      <c r="Q129" s="307"/>
      <c r="R129" s="307"/>
      <c r="S129" s="307"/>
      <c r="T129" s="307"/>
      <c r="U129" s="308"/>
      <c r="W129" s="117"/>
    </row>
    <row r="130" spans="1:23" ht="159.6" customHeight="1">
      <c r="A130" s="202" t="s">
        <v>67</v>
      </c>
      <c r="B130" s="245" t="s">
        <v>72</v>
      </c>
      <c r="C130" s="299" t="s">
        <v>417</v>
      </c>
      <c r="D130" s="245" t="s">
        <v>68</v>
      </c>
      <c r="E130" s="245" t="s">
        <v>19</v>
      </c>
      <c r="F130" s="336" t="s">
        <v>325</v>
      </c>
      <c r="G130" s="331"/>
      <c r="H130" s="331"/>
      <c r="I130" s="331"/>
      <c r="J130" s="331"/>
      <c r="K130" s="331"/>
      <c r="L130" s="331"/>
      <c r="M130" s="248" t="s">
        <v>374</v>
      </c>
      <c r="N130" s="248" t="s">
        <v>22</v>
      </c>
      <c r="O130" s="245" t="s">
        <v>69</v>
      </c>
      <c r="P130" s="280" t="s">
        <v>71</v>
      </c>
      <c r="Q130" s="281"/>
      <c r="R130" s="245" t="s">
        <v>70</v>
      </c>
      <c r="S130" s="336" t="s">
        <v>66</v>
      </c>
      <c r="T130" s="336"/>
      <c r="U130" s="243" t="s">
        <v>21</v>
      </c>
      <c r="V130" s="118" t="s">
        <v>23</v>
      </c>
      <c r="W130" s="117" t="str">
        <f t="shared" si="3"/>
        <v>Type de combustible</v>
      </c>
    </row>
    <row r="131" spans="1:23" ht="57.6" customHeight="1">
      <c r="A131" s="105"/>
      <c r="B131" s="3"/>
      <c r="C131" s="5"/>
      <c r="D131" s="5"/>
      <c r="E131" s="6"/>
      <c r="F131" s="8" t="s">
        <v>26</v>
      </c>
      <c r="G131" s="8" t="s">
        <v>27</v>
      </c>
      <c r="H131" s="8" t="s">
        <v>28</v>
      </c>
      <c r="I131" s="8" t="s">
        <v>29</v>
      </c>
      <c r="J131" s="8" t="s">
        <v>30</v>
      </c>
      <c r="K131" s="8" t="s">
        <v>415</v>
      </c>
      <c r="L131" s="8" t="s">
        <v>416</v>
      </c>
      <c r="M131" s="8"/>
      <c r="N131" s="8"/>
      <c r="O131" s="6"/>
      <c r="P131" s="6"/>
      <c r="Q131" s="6"/>
      <c r="R131" s="6"/>
      <c r="S131" s="3" t="s">
        <v>24</v>
      </c>
      <c r="T131" s="3" t="s">
        <v>25</v>
      </c>
      <c r="U131" s="3"/>
      <c r="V131" s="8"/>
      <c r="W131" s="117">
        <f t="shared" si="3"/>
        <v>0</v>
      </c>
    </row>
    <row r="132" spans="1:23" ht="22.2" customHeight="1">
      <c r="A132" s="27"/>
      <c r="B132" s="16"/>
      <c r="C132" s="28" t="str">
        <f>IF(ISBLANK(A132)=FALSE,"Lot "&amp;(ROW(C$126)-ROW(C$97)+1-COUNTBLANK(C$97:C$126)+ROW()-ROW(C$132)+1),"")</f>
        <v/>
      </c>
      <c r="D132" s="12"/>
      <c r="E132" s="266"/>
      <c r="F132" s="251"/>
      <c r="G132" s="251"/>
      <c r="H132" s="251"/>
      <c r="I132" s="251"/>
      <c r="J132" s="251"/>
      <c r="K132" s="16"/>
      <c r="L132" s="16"/>
      <c r="M132" s="242"/>
      <c r="N132" s="16"/>
      <c r="O132" s="12"/>
      <c r="P132" s="12"/>
      <c r="Q132" s="14"/>
      <c r="R132" s="282" t="str">
        <f>IF(A132="","",IF(C132&lt;&gt;C131,"Valeur  à renseigner: Production de biogaz du lot",""))</f>
        <v/>
      </c>
      <c r="S132" s="13" t="str">
        <f>'2. Détail calcul GES'!AF4</f>
        <v/>
      </c>
      <c r="T132" s="13" t="str">
        <f>'2. Détail calcul GES'!AH4</f>
        <v/>
      </c>
      <c r="U132" s="15" t="str">
        <f>'2. Détail calcul GES'!AN4</f>
        <v/>
      </c>
      <c r="V132" s="9"/>
      <c r="W132" s="117">
        <f t="shared" si="3"/>
        <v>0</v>
      </c>
    </row>
    <row r="133" spans="1:23" ht="21.6" customHeight="1">
      <c r="A133" s="27"/>
      <c r="B133" s="16"/>
      <c r="C133" s="28" t="str">
        <f t="shared" ref="C133:C138" si="5">IF(ISBLANK(A133)=FALSE,"Lot "&amp;(ROW(C$126)-ROW(C$97)+1-COUNTBLANK(C$97:C$126)+ROW()-ROW(C$132)+1),"")</f>
        <v/>
      </c>
      <c r="D133" s="12"/>
      <c r="E133" s="266"/>
      <c r="F133" s="251"/>
      <c r="G133" s="251"/>
      <c r="H133" s="251"/>
      <c r="I133" s="251"/>
      <c r="J133" s="251"/>
      <c r="K133" s="16"/>
      <c r="L133" s="16"/>
      <c r="M133" s="242"/>
      <c r="N133" s="16"/>
      <c r="O133" s="12"/>
      <c r="P133" s="12"/>
      <c r="Q133" s="14"/>
      <c r="R133" s="282" t="str">
        <f t="shared" ref="R133:R188" si="6">IF(A133="","",IF(C133&lt;&gt;C132,"Valeur  à renseigner: Production de biogaz du lot",""))</f>
        <v/>
      </c>
      <c r="S133" s="13" t="str">
        <f>'2. Détail calcul GES'!AF5</f>
        <v/>
      </c>
      <c r="T133" s="13" t="str">
        <f>'2. Détail calcul GES'!AH5</f>
        <v/>
      </c>
      <c r="U133" s="15" t="str">
        <f>'2. Détail calcul GES'!AN5</f>
        <v/>
      </c>
      <c r="V133" s="9"/>
      <c r="W133" s="117">
        <f t="shared" si="3"/>
        <v>0</v>
      </c>
    </row>
    <row r="134" spans="1:23" ht="24.6" customHeight="1">
      <c r="A134" s="27"/>
      <c r="B134" s="16"/>
      <c r="C134" s="28" t="str">
        <f t="shared" si="5"/>
        <v/>
      </c>
      <c r="D134" s="12"/>
      <c r="E134" s="266"/>
      <c r="F134" s="251"/>
      <c r="G134" s="251"/>
      <c r="H134" s="251"/>
      <c r="I134" s="251"/>
      <c r="J134" s="251"/>
      <c r="K134" s="16"/>
      <c r="L134" s="16"/>
      <c r="M134" s="242"/>
      <c r="N134" s="16"/>
      <c r="O134" s="12"/>
      <c r="P134" s="12"/>
      <c r="Q134" s="14"/>
      <c r="R134" s="282" t="str">
        <f t="shared" si="6"/>
        <v/>
      </c>
      <c r="S134" s="13" t="str">
        <f>'2. Détail calcul GES'!AF6</f>
        <v/>
      </c>
      <c r="T134" s="13" t="str">
        <f>'2. Détail calcul GES'!AH6</f>
        <v/>
      </c>
      <c r="U134" s="15" t="str">
        <f>'2. Détail calcul GES'!AN6</f>
        <v/>
      </c>
      <c r="V134" s="9"/>
      <c r="W134" s="117">
        <f t="shared" si="3"/>
        <v>0</v>
      </c>
    </row>
    <row r="135" spans="1:23" ht="23.4" customHeight="1">
      <c r="A135" s="27"/>
      <c r="B135" s="16"/>
      <c r="C135" s="28" t="str">
        <f t="shared" si="5"/>
        <v/>
      </c>
      <c r="D135" s="12"/>
      <c r="E135" s="266"/>
      <c r="F135" s="251"/>
      <c r="G135" s="251"/>
      <c r="H135" s="251"/>
      <c r="I135" s="251"/>
      <c r="J135" s="251"/>
      <c r="K135" s="16"/>
      <c r="L135" s="16"/>
      <c r="M135" s="242"/>
      <c r="N135" s="16"/>
      <c r="O135" s="12"/>
      <c r="P135" s="12"/>
      <c r="Q135" s="14"/>
      <c r="R135" s="282" t="str">
        <f t="shared" si="6"/>
        <v/>
      </c>
      <c r="S135" s="13" t="str">
        <f>'2. Détail calcul GES'!AF7</f>
        <v/>
      </c>
      <c r="T135" s="13" t="str">
        <f>'2. Détail calcul GES'!AH7</f>
        <v/>
      </c>
      <c r="U135" s="15" t="str">
        <f>'2. Détail calcul GES'!AN7</f>
        <v/>
      </c>
      <c r="V135" s="9"/>
      <c r="W135" s="117">
        <f t="shared" si="3"/>
        <v>0</v>
      </c>
    </row>
    <row r="136" spans="1:23" ht="15.6">
      <c r="A136" s="27"/>
      <c r="B136" s="16"/>
      <c r="C136" s="28" t="str">
        <f t="shared" si="5"/>
        <v/>
      </c>
      <c r="D136" s="12"/>
      <c r="E136" s="266"/>
      <c r="F136" s="251"/>
      <c r="G136" s="251"/>
      <c r="H136" s="251"/>
      <c r="I136" s="251"/>
      <c r="J136" s="251"/>
      <c r="K136" s="16"/>
      <c r="L136" s="16"/>
      <c r="M136" s="242"/>
      <c r="N136" s="16"/>
      <c r="O136" s="12"/>
      <c r="P136" s="12"/>
      <c r="Q136" s="14"/>
      <c r="R136" s="282" t="str">
        <f t="shared" si="6"/>
        <v/>
      </c>
      <c r="S136" s="13" t="str">
        <f>'2. Détail calcul GES'!AF8</f>
        <v/>
      </c>
      <c r="T136" s="13" t="str">
        <f>'2. Détail calcul GES'!AH8</f>
        <v/>
      </c>
      <c r="U136" s="15" t="str">
        <f>'2. Détail calcul GES'!AN8</f>
        <v/>
      </c>
      <c r="V136" s="9"/>
      <c r="W136" s="117">
        <f t="shared" si="3"/>
        <v>0</v>
      </c>
    </row>
    <row r="137" spans="1:23" ht="15.6">
      <c r="A137" s="27"/>
      <c r="B137" s="16"/>
      <c r="C137" s="28" t="str">
        <f t="shared" si="5"/>
        <v/>
      </c>
      <c r="D137" s="12"/>
      <c r="E137" s="266"/>
      <c r="F137" s="251"/>
      <c r="G137" s="251"/>
      <c r="H137" s="251"/>
      <c r="I137" s="251"/>
      <c r="J137" s="251"/>
      <c r="K137" s="16"/>
      <c r="L137" s="16"/>
      <c r="M137" s="242"/>
      <c r="N137" s="16"/>
      <c r="O137" s="12"/>
      <c r="P137" s="12"/>
      <c r="Q137" s="14"/>
      <c r="R137" s="282" t="str">
        <f t="shared" si="6"/>
        <v/>
      </c>
      <c r="S137" s="13" t="str">
        <f>'2. Détail calcul GES'!AF9</f>
        <v/>
      </c>
      <c r="T137" s="13" t="str">
        <f>'2. Détail calcul GES'!AH9</f>
        <v/>
      </c>
      <c r="U137" s="15" t="str">
        <f>'2. Détail calcul GES'!AN9</f>
        <v/>
      </c>
      <c r="V137" s="9"/>
      <c r="W137" s="117">
        <f t="shared" si="3"/>
        <v>0</v>
      </c>
    </row>
    <row r="138" spans="1:23" ht="15.6">
      <c r="A138" s="27"/>
      <c r="B138" s="16"/>
      <c r="C138" s="28" t="str">
        <f t="shared" si="5"/>
        <v/>
      </c>
      <c r="D138" s="12"/>
      <c r="E138" s="266"/>
      <c r="F138" s="251"/>
      <c r="G138" s="251"/>
      <c r="H138" s="251"/>
      <c r="I138" s="251"/>
      <c r="J138" s="251"/>
      <c r="K138" s="16"/>
      <c r="L138" s="16"/>
      <c r="M138" s="242"/>
      <c r="N138" s="16"/>
      <c r="O138" s="12"/>
      <c r="P138" s="12"/>
      <c r="Q138" s="14"/>
      <c r="R138" s="282" t="str">
        <f t="shared" si="6"/>
        <v/>
      </c>
      <c r="S138" s="13" t="str">
        <f>'2. Détail calcul GES'!AF10</f>
        <v/>
      </c>
      <c r="T138" s="13" t="str">
        <f>'2. Détail calcul GES'!AH10</f>
        <v/>
      </c>
      <c r="U138" s="15" t="str">
        <f>'2. Détail calcul GES'!AN10</f>
        <v/>
      </c>
      <c r="V138" s="9"/>
      <c r="W138" s="117">
        <f t="shared" si="3"/>
        <v>0</v>
      </c>
    </row>
    <row r="139" spans="1:23" ht="15.6">
      <c r="A139" s="27"/>
      <c r="B139" s="16"/>
      <c r="C139" s="28"/>
      <c r="D139" s="12"/>
      <c r="E139" s="266"/>
      <c r="F139" s="251"/>
      <c r="G139" s="251"/>
      <c r="H139" s="251"/>
      <c r="I139" s="251"/>
      <c r="J139" s="251"/>
      <c r="K139" s="16"/>
      <c r="L139" s="16"/>
      <c r="M139" s="242"/>
      <c r="N139" s="16"/>
      <c r="O139" s="12"/>
      <c r="P139" s="12"/>
      <c r="Q139" s="14"/>
      <c r="R139" s="282" t="str">
        <f t="shared" si="6"/>
        <v/>
      </c>
      <c r="S139" s="13" t="str">
        <f>'2. Détail calcul GES'!AF11</f>
        <v/>
      </c>
      <c r="T139" s="13" t="str">
        <f>'2. Détail calcul GES'!AH11</f>
        <v/>
      </c>
      <c r="U139" s="15" t="str">
        <f>'2. Détail calcul GES'!AN11</f>
        <v/>
      </c>
      <c r="V139" s="9"/>
      <c r="W139" s="117">
        <f t="shared" si="3"/>
        <v>0</v>
      </c>
    </row>
    <row r="140" spans="1:23" ht="15.6">
      <c r="A140" s="27"/>
      <c r="B140" s="16"/>
      <c r="C140" s="28"/>
      <c r="D140" s="12"/>
      <c r="E140" s="266" t="str">
        <f t="shared" ref="E140:E188" si="7">IF(A140&lt;&gt;"","A compléter","")</f>
        <v/>
      </c>
      <c r="F140" s="251"/>
      <c r="G140" s="251"/>
      <c r="H140" s="251"/>
      <c r="I140" s="251"/>
      <c r="J140" s="251"/>
      <c r="K140" s="16"/>
      <c r="L140" s="16"/>
      <c r="M140" s="242"/>
      <c r="N140" s="16"/>
      <c r="O140" s="12"/>
      <c r="P140" s="12"/>
      <c r="Q140" s="14"/>
      <c r="R140" s="282" t="str">
        <f t="shared" si="6"/>
        <v/>
      </c>
      <c r="S140" s="13" t="str">
        <f>'2. Détail calcul GES'!AF12</f>
        <v/>
      </c>
      <c r="T140" s="13" t="str">
        <f>'2. Détail calcul GES'!AH12</f>
        <v/>
      </c>
      <c r="U140" s="15" t="str">
        <f>'2. Détail calcul GES'!AN12</f>
        <v/>
      </c>
      <c r="V140" s="9"/>
      <c r="W140" s="117">
        <f t="shared" si="3"/>
        <v>0</v>
      </c>
    </row>
    <row r="141" spans="1:23" ht="15.6">
      <c r="A141" s="27"/>
      <c r="B141" s="16"/>
      <c r="C141" s="28"/>
      <c r="D141" s="12"/>
      <c r="E141" s="266" t="str">
        <f t="shared" si="7"/>
        <v/>
      </c>
      <c r="F141" s="251"/>
      <c r="G141" s="251"/>
      <c r="H141" s="251"/>
      <c r="I141" s="251"/>
      <c r="J141" s="251"/>
      <c r="K141" s="16"/>
      <c r="L141" s="16"/>
      <c r="M141" s="242"/>
      <c r="N141" s="16"/>
      <c r="O141" s="12"/>
      <c r="P141" s="12"/>
      <c r="Q141" s="14"/>
      <c r="R141" s="282" t="str">
        <f t="shared" si="6"/>
        <v/>
      </c>
      <c r="S141" s="13" t="str">
        <f>'2. Détail calcul GES'!AF13</f>
        <v/>
      </c>
      <c r="T141" s="13" t="str">
        <f>'2. Détail calcul GES'!AH13</f>
        <v/>
      </c>
      <c r="U141" s="15" t="str">
        <f>'2. Détail calcul GES'!AN13</f>
        <v/>
      </c>
      <c r="V141" s="9"/>
      <c r="W141" s="117">
        <f t="shared" si="3"/>
        <v>0</v>
      </c>
    </row>
    <row r="142" spans="1:23" ht="15.6">
      <c r="A142" s="27"/>
      <c r="B142" s="16"/>
      <c r="C142" s="28"/>
      <c r="D142" s="12"/>
      <c r="E142" s="266"/>
      <c r="F142" s="251"/>
      <c r="G142" s="251"/>
      <c r="H142" s="251"/>
      <c r="I142" s="251"/>
      <c r="J142" s="251"/>
      <c r="K142" s="16"/>
      <c r="L142" s="16"/>
      <c r="M142" s="242"/>
      <c r="N142" s="16"/>
      <c r="O142" s="12"/>
      <c r="P142" s="12"/>
      <c r="Q142" s="14"/>
      <c r="R142" s="282" t="str">
        <f t="shared" si="6"/>
        <v/>
      </c>
      <c r="S142" s="13" t="str">
        <f>'2. Détail calcul GES'!AF14</f>
        <v/>
      </c>
      <c r="T142" s="13" t="str">
        <f>'2. Détail calcul GES'!AH14</f>
        <v/>
      </c>
      <c r="U142" s="15" t="str">
        <f>'2. Détail calcul GES'!AN14</f>
        <v/>
      </c>
      <c r="V142" s="9"/>
      <c r="W142" s="117"/>
    </row>
    <row r="143" spans="1:23" ht="15.6">
      <c r="A143" s="27"/>
      <c r="B143" s="16"/>
      <c r="C143" s="28"/>
      <c r="D143" s="12"/>
      <c r="E143" s="266"/>
      <c r="F143" s="251"/>
      <c r="G143" s="251"/>
      <c r="H143" s="251"/>
      <c r="I143" s="251"/>
      <c r="J143" s="251"/>
      <c r="K143" s="16"/>
      <c r="L143" s="16"/>
      <c r="M143" s="242"/>
      <c r="N143" s="16"/>
      <c r="O143" s="12"/>
      <c r="P143" s="12"/>
      <c r="Q143" s="14"/>
      <c r="R143" s="282" t="str">
        <f t="shared" si="6"/>
        <v/>
      </c>
      <c r="S143" s="13" t="str">
        <f>'2. Détail calcul GES'!AF15</f>
        <v/>
      </c>
      <c r="T143" s="13" t="str">
        <f>'2. Détail calcul GES'!AH15</f>
        <v/>
      </c>
      <c r="U143" s="15" t="str">
        <f>'2. Détail calcul GES'!AN15</f>
        <v/>
      </c>
      <c r="V143" s="9"/>
      <c r="W143" s="117"/>
    </row>
    <row r="144" spans="1:23" ht="15.6">
      <c r="A144" s="27"/>
      <c r="B144" s="16"/>
      <c r="C144" s="28"/>
      <c r="D144" s="12"/>
      <c r="E144" s="266"/>
      <c r="F144" s="251"/>
      <c r="G144" s="251"/>
      <c r="H144" s="251"/>
      <c r="I144" s="251"/>
      <c r="J144" s="251"/>
      <c r="K144" s="16"/>
      <c r="L144" s="16"/>
      <c r="M144" s="242"/>
      <c r="N144" s="16"/>
      <c r="O144" s="12"/>
      <c r="P144" s="12"/>
      <c r="Q144" s="14"/>
      <c r="R144" s="282" t="str">
        <f t="shared" si="6"/>
        <v/>
      </c>
      <c r="S144" s="13" t="str">
        <f>'2. Détail calcul GES'!AF16</f>
        <v/>
      </c>
      <c r="T144" s="13" t="str">
        <f>'2. Détail calcul GES'!AH16</f>
        <v/>
      </c>
      <c r="U144" s="15" t="str">
        <f>'2. Détail calcul GES'!AN16</f>
        <v/>
      </c>
      <c r="V144" s="9"/>
      <c r="W144" s="117"/>
    </row>
    <row r="145" spans="1:23" ht="15.6">
      <c r="A145" s="27"/>
      <c r="B145" s="16"/>
      <c r="C145" s="28"/>
      <c r="D145" s="12"/>
      <c r="E145" s="266"/>
      <c r="F145" s="251"/>
      <c r="G145" s="251"/>
      <c r="H145" s="251"/>
      <c r="I145" s="251"/>
      <c r="J145" s="251"/>
      <c r="K145" s="16"/>
      <c r="L145" s="16"/>
      <c r="M145" s="242"/>
      <c r="N145" s="16"/>
      <c r="O145" s="12"/>
      <c r="P145" s="12"/>
      <c r="Q145" s="14"/>
      <c r="R145" s="282" t="str">
        <f t="shared" si="6"/>
        <v/>
      </c>
      <c r="S145" s="13" t="str">
        <f>'2. Détail calcul GES'!AF17</f>
        <v/>
      </c>
      <c r="T145" s="13" t="str">
        <f>'2. Détail calcul GES'!AH17</f>
        <v/>
      </c>
      <c r="U145" s="15" t="str">
        <f>'2. Détail calcul GES'!AN17</f>
        <v/>
      </c>
      <c r="V145" s="9"/>
      <c r="W145" s="117"/>
    </row>
    <row r="146" spans="1:23" ht="15.6">
      <c r="A146" s="27"/>
      <c r="B146" s="16"/>
      <c r="C146" s="28"/>
      <c r="D146" s="12"/>
      <c r="E146" s="266"/>
      <c r="F146" s="251"/>
      <c r="G146" s="251"/>
      <c r="H146" s="251"/>
      <c r="I146" s="251"/>
      <c r="J146" s="251"/>
      <c r="K146" s="16"/>
      <c r="L146" s="16"/>
      <c r="M146" s="242"/>
      <c r="N146" s="16"/>
      <c r="O146" s="12"/>
      <c r="P146" s="12"/>
      <c r="Q146" s="14"/>
      <c r="R146" s="282" t="str">
        <f t="shared" si="6"/>
        <v/>
      </c>
      <c r="S146" s="13" t="str">
        <f>'2. Détail calcul GES'!AF18</f>
        <v/>
      </c>
      <c r="T146" s="13" t="str">
        <f>'2. Détail calcul GES'!AH18</f>
        <v/>
      </c>
      <c r="U146" s="15" t="str">
        <f>'2. Détail calcul GES'!AN18</f>
        <v/>
      </c>
      <c r="V146" s="9"/>
      <c r="W146" s="117"/>
    </row>
    <row r="147" spans="1:23" ht="15.6">
      <c r="A147" s="27"/>
      <c r="B147" s="16"/>
      <c r="C147" s="28"/>
      <c r="D147" s="12"/>
      <c r="E147" s="266"/>
      <c r="F147" s="251"/>
      <c r="G147" s="251"/>
      <c r="H147" s="251"/>
      <c r="I147" s="251"/>
      <c r="J147" s="251"/>
      <c r="K147" s="16"/>
      <c r="L147" s="16"/>
      <c r="M147" s="242"/>
      <c r="N147" s="16"/>
      <c r="O147" s="12"/>
      <c r="P147" s="12"/>
      <c r="Q147" s="14"/>
      <c r="R147" s="282" t="str">
        <f t="shared" si="6"/>
        <v/>
      </c>
      <c r="S147" s="13" t="str">
        <f>'2. Détail calcul GES'!AF19</f>
        <v/>
      </c>
      <c r="T147" s="13" t="str">
        <f>'2. Détail calcul GES'!AH19</f>
        <v/>
      </c>
      <c r="U147" s="15" t="str">
        <f>'2. Détail calcul GES'!AN19</f>
        <v/>
      </c>
      <c r="V147" s="9"/>
      <c r="W147" s="117"/>
    </row>
    <row r="148" spans="1:23" ht="15.6">
      <c r="A148" s="27"/>
      <c r="B148" s="16"/>
      <c r="C148" s="28"/>
      <c r="D148" s="12"/>
      <c r="E148" s="266"/>
      <c r="F148" s="251"/>
      <c r="G148" s="251"/>
      <c r="H148" s="251"/>
      <c r="I148" s="251"/>
      <c r="J148" s="251"/>
      <c r="K148" s="16"/>
      <c r="L148" s="16"/>
      <c r="M148" s="242"/>
      <c r="N148" s="16"/>
      <c r="O148" s="12"/>
      <c r="P148" s="12"/>
      <c r="Q148" s="14"/>
      <c r="R148" s="282" t="str">
        <f t="shared" si="6"/>
        <v/>
      </c>
      <c r="S148" s="13" t="str">
        <f>'2. Détail calcul GES'!AF20</f>
        <v/>
      </c>
      <c r="T148" s="13" t="str">
        <f>'2. Détail calcul GES'!AH20</f>
        <v/>
      </c>
      <c r="U148" s="15" t="str">
        <f>'2. Détail calcul GES'!AN20</f>
        <v/>
      </c>
      <c r="V148" s="9"/>
      <c r="W148" s="117"/>
    </row>
    <row r="149" spans="1:23" ht="15.6">
      <c r="A149" s="27"/>
      <c r="B149" s="16"/>
      <c r="C149" s="28"/>
      <c r="D149" s="12"/>
      <c r="E149" s="266"/>
      <c r="F149" s="251"/>
      <c r="G149" s="251"/>
      <c r="H149" s="251"/>
      <c r="I149" s="251"/>
      <c r="J149" s="251"/>
      <c r="K149" s="16"/>
      <c r="L149" s="16"/>
      <c r="M149" s="242"/>
      <c r="N149" s="16"/>
      <c r="O149" s="12"/>
      <c r="P149" s="12"/>
      <c r="Q149" s="14"/>
      <c r="R149" s="282" t="str">
        <f t="shared" si="6"/>
        <v/>
      </c>
      <c r="S149" s="13" t="str">
        <f>'2. Détail calcul GES'!AF21</f>
        <v/>
      </c>
      <c r="T149" s="13" t="str">
        <f>'2. Détail calcul GES'!AH21</f>
        <v/>
      </c>
      <c r="U149" s="15" t="str">
        <f>'2. Détail calcul GES'!AN21</f>
        <v/>
      </c>
      <c r="V149" s="9"/>
      <c r="W149" s="117"/>
    </row>
    <row r="150" spans="1:23" ht="15.6">
      <c r="A150" s="27"/>
      <c r="B150" s="16"/>
      <c r="C150" s="28"/>
      <c r="D150" s="12"/>
      <c r="E150" s="266"/>
      <c r="F150" s="251"/>
      <c r="G150" s="251"/>
      <c r="H150" s="251"/>
      <c r="I150" s="251"/>
      <c r="J150" s="251"/>
      <c r="K150" s="16"/>
      <c r="L150" s="16"/>
      <c r="M150" s="242"/>
      <c r="N150" s="16"/>
      <c r="O150" s="12"/>
      <c r="P150" s="12"/>
      <c r="Q150" s="14"/>
      <c r="R150" s="282" t="str">
        <f t="shared" si="6"/>
        <v/>
      </c>
      <c r="S150" s="13" t="str">
        <f>'2. Détail calcul GES'!AF22</f>
        <v/>
      </c>
      <c r="T150" s="13" t="str">
        <f>'2. Détail calcul GES'!AH22</f>
        <v/>
      </c>
      <c r="U150" s="15" t="str">
        <f>'2. Détail calcul GES'!AN22</f>
        <v/>
      </c>
      <c r="V150" s="9"/>
      <c r="W150" s="117"/>
    </row>
    <row r="151" spans="1:23" ht="15.6">
      <c r="A151" s="27"/>
      <c r="B151" s="16"/>
      <c r="C151" s="28"/>
      <c r="D151" s="12"/>
      <c r="E151" s="266"/>
      <c r="F151" s="251"/>
      <c r="G151" s="251"/>
      <c r="H151" s="251"/>
      <c r="I151" s="251"/>
      <c r="J151" s="251"/>
      <c r="K151" s="16"/>
      <c r="L151" s="16"/>
      <c r="M151" s="242"/>
      <c r="N151" s="16"/>
      <c r="O151" s="12"/>
      <c r="P151" s="12"/>
      <c r="Q151" s="14"/>
      <c r="R151" s="282" t="str">
        <f t="shared" si="6"/>
        <v/>
      </c>
      <c r="S151" s="13" t="str">
        <f>'2. Détail calcul GES'!AF23</f>
        <v/>
      </c>
      <c r="T151" s="13" t="str">
        <f>'2. Détail calcul GES'!AH23</f>
        <v/>
      </c>
      <c r="U151" s="15" t="str">
        <f>'2. Détail calcul GES'!AN23</f>
        <v/>
      </c>
      <c r="V151" s="9"/>
      <c r="W151" s="117"/>
    </row>
    <row r="152" spans="1:23" ht="15.6">
      <c r="A152" s="27"/>
      <c r="B152" s="16"/>
      <c r="C152" s="28"/>
      <c r="D152" s="12"/>
      <c r="E152" s="266"/>
      <c r="F152" s="251"/>
      <c r="G152" s="251"/>
      <c r="H152" s="251"/>
      <c r="I152" s="251"/>
      <c r="J152" s="251"/>
      <c r="K152" s="16"/>
      <c r="L152" s="16"/>
      <c r="M152" s="242"/>
      <c r="N152" s="16"/>
      <c r="O152" s="12"/>
      <c r="P152" s="12"/>
      <c r="Q152" s="14"/>
      <c r="R152" s="282" t="str">
        <f t="shared" si="6"/>
        <v/>
      </c>
      <c r="S152" s="13" t="str">
        <f>'2. Détail calcul GES'!AF24</f>
        <v/>
      </c>
      <c r="T152" s="13" t="str">
        <f>'2. Détail calcul GES'!AH24</f>
        <v/>
      </c>
      <c r="U152" s="15" t="str">
        <f>'2. Détail calcul GES'!AN24</f>
        <v/>
      </c>
      <c r="V152" s="9"/>
      <c r="W152" s="117"/>
    </row>
    <row r="153" spans="1:23" ht="15.6">
      <c r="A153" s="27"/>
      <c r="B153" s="16"/>
      <c r="C153" s="28"/>
      <c r="D153" s="12"/>
      <c r="E153" s="266"/>
      <c r="F153" s="251"/>
      <c r="G153" s="251"/>
      <c r="H153" s="251"/>
      <c r="I153" s="251"/>
      <c r="J153" s="251"/>
      <c r="K153" s="16"/>
      <c r="L153" s="16"/>
      <c r="M153" s="242"/>
      <c r="N153" s="16"/>
      <c r="O153" s="12"/>
      <c r="P153" s="12"/>
      <c r="Q153" s="14"/>
      <c r="R153" s="282" t="str">
        <f t="shared" si="6"/>
        <v/>
      </c>
      <c r="S153" s="13" t="str">
        <f>'2. Détail calcul GES'!AF25</f>
        <v/>
      </c>
      <c r="T153" s="13" t="str">
        <f>'2. Détail calcul GES'!AH25</f>
        <v/>
      </c>
      <c r="U153" s="15" t="str">
        <f>'2. Détail calcul GES'!AN25</f>
        <v/>
      </c>
      <c r="V153" s="9"/>
      <c r="W153" s="117"/>
    </row>
    <row r="154" spans="1:23" ht="15.6">
      <c r="A154" s="27"/>
      <c r="B154" s="16"/>
      <c r="C154" s="28"/>
      <c r="D154" s="12"/>
      <c r="E154" s="266"/>
      <c r="F154" s="251"/>
      <c r="G154" s="251"/>
      <c r="H154" s="251"/>
      <c r="I154" s="251"/>
      <c r="J154" s="251"/>
      <c r="K154" s="16"/>
      <c r="L154" s="16"/>
      <c r="M154" s="242"/>
      <c r="N154" s="16"/>
      <c r="O154" s="12"/>
      <c r="P154" s="12"/>
      <c r="Q154" s="14"/>
      <c r="R154" s="282" t="str">
        <f t="shared" si="6"/>
        <v/>
      </c>
      <c r="S154" s="13" t="str">
        <f>'2. Détail calcul GES'!AF26</f>
        <v/>
      </c>
      <c r="T154" s="13" t="str">
        <f>'2. Détail calcul GES'!AH26</f>
        <v/>
      </c>
      <c r="U154" s="15" t="str">
        <f>'2. Détail calcul GES'!AN26</f>
        <v/>
      </c>
      <c r="V154" s="9"/>
      <c r="W154" s="117"/>
    </row>
    <row r="155" spans="1:23" ht="15.6">
      <c r="A155" s="27"/>
      <c r="B155" s="16"/>
      <c r="C155" s="28"/>
      <c r="D155" s="12"/>
      <c r="E155" s="266"/>
      <c r="F155" s="251"/>
      <c r="G155" s="251"/>
      <c r="H155" s="251"/>
      <c r="I155" s="251"/>
      <c r="J155" s="251"/>
      <c r="K155" s="16"/>
      <c r="L155" s="16"/>
      <c r="M155" s="242"/>
      <c r="N155" s="16"/>
      <c r="O155" s="12"/>
      <c r="P155" s="12"/>
      <c r="Q155" s="14"/>
      <c r="R155" s="282" t="str">
        <f t="shared" si="6"/>
        <v/>
      </c>
      <c r="S155" s="13" t="str">
        <f>'2. Détail calcul GES'!AF27</f>
        <v/>
      </c>
      <c r="T155" s="13" t="str">
        <f>'2. Détail calcul GES'!AH27</f>
        <v/>
      </c>
      <c r="U155" s="15" t="str">
        <f>'2. Détail calcul GES'!AN27</f>
        <v/>
      </c>
      <c r="V155" s="9"/>
      <c r="W155" s="117"/>
    </row>
    <row r="156" spans="1:23" ht="15.6">
      <c r="A156" s="27"/>
      <c r="B156" s="16"/>
      <c r="C156" s="28"/>
      <c r="D156" s="12"/>
      <c r="E156" s="266"/>
      <c r="F156" s="251"/>
      <c r="G156" s="251"/>
      <c r="H156" s="251"/>
      <c r="I156" s="251"/>
      <c r="J156" s="251"/>
      <c r="K156" s="16"/>
      <c r="L156" s="16"/>
      <c r="M156" s="242"/>
      <c r="N156" s="16"/>
      <c r="O156" s="12"/>
      <c r="P156" s="12"/>
      <c r="Q156" s="14"/>
      <c r="R156" s="282" t="str">
        <f t="shared" si="6"/>
        <v/>
      </c>
      <c r="S156" s="13" t="str">
        <f>'2. Détail calcul GES'!AF28</f>
        <v/>
      </c>
      <c r="T156" s="13" t="str">
        <f>'2. Détail calcul GES'!AH28</f>
        <v/>
      </c>
      <c r="U156" s="15" t="str">
        <f>'2. Détail calcul GES'!AN28</f>
        <v/>
      </c>
      <c r="V156" s="9"/>
      <c r="W156" s="117"/>
    </row>
    <row r="157" spans="1:23" ht="15" customHeight="1">
      <c r="A157" s="27"/>
      <c r="B157" s="16"/>
      <c r="C157" s="28"/>
      <c r="D157" s="12"/>
      <c r="E157" s="266"/>
      <c r="F157" s="251"/>
      <c r="G157" s="251"/>
      <c r="H157" s="251"/>
      <c r="I157" s="251"/>
      <c r="J157" s="251"/>
      <c r="K157" s="16"/>
      <c r="L157" s="16"/>
      <c r="M157" s="242"/>
      <c r="N157" s="16"/>
      <c r="O157" s="12"/>
      <c r="P157" s="12"/>
      <c r="Q157" s="14"/>
      <c r="R157" s="282" t="str">
        <f t="shared" si="6"/>
        <v/>
      </c>
      <c r="S157" s="13" t="str">
        <f>'2. Détail calcul GES'!AF29</f>
        <v/>
      </c>
      <c r="T157" s="13" t="str">
        <f>'2. Détail calcul GES'!AH29</f>
        <v/>
      </c>
      <c r="U157" s="15" t="str">
        <f>'2. Détail calcul GES'!AN29</f>
        <v/>
      </c>
      <c r="V157" s="9"/>
      <c r="W157" s="117"/>
    </row>
    <row r="158" spans="1:23" ht="15.6">
      <c r="A158" s="27"/>
      <c r="B158" s="16"/>
      <c r="C158" s="28"/>
      <c r="D158" s="12"/>
      <c r="E158" s="266"/>
      <c r="F158" s="251"/>
      <c r="G158" s="251"/>
      <c r="H158" s="251"/>
      <c r="I158" s="251"/>
      <c r="J158" s="251"/>
      <c r="K158" s="16"/>
      <c r="L158" s="16"/>
      <c r="M158" s="242"/>
      <c r="N158" s="16"/>
      <c r="O158" s="12"/>
      <c r="P158" s="12"/>
      <c r="Q158" s="14"/>
      <c r="R158" s="282" t="str">
        <f t="shared" si="6"/>
        <v/>
      </c>
      <c r="S158" s="13" t="str">
        <f>'2. Détail calcul GES'!AF30</f>
        <v/>
      </c>
      <c r="T158" s="13" t="str">
        <f>'2. Détail calcul GES'!AH30</f>
        <v/>
      </c>
      <c r="U158" s="15" t="str">
        <f>'2. Détail calcul GES'!AN30</f>
        <v/>
      </c>
      <c r="V158" s="9"/>
      <c r="W158" s="117"/>
    </row>
    <row r="159" spans="1:23" ht="15.6">
      <c r="A159" s="27"/>
      <c r="B159" s="16"/>
      <c r="C159" s="28"/>
      <c r="D159" s="12"/>
      <c r="E159" s="266"/>
      <c r="F159" s="251"/>
      <c r="G159" s="251"/>
      <c r="H159" s="251"/>
      <c r="I159" s="251"/>
      <c r="J159" s="251"/>
      <c r="K159" s="16"/>
      <c r="L159" s="16"/>
      <c r="M159" s="242"/>
      <c r="N159" s="16"/>
      <c r="O159" s="12"/>
      <c r="P159" s="12"/>
      <c r="Q159" s="14"/>
      <c r="R159" s="282" t="str">
        <f t="shared" si="6"/>
        <v/>
      </c>
      <c r="S159" s="13" t="str">
        <f>'2. Détail calcul GES'!AF31</f>
        <v/>
      </c>
      <c r="T159" s="13" t="str">
        <f>'2. Détail calcul GES'!AH31</f>
        <v/>
      </c>
      <c r="U159" s="15" t="str">
        <f>'2. Détail calcul GES'!AN31</f>
        <v/>
      </c>
      <c r="V159" s="9"/>
      <c r="W159" s="117"/>
    </row>
    <row r="160" spans="1:23" ht="15.6">
      <c r="A160" s="27"/>
      <c r="B160" s="16"/>
      <c r="C160" s="28"/>
      <c r="D160" s="12"/>
      <c r="E160" s="266"/>
      <c r="F160" s="251"/>
      <c r="G160" s="251"/>
      <c r="H160" s="251"/>
      <c r="I160" s="251"/>
      <c r="J160" s="251"/>
      <c r="K160" s="16"/>
      <c r="L160" s="16"/>
      <c r="M160" s="242"/>
      <c r="N160" s="16"/>
      <c r="O160" s="12"/>
      <c r="P160" s="12"/>
      <c r="Q160" s="14"/>
      <c r="R160" s="282" t="str">
        <f t="shared" si="6"/>
        <v/>
      </c>
      <c r="S160" s="13" t="str">
        <f>'2. Détail calcul GES'!AF32</f>
        <v/>
      </c>
      <c r="T160" s="13" t="str">
        <f>'2. Détail calcul GES'!AH32</f>
        <v/>
      </c>
      <c r="U160" s="15" t="str">
        <f>'2. Détail calcul GES'!AN32</f>
        <v/>
      </c>
      <c r="V160" s="9"/>
      <c r="W160" s="117"/>
    </row>
    <row r="161" spans="1:23" ht="15.6">
      <c r="A161" s="27"/>
      <c r="B161" s="16"/>
      <c r="C161" s="28"/>
      <c r="D161" s="12"/>
      <c r="E161" s="266"/>
      <c r="F161" s="251"/>
      <c r="G161" s="251"/>
      <c r="H161" s="251"/>
      <c r="I161" s="251"/>
      <c r="J161" s="251"/>
      <c r="K161" s="16"/>
      <c r="L161" s="16"/>
      <c r="M161" s="242"/>
      <c r="N161" s="16"/>
      <c r="O161" s="12"/>
      <c r="P161" s="12"/>
      <c r="Q161" s="14"/>
      <c r="R161" s="282" t="str">
        <f t="shared" si="6"/>
        <v/>
      </c>
      <c r="S161" s="13" t="str">
        <f>'2. Détail calcul GES'!AF33</f>
        <v/>
      </c>
      <c r="T161" s="13" t="str">
        <f>'2. Détail calcul GES'!AH33</f>
        <v/>
      </c>
      <c r="U161" s="15" t="str">
        <f>'2. Détail calcul GES'!AN33</f>
        <v/>
      </c>
      <c r="V161" s="9"/>
      <c r="W161" s="117"/>
    </row>
    <row r="162" spans="1:23" ht="15.6">
      <c r="A162" s="27"/>
      <c r="B162" s="16"/>
      <c r="C162" s="28"/>
      <c r="D162" s="12"/>
      <c r="E162" s="266"/>
      <c r="F162" s="251"/>
      <c r="G162" s="251"/>
      <c r="H162" s="251"/>
      <c r="I162" s="251"/>
      <c r="J162" s="251"/>
      <c r="K162" s="16"/>
      <c r="L162" s="16"/>
      <c r="M162" s="242"/>
      <c r="N162" s="16"/>
      <c r="O162" s="12"/>
      <c r="P162" s="12"/>
      <c r="Q162" s="14"/>
      <c r="R162" s="282" t="str">
        <f t="shared" si="6"/>
        <v/>
      </c>
      <c r="S162" s="13" t="str">
        <f>'2. Détail calcul GES'!AF34</f>
        <v/>
      </c>
      <c r="T162" s="13" t="str">
        <f>'2. Détail calcul GES'!AH34</f>
        <v/>
      </c>
      <c r="U162" s="15" t="str">
        <f>'2. Détail calcul GES'!AN34</f>
        <v/>
      </c>
      <c r="V162" s="9"/>
      <c r="W162" s="117"/>
    </row>
    <row r="163" spans="1:23" ht="15.6">
      <c r="A163" s="27"/>
      <c r="B163" s="16"/>
      <c r="C163" s="28"/>
      <c r="D163" s="12"/>
      <c r="E163" s="266"/>
      <c r="F163" s="251"/>
      <c r="G163" s="251"/>
      <c r="H163" s="251"/>
      <c r="I163" s="251"/>
      <c r="J163" s="251"/>
      <c r="K163" s="16"/>
      <c r="L163" s="16"/>
      <c r="M163" s="242"/>
      <c r="N163" s="16"/>
      <c r="O163" s="12"/>
      <c r="P163" s="12"/>
      <c r="Q163" s="14"/>
      <c r="R163" s="282" t="str">
        <f t="shared" si="6"/>
        <v/>
      </c>
      <c r="S163" s="13" t="str">
        <f>'2. Détail calcul GES'!AF35</f>
        <v/>
      </c>
      <c r="T163" s="13" t="str">
        <f>'2. Détail calcul GES'!AH35</f>
        <v/>
      </c>
      <c r="U163" s="15" t="str">
        <f>'2. Détail calcul GES'!AN35</f>
        <v/>
      </c>
      <c r="V163" s="9"/>
      <c r="W163" s="117"/>
    </row>
    <row r="164" spans="1:23" ht="15.6">
      <c r="A164" s="27"/>
      <c r="B164" s="16"/>
      <c r="C164" s="28"/>
      <c r="D164" s="12"/>
      <c r="E164" s="266"/>
      <c r="F164" s="251"/>
      <c r="G164" s="251"/>
      <c r="H164" s="251"/>
      <c r="I164" s="251"/>
      <c r="J164" s="251"/>
      <c r="K164" s="16"/>
      <c r="L164" s="16"/>
      <c r="M164" s="242"/>
      <c r="N164" s="16"/>
      <c r="O164" s="12"/>
      <c r="P164" s="12"/>
      <c r="Q164" s="14"/>
      <c r="R164" s="282" t="str">
        <f t="shared" si="6"/>
        <v/>
      </c>
      <c r="S164" s="13" t="str">
        <f>'2. Détail calcul GES'!AF36</f>
        <v/>
      </c>
      <c r="T164" s="13" t="str">
        <f>'2. Détail calcul GES'!AH36</f>
        <v/>
      </c>
      <c r="U164" s="15" t="str">
        <f>'2. Détail calcul GES'!AN36</f>
        <v/>
      </c>
      <c r="V164" s="9"/>
      <c r="W164" s="117"/>
    </row>
    <row r="165" spans="1:23" ht="15.6">
      <c r="A165" s="27"/>
      <c r="B165" s="16"/>
      <c r="C165" s="28"/>
      <c r="D165" s="12"/>
      <c r="E165" s="266"/>
      <c r="F165" s="251"/>
      <c r="G165" s="251"/>
      <c r="H165" s="251"/>
      <c r="I165" s="251"/>
      <c r="J165" s="251"/>
      <c r="K165" s="16"/>
      <c r="L165" s="16"/>
      <c r="M165" s="242"/>
      <c r="N165" s="16"/>
      <c r="O165" s="12"/>
      <c r="P165" s="12"/>
      <c r="Q165" s="14"/>
      <c r="R165" s="282" t="str">
        <f t="shared" si="6"/>
        <v/>
      </c>
      <c r="S165" s="13" t="str">
        <f>'2. Détail calcul GES'!AF37</f>
        <v/>
      </c>
      <c r="T165" s="13" t="str">
        <f>'2. Détail calcul GES'!AH37</f>
        <v/>
      </c>
      <c r="U165" s="15" t="str">
        <f>'2. Détail calcul GES'!AN37</f>
        <v/>
      </c>
      <c r="V165" s="9"/>
      <c r="W165" s="117"/>
    </row>
    <row r="166" spans="1:23" ht="15.6">
      <c r="A166" s="27"/>
      <c r="B166" s="16"/>
      <c r="C166" s="28"/>
      <c r="D166" s="12"/>
      <c r="E166" s="266"/>
      <c r="F166" s="251"/>
      <c r="G166" s="251"/>
      <c r="H166" s="251"/>
      <c r="I166" s="251"/>
      <c r="J166" s="251"/>
      <c r="K166" s="16"/>
      <c r="L166" s="16"/>
      <c r="M166" s="242"/>
      <c r="N166" s="16"/>
      <c r="O166" s="12"/>
      <c r="P166" s="12"/>
      <c r="Q166" s="14"/>
      <c r="R166" s="282" t="str">
        <f t="shared" si="6"/>
        <v/>
      </c>
      <c r="S166" s="13" t="str">
        <f>'2. Détail calcul GES'!AF38</f>
        <v/>
      </c>
      <c r="T166" s="13" t="str">
        <f>'2. Détail calcul GES'!AH38</f>
        <v/>
      </c>
      <c r="U166" s="15" t="str">
        <f>'2. Détail calcul GES'!AN38</f>
        <v/>
      </c>
      <c r="V166" s="9"/>
      <c r="W166" s="117"/>
    </row>
    <row r="167" spans="1:23" ht="15.6">
      <c r="A167" s="27"/>
      <c r="B167" s="16"/>
      <c r="C167" s="28"/>
      <c r="D167" s="12"/>
      <c r="E167" s="266"/>
      <c r="F167" s="251"/>
      <c r="G167" s="251"/>
      <c r="H167" s="251"/>
      <c r="I167" s="251"/>
      <c r="J167" s="251"/>
      <c r="K167" s="16"/>
      <c r="L167" s="16"/>
      <c r="M167" s="242"/>
      <c r="N167" s="16"/>
      <c r="O167" s="12"/>
      <c r="P167" s="12"/>
      <c r="Q167" s="14"/>
      <c r="R167" s="282" t="str">
        <f t="shared" si="6"/>
        <v/>
      </c>
      <c r="S167" s="13" t="str">
        <f>'2. Détail calcul GES'!AF39</f>
        <v/>
      </c>
      <c r="T167" s="13" t="str">
        <f>'2. Détail calcul GES'!AH39</f>
        <v/>
      </c>
      <c r="U167" s="15" t="str">
        <f>'2. Détail calcul GES'!AN39</f>
        <v/>
      </c>
      <c r="V167" s="9"/>
      <c r="W167" s="117"/>
    </row>
    <row r="168" spans="1:23" ht="15.6">
      <c r="A168" s="27"/>
      <c r="B168" s="16"/>
      <c r="C168" s="28"/>
      <c r="D168" s="12"/>
      <c r="E168" s="266"/>
      <c r="F168" s="251"/>
      <c r="G168" s="251"/>
      <c r="H168" s="251"/>
      <c r="I168" s="251"/>
      <c r="J168" s="251"/>
      <c r="K168" s="16"/>
      <c r="L168" s="16"/>
      <c r="M168" s="242"/>
      <c r="N168" s="16"/>
      <c r="O168" s="12"/>
      <c r="P168" s="12"/>
      <c r="Q168" s="14"/>
      <c r="R168" s="282" t="str">
        <f t="shared" si="6"/>
        <v/>
      </c>
      <c r="S168" s="13" t="str">
        <f>'2. Détail calcul GES'!AF40</f>
        <v/>
      </c>
      <c r="T168" s="13" t="str">
        <f>'2. Détail calcul GES'!AH40</f>
        <v/>
      </c>
      <c r="U168" s="15" t="str">
        <f>'2. Détail calcul GES'!AN40</f>
        <v/>
      </c>
      <c r="V168" s="9"/>
      <c r="W168" s="117"/>
    </row>
    <row r="169" spans="1:23" ht="15.6">
      <c r="A169" s="27"/>
      <c r="B169" s="16"/>
      <c r="C169" s="28"/>
      <c r="D169" s="12"/>
      <c r="E169" s="266" t="str">
        <f t="shared" si="7"/>
        <v/>
      </c>
      <c r="F169" s="251"/>
      <c r="G169" s="251"/>
      <c r="H169" s="251"/>
      <c r="I169" s="251"/>
      <c r="J169" s="251"/>
      <c r="K169" s="16"/>
      <c r="L169" s="16"/>
      <c r="M169" s="242"/>
      <c r="N169" s="16"/>
      <c r="O169" s="12"/>
      <c r="P169" s="12"/>
      <c r="Q169" s="14"/>
      <c r="R169" s="282" t="str">
        <f t="shared" si="6"/>
        <v/>
      </c>
      <c r="S169" s="13" t="str">
        <f>'2. Détail calcul GES'!AF41</f>
        <v/>
      </c>
      <c r="T169" s="13" t="str">
        <f>'2. Détail calcul GES'!AH41</f>
        <v/>
      </c>
      <c r="U169" s="15" t="str">
        <f>'2. Détail calcul GES'!AN41</f>
        <v/>
      </c>
      <c r="V169" s="9"/>
      <c r="W169" s="117">
        <f t="shared" si="3"/>
        <v>0</v>
      </c>
    </row>
    <row r="170" spans="1:23" ht="15.6">
      <c r="A170" s="27"/>
      <c r="B170" s="16"/>
      <c r="C170" s="28"/>
      <c r="D170" s="12"/>
      <c r="E170" s="266" t="str">
        <f t="shared" si="7"/>
        <v/>
      </c>
      <c r="F170" s="251"/>
      <c r="G170" s="251"/>
      <c r="H170" s="251"/>
      <c r="I170" s="251"/>
      <c r="J170" s="251"/>
      <c r="K170" s="16"/>
      <c r="L170" s="16"/>
      <c r="M170" s="242"/>
      <c r="N170" s="16"/>
      <c r="O170" s="12"/>
      <c r="P170" s="12"/>
      <c r="Q170" s="14"/>
      <c r="R170" s="282" t="str">
        <f t="shared" si="6"/>
        <v/>
      </c>
      <c r="S170" s="13" t="str">
        <f>'2. Détail calcul GES'!AF42</f>
        <v/>
      </c>
      <c r="T170" s="13" t="str">
        <f>'2. Détail calcul GES'!AH42</f>
        <v/>
      </c>
      <c r="U170" s="15" t="str">
        <f>'2. Détail calcul GES'!AN42</f>
        <v/>
      </c>
      <c r="V170" s="9"/>
      <c r="W170" s="117">
        <f t="shared" si="3"/>
        <v>0</v>
      </c>
    </row>
    <row r="171" spans="1:23" ht="15.6">
      <c r="A171" s="27"/>
      <c r="B171" s="16"/>
      <c r="C171" s="28"/>
      <c r="D171" s="12"/>
      <c r="E171" s="266" t="str">
        <f t="shared" si="7"/>
        <v/>
      </c>
      <c r="F171" s="251"/>
      <c r="G171" s="251"/>
      <c r="H171" s="251"/>
      <c r="I171" s="251"/>
      <c r="J171" s="251"/>
      <c r="K171" s="16"/>
      <c r="L171" s="16"/>
      <c r="M171" s="242"/>
      <c r="N171" s="16"/>
      <c r="O171" s="12"/>
      <c r="P171" s="12"/>
      <c r="Q171" s="14"/>
      <c r="R171" s="282" t="str">
        <f t="shared" si="6"/>
        <v/>
      </c>
      <c r="S171" s="13" t="str">
        <f>'2. Détail calcul GES'!AF43</f>
        <v/>
      </c>
      <c r="T171" s="13" t="str">
        <f>'2. Détail calcul GES'!AH43</f>
        <v/>
      </c>
      <c r="U171" s="15" t="str">
        <f>'2. Détail calcul GES'!AN43</f>
        <v/>
      </c>
      <c r="V171" s="9"/>
      <c r="W171" s="117">
        <f t="shared" si="3"/>
        <v>0</v>
      </c>
    </row>
    <row r="172" spans="1:23" ht="15.6">
      <c r="A172" s="27"/>
      <c r="B172" s="16"/>
      <c r="C172" s="28"/>
      <c r="D172" s="12"/>
      <c r="E172" s="266" t="str">
        <f t="shared" si="7"/>
        <v/>
      </c>
      <c r="F172" s="251"/>
      <c r="G172" s="251"/>
      <c r="H172" s="251"/>
      <c r="I172" s="251"/>
      <c r="J172" s="251"/>
      <c r="K172" s="16"/>
      <c r="L172" s="16"/>
      <c r="M172" s="242"/>
      <c r="N172" s="16"/>
      <c r="O172" s="12"/>
      <c r="P172" s="12"/>
      <c r="Q172" s="14"/>
      <c r="R172" s="282" t="str">
        <f t="shared" si="6"/>
        <v/>
      </c>
      <c r="S172" s="13" t="str">
        <f>'2. Détail calcul GES'!AF44</f>
        <v/>
      </c>
      <c r="T172" s="13" t="str">
        <f>'2. Détail calcul GES'!AH44</f>
        <v/>
      </c>
      <c r="U172" s="15" t="str">
        <f>'2. Détail calcul GES'!AN44</f>
        <v/>
      </c>
      <c r="V172" s="9"/>
      <c r="W172" s="117">
        <f t="shared" si="3"/>
        <v>0</v>
      </c>
    </row>
    <row r="173" spans="1:23" ht="15.6">
      <c r="A173" s="27"/>
      <c r="B173" s="16"/>
      <c r="C173" s="28"/>
      <c r="D173" s="12"/>
      <c r="E173" s="266" t="str">
        <f t="shared" si="7"/>
        <v/>
      </c>
      <c r="F173" s="251"/>
      <c r="G173" s="251"/>
      <c r="H173" s="251"/>
      <c r="I173" s="251"/>
      <c r="J173" s="251"/>
      <c r="K173" s="16"/>
      <c r="L173" s="16"/>
      <c r="M173" s="242"/>
      <c r="N173" s="16"/>
      <c r="O173" s="12"/>
      <c r="P173" s="12"/>
      <c r="Q173" s="14"/>
      <c r="R173" s="282" t="str">
        <f t="shared" si="6"/>
        <v/>
      </c>
      <c r="S173" s="13" t="str">
        <f>'2. Détail calcul GES'!AF45</f>
        <v/>
      </c>
      <c r="T173" s="13" t="str">
        <f>'2. Détail calcul GES'!AH45</f>
        <v/>
      </c>
      <c r="U173" s="15" t="str">
        <f>'2. Détail calcul GES'!AN45</f>
        <v/>
      </c>
      <c r="V173" s="9"/>
      <c r="W173" s="117">
        <f t="shared" si="3"/>
        <v>0</v>
      </c>
    </row>
    <row r="174" spans="1:23" ht="15.6">
      <c r="A174" s="27"/>
      <c r="B174" s="16"/>
      <c r="C174" s="28"/>
      <c r="D174" s="12"/>
      <c r="E174" s="266" t="str">
        <f t="shared" si="7"/>
        <v/>
      </c>
      <c r="F174" s="251"/>
      <c r="G174" s="251"/>
      <c r="H174" s="251"/>
      <c r="I174" s="251"/>
      <c r="J174" s="251"/>
      <c r="K174" s="16"/>
      <c r="L174" s="16"/>
      <c r="M174" s="242"/>
      <c r="N174" s="16"/>
      <c r="O174" s="12"/>
      <c r="P174" s="12"/>
      <c r="Q174" s="14"/>
      <c r="R174" s="282" t="str">
        <f t="shared" si="6"/>
        <v/>
      </c>
      <c r="S174" s="13" t="str">
        <f>'2. Détail calcul GES'!AF46</f>
        <v/>
      </c>
      <c r="T174" s="13" t="str">
        <f>'2. Détail calcul GES'!AH46</f>
        <v/>
      </c>
      <c r="U174" s="15" t="str">
        <f>'2. Détail calcul GES'!AN46</f>
        <v/>
      </c>
      <c r="V174" s="9"/>
      <c r="W174" s="117">
        <f t="shared" si="3"/>
        <v>0</v>
      </c>
    </row>
    <row r="175" spans="1:23" ht="15.6">
      <c r="A175" s="27"/>
      <c r="B175" s="16"/>
      <c r="C175" s="28"/>
      <c r="D175" s="12"/>
      <c r="E175" s="266" t="str">
        <f t="shared" si="7"/>
        <v/>
      </c>
      <c r="F175" s="251"/>
      <c r="G175" s="251"/>
      <c r="H175" s="251"/>
      <c r="I175" s="251"/>
      <c r="J175" s="251"/>
      <c r="K175" s="16"/>
      <c r="L175" s="16"/>
      <c r="M175" s="242"/>
      <c r="N175" s="16"/>
      <c r="O175" s="12"/>
      <c r="P175" s="12"/>
      <c r="Q175" s="14"/>
      <c r="R175" s="282" t="str">
        <f t="shared" si="6"/>
        <v/>
      </c>
      <c r="S175" s="13" t="str">
        <f>'2. Détail calcul GES'!AF47</f>
        <v/>
      </c>
      <c r="T175" s="13" t="str">
        <f>'2. Détail calcul GES'!AH47</f>
        <v/>
      </c>
      <c r="U175" s="15" t="str">
        <f>'2. Détail calcul GES'!AN47</f>
        <v/>
      </c>
      <c r="V175" s="9"/>
      <c r="W175" s="117">
        <f t="shared" si="3"/>
        <v>0</v>
      </c>
    </row>
    <row r="176" spans="1:23" ht="15.6">
      <c r="A176" s="27"/>
      <c r="B176" s="16"/>
      <c r="C176" s="28"/>
      <c r="D176" s="12"/>
      <c r="E176" s="266" t="str">
        <f t="shared" si="7"/>
        <v/>
      </c>
      <c r="F176" s="251"/>
      <c r="G176" s="251"/>
      <c r="H176" s="251"/>
      <c r="I176" s="251"/>
      <c r="J176" s="251"/>
      <c r="K176" s="16"/>
      <c r="L176" s="16"/>
      <c r="M176" s="242"/>
      <c r="N176" s="16"/>
      <c r="O176" s="12"/>
      <c r="P176" s="12"/>
      <c r="Q176" s="14"/>
      <c r="R176" s="282" t="str">
        <f t="shared" si="6"/>
        <v/>
      </c>
      <c r="S176" s="13" t="str">
        <f>'2. Détail calcul GES'!AF48</f>
        <v/>
      </c>
      <c r="T176" s="13" t="str">
        <f>'2. Détail calcul GES'!AH48</f>
        <v/>
      </c>
      <c r="U176" s="15" t="str">
        <f>'2. Détail calcul GES'!AN48</f>
        <v/>
      </c>
      <c r="V176" s="9"/>
      <c r="W176" s="117">
        <f t="shared" si="3"/>
        <v>0</v>
      </c>
    </row>
    <row r="177" spans="1:23" ht="15.6">
      <c r="A177" s="27"/>
      <c r="B177" s="16"/>
      <c r="C177" s="28"/>
      <c r="D177" s="12"/>
      <c r="E177" s="266" t="str">
        <f t="shared" si="7"/>
        <v/>
      </c>
      <c r="F177" s="251"/>
      <c r="G177" s="251"/>
      <c r="H177" s="251"/>
      <c r="I177" s="251"/>
      <c r="J177" s="251"/>
      <c r="K177" s="16"/>
      <c r="L177" s="16"/>
      <c r="M177" s="242"/>
      <c r="N177" s="16"/>
      <c r="O177" s="12"/>
      <c r="P177" s="12"/>
      <c r="Q177" s="14"/>
      <c r="R177" s="282" t="str">
        <f t="shared" si="6"/>
        <v/>
      </c>
      <c r="S177" s="13" t="str">
        <f>'2. Détail calcul GES'!AF49</f>
        <v/>
      </c>
      <c r="T177" s="13" t="str">
        <f>'2. Détail calcul GES'!AH49</f>
        <v/>
      </c>
      <c r="U177" s="15" t="str">
        <f>'2. Détail calcul GES'!AN49</f>
        <v/>
      </c>
      <c r="V177" s="9"/>
      <c r="W177" s="117">
        <f t="shared" si="3"/>
        <v>0</v>
      </c>
    </row>
    <row r="178" spans="1:23" ht="15.6">
      <c r="A178" s="27"/>
      <c r="B178" s="16"/>
      <c r="C178" s="28"/>
      <c r="D178" s="12"/>
      <c r="E178" s="266" t="str">
        <f t="shared" si="7"/>
        <v/>
      </c>
      <c r="F178" s="251"/>
      <c r="G178" s="251"/>
      <c r="H178" s="251"/>
      <c r="I178" s="251"/>
      <c r="J178" s="251"/>
      <c r="K178" s="16"/>
      <c r="L178" s="16"/>
      <c r="M178" s="242"/>
      <c r="N178" s="16"/>
      <c r="O178" s="12"/>
      <c r="P178" s="12"/>
      <c r="Q178" s="14"/>
      <c r="R178" s="282" t="str">
        <f t="shared" si="6"/>
        <v/>
      </c>
      <c r="S178" s="13" t="str">
        <f>'2. Détail calcul GES'!AF50</f>
        <v/>
      </c>
      <c r="T178" s="13" t="str">
        <f>'2. Détail calcul GES'!AH50</f>
        <v/>
      </c>
      <c r="U178" s="15" t="str">
        <f>'2. Détail calcul GES'!AN50</f>
        <v/>
      </c>
      <c r="V178" s="9"/>
      <c r="W178" s="117">
        <f t="shared" si="3"/>
        <v>0</v>
      </c>
    </row>
    <row r="179" spans="1:23" ht="15.6">
      <c r="A179" s="27"/>
      <c r="B179" s="16"/>
      <c r="C179" s="28"/>
      <c r="D179" s="12"/>
      <c r="E179" s="266" t="str">
        <f t="shared" si="7"/>
        <v/>
      </c>
      <c r="F179" s="251"/>
      <c r="G179" s="251"/>
      <c r="H179" s="251"/>
      <c r="I179" s="251"/>
      <c r="J179" s="251"/>
      <c r="K179" s="16"/>
      <c r="L179" s="16"/>
      <c r="M179" s="242"/>
      <c r="N179" s="16"/>
      <c r="O179" s="12"/>
      <c r="P179" s="12"/>
      <c r="Q179" s="14"/>
      <c r="R179" s="282" t="str">
        <f t="shared" si="6"/>
        <v/>
      </c>
      <c r="S179" s="13" t="str">
        <f>'2. Détail calcul GES'!AF51</f>
        <v/>
      </c>
      <c r="T179" s="13" t="str">
        <f>'2. Détail calcul GES'!AH51</f>
        <v/>
      </c>
      <c r="U179" s="15" t="str">
        <f>'2. Détail calcul GES'!AN51</f>
        <v/>
      </c>
      <c r="V179" s="9"/>
      <c r="W179" s="117">
        <f t="shared" si="3"/>
        <v>0</v>
      </c>
    </row>
    <row r="180" spans="1:23" ht="15.6">
      <c r="A180" s="27"/>
      <c r="B180" s="16"/>
      <c r="C180" s="28"/>
      <c r="D180" s="12"/>
      <c r="E180" s="266" t="str">
        <f t="shared" si="7"/>
        <v/>
      </c>
      <c r="F180" s="251"/>
      <c r="G180" s="251"/>
      <c r="H180" s="251"/>
      <c r="I180" s="251"/>
      <c r="J180" s="251"/>
      <c r="K180" s="16"/>
      <c r="L180" s="16"/>
      <c r="M180" s="242"/>
      <c r="N180" s="16"/>
      <c r="O180" s="12"/>
      <c r="P180" s="12"/>
      <c r="Q180" s="14"/>
      <c r="R180" s="282" t="str">
        <f t="shared" si="6"/>
        <v/>
      </c>
      <c r="S180" s="13" t="str">
        <f>'2. Détail calcul GES'!AF52</f>
        <v/>
      </c>
      <c r="T180" s="13" t="str">
        <f>'2. Détail calcul GES'!AH52</f>
        <v/>
      </c>
      <c r="U180" s="15" t="str">
        <f>'2. Détail calcul GES'!AN52</f>
        <v/>
      </c>
      <c r="V180" s="9"/>
      <c r="W180" s="117">
        <f t="shared" si="3"/>
        <v>0</v>
      </c>
    </row>
    <row r="181" spans="1:23" ht="15.6">
      <c r="A181" s="27"/>
      <c r="B181" s="16"/>
      <c r="C181" s="28"/>
      <c r="D181" s="12"/>
      <c r="E181" s="266" t="str">
        <f t="shared" si="7"/>
        <v/>
      </c>
      <c r="F181" s="251"/>
      <c r="G181" s="251"/>
      <c r="H181" s="251"/>
      <c r="I181" s="251"/>
      <c r="J181" s="251"/>
      <c r="K181" s="16"/>
      <c r="L181" s="16"/>
      <c r="M181" s="242"/>
      <c r="N181" s="16"/>
      <c r="O181" s="12"/>
      <c r="P181" s="12"/>
      <c r="Q181" s="14"/>
      <c r="R181" s="282" t="str">
        <f t="shared" si="6"/>
        <v/>
      </c>
      <c r="S181" s="13" t="str">
        <f>'2. Détail calcul GES'!AF53</f>
        <v/>
      </c>
      <c r="T181" s="13" t="str">
        <f>'2. Détail calcul GES'!AH53</f>
        <v/>
      </c>
      <c r="U181" s="15" t="str">
        <f>'2. Détail calcul GES'!AN53</f>
        <v/>
      </c>
      <c r="V181" s="9"/>
      <c r="W181" s="117">
        <f t="shared" si="3"/>
        <v>0</v>
      </c>
    </row>
    <row r="182" spans="1:23" ht="15.6">
      <c r="A182" s="27"/>
      <c r="B182" s="16"/>
      <c r="C182" s="28"/>
      <c r="D182" s="12"/>
      <c r="E182" s="266" t="str">
        <f t="shared" si="7"/>
        <v/>
      </c>
      <c r="F182" s="251"/>
      <c r="G182" s="251"/>
      <c r="H182" s="251"/>
      <c r="I182" s="251"/>
      <c r="J182" s="251"/>
      <c r="K182" s="16"/>
      <c r="L182" s="16"/>
      <c r="M182" s="242"/>
      <c r="N182" s="16"/>
      <c r="O182" s="12"/>
      <c r="P182" s="12"/>
      <c r="Q182" s="14"/>
      <c r="R182" s="282" t="str">
        <f t="shared" si="6"/>
        <v/>
      </c>
      <c r="S182" s="13" t="str">
        <f>'2. Détail calcul GES'!AF54</f>
        <v/>
      </c>
      <c r="T182" s="13" t="str">
        <f>'2. Détail calcul GES'!AH54</f>
        <v/>
      </c>
      <c r="U182" s="15" t="str">
        <f>'2. Détail calcul GES'!AN54</f>
        <v/>
      </c>
      <c r="V182" s="9"/>
      <c r="W182" s="117">
        <f t="shared" si="3"/>
        <v>0</v>
      </c>
    </row>
    <row r="183" spans="1:23" ht="15.6">
      <c r="A183" s="27"/>
      <c r="B183" s="16"/>
      <c r="C183" s="28"/>
      <c r="D183" s="12"/>
      <c r="E183" s="266" t="str">
        <f t="shared" si="7"/>
        <v/>
      </c>
      <c r="F183" s="251"/>
      <c r="G183" s="251"/>
      <c r="H183" s="251"/>
      <c r="I183" s="251"/>
      <c r="J183" s="251"/>
      <c r="K183" s="16"/>
      <c r="L183" s="16"/>
      <c r="M183" s="242"/>
      <c r="N183" s="16"/>
      <c r="O183" s="12"/>
      <c r="P183" s="12"/>
      <c r="Q183" s="14"/>
      <c r="R183" s="282" t="str">
        <f t="shared" si="6"/>
        <v/>
      </c>
      <c r="S183" s="13" t="str">
        <f>'2. Détail calcul GES'!AF55</f>
        <v/>
      </c>
      <c r="T183" s="13" t="str">
        <f>'2. Détail calcul GES'!AH55</f>
        <v/>
      </c>
      <c r="U183" s="15" t="str">
        <f>'2. Détail calcul GES'!AN55</f>
        <v/>
      </c>
      <c r="V183" s="9"/>
      <c r="W183" s="117">
        <f t="shared" si="3"/>
        <v>0</v>
      </c>
    </row>
    <row r="184" spans="1:23" ht="15.6">
      <c r="A184" s="27"/>
      <c r="B184" s="16"/>
      <c r="C184" s="28"/>
      <c r="D184" s="12"/>
      <c r="E184" s="266" t="str">
        <f t="shared" si="7"/>
        <v/>
      </c>
      <c r="F184" s="251"/>
      <c r="G184" s="251"/>
      <c r="H184" s="251"/>
      <c r="I184" s="251"/>
      <c r="J184" s="251"/>
      <c r="K184" s="16"/>
      <c r="L184" s="16"/>
      <c r="M184" s="242"/>
      <c r="N184" s="16"/>
      <c r="O184" s="12"/>
      <c r="P184" s="12"/>
      <c r="Q184" s="14"/>
      <c r="R184" s="282" t="str">
        <f t="shared" si="6"/>
        <v/>
      </c>
      <c r="S184" s="13" t="str">
        <f>'2. Détail calcul GES'!AF56</f>
        <v/>
      </c>
      <c r="T184" s="13" t="str">
        <f>'2. Détail calcul GES'!AH56</f>
        <v/>
      </c>
      <c r="U184" s="15" t="str">
        <f>'2. Détail calcul GES'!AN56</f>
        <v/>
      </c>
      <c r="V184" s="9"/>
      <c r="W184" s="117">
        <f t="shared" si="3"/>
        <v>0</v>
      </c>
    </row>
    <row r="185" spans="1:23" ht="15.6">
      <c r="A185" s="27"/>
      <c r="B185" s="16"/>
      <c r="C185" s="28"/>
      <c r="D185" s="12"/>
      <c r="E185" s="266" t="str">
        <f t="shared" si="7"/>
        <v/>
      </c>
      <c r="F185" s="251"/>
      <c r="G185" s="251"/>
      <c r="H185" s="251"/>
      <c r="I185" s="251"/>
      <c r="J185" s="251"/>
      <c r="K185" s="16"/>
      <c r="L185" s="16"/>
      <c r="M185" s="242"/>
      <c r="N185" s="16"/>
      <c r="O185" s="12"/>
      <c r="P185" s="12"/>
      <c r="Q185" s="14"/>
      <c r="R185" s="282" t="str">
        <f t="shared" si="6"/>
        <v/>
      </c>
      <c r="S185" s="13" t="str">
        <f>'2. Détail calcul GES'!AF57</f>
        <v/>
      </c>
      <c r="T185" s="13" t="str">
        <f>'2. Détail calcul GES'!AH57</f>
        <v/>
      </c>
      <c r="U185" s="15" t="str">
        <f>'2. Détail calcul GES'!AN57</f>
        <v/>
      </c>
      <c r="V185" s="9"/>
      <c r="W185" s="117">
        <f t="shared" si="3"/>
        <v>0</v>
      </c>
    </row>
    <row r="186" spans="1:23" ht="15.6">
      <c r="A186" s="27"/>
      <c r="B186" s="16"/>
      <c r="C186" s="28"/>
      <c r="D186" s="12"/>
      <c r="E186" s="266" t="str">
        <f t="shared" si="7"/>
        <v/>
      </c>
      <c r="F186" s="251"/>
      <c r="G186" s="251"/>
      <c r="H186" s="251"/>
      <c r="I186" s="251"/>
      <c r="J186" s="251"/>
      <c r="K186" s="16"/>
      <c r="L186" s="16"/>
      <c r="M186" s="242"/>
      <c r="N186" s="16"/>
      <c r="O186" s="12"/>
      <c r="P186" s="12"/>
      <c r="Q186" s="14"/>
      <c r="R186" s="282" t="str">
        <f t="shared" si="6"/>
        <v/>
      </c>
      <c r="S186" s="13" t="str">
        <f>'2. Détail calcul GES'!AF58</f>
        <v/>
      </c>
      <c r="T186" s="13" t="str">
        <f>'2. Détail calcul GES'!AH58</f>
        <v/>
      </c>
      <c r="U186" s="15" t="str">
        <f>'2. Détail calcul GES'!AN58</f>
        <v/>
      </c>
      <c r="V186" s="9"/>
      <c r="W186" s="117">
        <f t="shared" si="3"/>
        <v>0</v>
      </c>
    </row>
    <row r="187" spans="1:23" ht="15.6">
      <c r="A187" s="27"/>
      <c r="B187" s="16"/>
      <c r="C187" s="28"/>
      <c r="D187" s="12"/>
      <c r="E187" s="266" t="str">
        <f t="shared" si="7"/>
        <v/>
      </c>
      <c r="F187" s="251"/>
      <c r="G187" s="251"/>
      <c r="H187" s="251"/>
      <c r="I187" s="251"/>
      <c r="J187" s="251"/>
      <c r="K187" s="16"/>
      <c r="L187" s="16"/>
      <c r="M187" s="242"/>
      <c r="N187" s="16"/>
      <c r="O187" s="12"/>
      <c r="P187" s="12"/>
      <c r="Q187" s="14"/>
      <c r="R187" s="282" t="str">
        <f t="shared" si="6"/>
        <v/>
      </c>
      <c r="S187" s="13" t="str">
        <f>'2. Détail calcul GES'!AF59</f>
        <v/>
      </c>
      <c r="T187" s="13" t="str">
        <f>'2. Détail calcul GES'!AH59</f>
        <v/>
      </c>
      <c r="U187" s="15" t="str">
        <f>'2. Détail calcul GES'!AN59</f>
        <v/>
      </c>
      <c r="V187" s="9"/>
      <c r="W187" s="117">
        <f t="shared" si="3"/>
        <v>0</v>
      </c>
    </row>
    <row r="188" spans="1:23" ht="15.6">
      <c r="A188" s="27"/>
      <c r="B188" s="16"/>
      <c r="C188" s="28"/>
      <c r="D188" s="12"/>
      <c r="E188" s="266" t="str">
        <f t="shared" si="7"/>
        <v/>
      </c>
      <c r="F188" s="251"/>
      <c r="G188" s="251"/>
      <c r="H188" s="251"/>
      <c r="I188" s="251"/>
      <c r="J188" s="251"/>
      <c r="K188" s="16"/>
      <c r="L188" s="16"/>
      <c r="M188" s="242"/>
      <c r="N188" s="16"/>
      <c r="O188" s="12"/>
      <c r="P188" s="12"/>
      <c r="Q188" s="14"/>
      <c r="R188" s="282" t="str">
        <f t="shared" si="6"/>
        <v/>
      </c>
      <c r="S188" s="13" t="str">
        <f>'2. Détail calcul GES'!AF60</f>
        <v/>
      </c>
      <c r="T188" s="13" t="str">
        <f>'2. Détail calcul GES'!AH60</f>
        <v/>
      </c>
      <c r="U188" s="15" t="str">
        <f>'2. Détail calcul GES'!AN60</f>
        <v/>
      </c>
      <c r="V188" s="9"/>
      <c r="W188" s="117">
        <f t="shared" si="3"/>
        <v>0</v>
      </c>
    </row>
    <row r="189" spans="1:23">
      <c r="A189" s="215" t="s">
        <v>330</v>
      </c>
      <c r="B189" s="215">
        <f>COUNTIFS($A132:$A188,"&lt;&gt;",U132:U188,"&lt;&gt;Pas de critère à respecter",S132:S188,0,T132:T188,0)+COUNTIFS($A132:$A188,"&lt;&gt;",U132:U188,"&lt;&gt;Pas de critère à respecter",S132:S188,NA(),T132:T188,NA())</f>
        <v>0</v>
      </c>
      <c r="C189" s="215"/>
      <c r="D189" s="215"/>
      <c r="E189" s="215">
        <f>IF(SUM(E132:E188)&gt;0,1,0)</f>
        <v>0</v>
      </c>
      <c r="F189" s="215"/>
      <c r="G189" s="215"/>
      <c r="H189" s="215"/>
      <c r="I189" s="215"/>
      <c r="J189" s="215"/>
      <c r="K189" s="215"/>
      <c r="L189" s="215"/>
      <c r="M189" s="215"/>
      <c r="N189" s="215"/>
      <c r="O189" s="215"/>
      <c r="P189" s="215"/>
      <c r="Q189" s="215"/>
      <c r="R189" s="215"/>
      <c r="S189" s="215"/>
      <c r="T189" s="215"/>
      <c r="U189" s="215">
        <f>IF('0. Installation'!B2="Cogénération",COUNTIF(U6:U188,"Elec. : oui / Chaleur : non")+COUNTIF(U6:U188,"Elec. : non / Chaleur : oui")+COUNTIF(U6:U188,"Elec. : non / Chaleur : non"),
IF('0. Installation'!B2="Electricité seule",COUNTIF(U6:U188,"Elec. : non / Chaleur : oui")+COUNTIF(U6:U188,"Elec. : non / Chaleur : non"),
COUNTIF(U6:U188,"Elec. : oui / Chaleur : non")+COUNTIF(U6:U188,"Elec. : non / Chaleur : non")))</f>
        <v>0</v>
      </c>
    </row>
    <row r="190" spans="1:23" ht="15" thickBot="1">
      <c r="A190" s="215" t="s">
        <v>331</v>
      </c>
      <c r="B190" s="215">
        <f>COUNTIF(A132:A188,"Graisses de station d’épuration")+COUNTIF(A132:A188,"Déchets IAA liquides (&lt;20% MS)")+COUNTIF(A132:A188,"Déchets liquides industriels")+COUNTIF(A132:A188,"Autre type de bioliquide (préciser)")</f>
        <v>0</v>
      </c>
      <c r="C190" s="215">
        <f>COUNTIFS(A132:A188,"Graisses de station d’épuration",S132:S188,NA())+COUNTIFS(A132:A188,"Graisses de station d’épuration",S132:S188,0,T132:T188,0)
+COUNTIFS(A132:A188,"Déchets IAA liquides (&lt;20% MS)",S132:S188,NA())+COUNTIFS(A132:A188,"Déchets IAA liquides (&lt;20% MS)",S132:S188,0,T132:T188,0)
+COUNTIFS(A132:A188,"Déchets liquides industriels",S132:S188,NA())+COUNTIFS(A132:A188,"Déchets liquides industriels",S132:S188,0,T132:T188,0)
+COUNTIFS(A132:A188,"Autre type de bioliquide (préciser)",S132:S188,NA())+COUNTIFS(A132:A188,"Autre type de bioliquide (préciser)",S132:S188,0,T132:T188,0)</f>
        <v>0</v>
      </c>
    </row>
    <row r="191" spans="1:23" ht="21.6" thickBot="1">
      <c r="A191" s="106" t="s">
        <v>75</v>
      </c>
      <c r="B191" s="29"/>
      <c r="C191" s="29"/>
      <c r="D191" s="29"/>
      <c r="E191" s="30">
        <f>SUM(E6:E67,E97:E126,E132:E188)</f>
        <v>0</v>
      </c>
      <c r="F191" s="250"/>
      <c r="G191" s="250"/>
      <c r="H191" s="250"/>
      <c r="I191" s="250"/>
      <c r="J191" s="250"/>
      <c r="K191" s="250"/>
      <c r="L191" s="250"/>
      <c r="M191" s="250"/>
      <c r="N191" s="250"/>
      <c r="O191" s="29"/>
      <c r="P191" s="29"/>
      <c r="Q191" s="29"/>
      <c r="R191" s="29"/>
      <c r="S191" s="29"/>
      <c r="T191" s="29"/>
      <c r="U191" s="29"/>
      <c r="V191" s="31"/>
    </row>
  </sheetData>
  <mergeCells count="36">
    <mergeCell ref="S130:T130"/>
    <mergeCell ref="F130:L130"/>
    <mergeCell ref="B62:B65"/>
    <mergeCell ref="O95:P95"/>
    <mergeCell ref="Q95:R95"/>
    <mergeCell ref="S95:T95"/>
    <mergeCell ref="F95:L95"/>
    <mergeCell ref="O70:P70"/>
    <mergeCell ref="F70:L70"/>
    <mergeCell ref="A129:U129"/>
    <mergeCell ref="A69:U69"/>
    <mergeCell ref="A94:U94"/>
    <mergeCell ref="A42:A65"/>
    <mergeCell ref="B42:B45"/>
    <mergeCell ref="B54:B57"/>
    <mergeCell ref="B58:B61"/>
    <mergeCell ref="A10:A21"/>
    <mergeCell ref="B10:B13"/>
    <mergeCell ref="B18:B21"/>
    <mergeCell ref="A3:U3"/>
    <mergeCell ref="A1:U1"/>
    <mergeCell ref="A6:A9"/>
    <mergeCell ref="B6:B9"/>
    <mergeCell ref="O4:P4"/>
    <mergeCell ref="Q4:R4"/>
    <mergeCell ref="F4:L4"/>
    <mergeCell ref="B14:B17"/>
    <mergeCell ref="B46:B49"/>
    <mergeCell ref="B50:B53"/>
    <mergeCell ref="A22:A29"/>
    <mergeCell ref="B22:B25"/>
    <mergeCell ref="B26:B29"/>
    <mergeCell ref="A30:A41"/>
    <mergeCell ref="B30:B33"/>
    <mergeCell ref="B34:B37"/>
    <mergeCell ref="B38:B41"/>
  </mergeCells>
  <phoneticPr fontId="4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2E76F0D-44DA-4EE0-9A43-9E83371D3430}">
          <x14:formula1>
            <xm:f>Listes!$I$42:$I$46</xm:f>
          </x14:formula1>
          <xm:sqref>D72:D91</xm:sqref>
        </x14:dataValidation>
        <x14:dataValidation type="list" allowBlank="1" showInputMessage="1" showErrorMessage="1" xr:uid="{72A480B2-C6B7-430E-BD82-F0A8A0BC145B}">
          <x14:formula1>
            <xm:f>Listes!$A$17:$A$36</xm:f>
          </x14:formula1>
          <xm:sqref>A72:A91</xm:sqref>
        </x14:dataValidation>
        <x14:dataValidation type="list" allowBlank="1" showInputMessage="1" showErrorMessage="1" xr:uid="{B865B274-4713-4A53-A6B1-70A76F83ABD2}">
          <x14:formula1>
            <xm:f>Listes!$I$34:$I$39</xm:f>
          </x14:formula1>
          <xm:sqref>B72:B91</xm:sqref>
        </x14:dataValidation>
        <x14:dataValidation type="list" allowBlank="1" showInputMessage="1" showErrorMessage="1" xr:uid="{C9ADC068-FC8A-4475-BC18-69D39B601F4D}">
          <x14:formula1>
            <xm:f>Listes!$A$71:$A$92</xm:f>
          </x14:formula1>
          <xm:sqref>A132:A188</xm:sqref>
        </x14:dataValidation>
        <x14:dataValidation type="list" allowBlank="1" showInputMessage="1" showErrorMessage="1" xr:uid="{F633B40B-AF79-44DA-B29B-0ECADCBFFD38}">
          <x14:formula1>
            <xm:f>Listes!$A$39:$A$68</xm:f>
          </x14:formula1>
          <xm:sqref>A97:A126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682A-B166-46FF-9EDB-8C0489ABCF8E}">
  <dimension ref="A1:AQ61"/>
  <sheetViews>
    <sheetView zoomScale="85" zoomScaleNormal="85" workbookViewId="0">
      <selection activeCell="B3" sqref="B3"/>
    </sheetView>
  </sheetViews>
  <sheetFormatPr baseColWidth="10" defaultRowHeight="14.4"/>
  <cols>
    <col min="1" max="1" width="14.33203125" customWidth="1"/>
    <col min="2" max="2" width="31.5546875" customWidth="1"/>
    <col min="3" max="3" width="8.33203125" style="297" customWidth="1"/>
    <col min="4" max="12" width="5.88671875" customWidth="1"/>
    <col min="13" max="13" width="15.6640625" customWidth="1"/>
    <col min="14" max="14" width="5.88671875" customWidth="1"/>
    <col min="15" max="15" width="7.21875" customWidth="1"/>
    <col min="16" max="16" width="5.88671875" customWidth="1"/>
    <col min="17" max="17" width="18.44140625" customWidth="1"/>
    <col min="18" max="18" width="5.88671875" customWidth="1"/>
    <col min="19" max="19" width="17.88671875" customWidth="1"/>
    <col min="20" max="23" width="5.88671875" customWidth="1"/>
    <col min="24" max="24" width="12.44140625" customWidth="1"/>
    <col min="25" max="25" width="7" customWidth="1"/>
    <col min="26" max="26" width="7.33203125" customWidth="1"/>
    <col min="27" max="27" width="8.5546875" customWidth="1"/>
    <col min="28" max="28" width="14.5546875" customWidth="1"/>
    <col min="29" max="29" width="15.5546875" customWidth="1"/>
    <col min="30" max="30" width="19.88671875" customWidth="1"/>
    <col min="31" max="31" width="15.44140625" customWidth="1"/>
    <col min="32" max="32" width="14.44140625" customWidth="1"/>
    <col min="33" max="34" width="15.109375" customWidth="1"/>
    <col min="35" max="35" width="27.6640625" customWidth="1"/>
    <col min="36" max="39" width="14.33203125" customWidth="1"/>
    <col min="40" max="40" width="24.5546875" customWidth="1"/>
    <col min="41" max="41" width="55.88671875" customWidth="1"/>
    <col min="42" max="42" width="60.5546875" customWidth="1"/>
    <col min="43" max="43" width="17" style="115" customWidth="1"/>
  </cols>
  <sheetData>
    <row r="1" spans="1:43" ht="30.75" customHeight="1" thickBot="1">
      <c r="A1" s="286" t="s">
        <v>151</v>
      </c>
      <c r="B1" s="340" t="s">
        <v>383</v>
      </c>
      <c r="C1" s="341"/>
      <c r="D1" s="342" t="s">
        <v>152</v>
      </c>
      <c r="E1" s="343"/>
      <c r="F1" s="343"/>
      <c r="G1" s="343"/>
      <c r="H1" s="343"/>
      <c r="I1" s="343"/>
      <c r="J1" s="343"/>
      <c r="K1" s="343"/>
      <c r="L1" s="343"/>
      <c r="M1" s="343"/>
      <c r="N1" s="343"/>
      <c r="O1" s="343"/>
      <c r="P1" s="343"/>
      <c r="Q1" s="343"/>
      <c r="R1" s="343"/>
      <c r="S1" s="343"/>
      <c r="T1" s="343"/>
      <c r="U1" s="343"/>
      <c r="V1" s="343"/>
      <c r="W1" s="343"/>
      <c r="X1" s="343"/>
      <c r="Y1" s="343"/>
      <c r="Z1" s="343"/>
      <c r="AA1" s="343"/>
      <c r="AB1" s="343"/>
      <c r="AC1" s="344"/>
      <c r="AD1" s="345" t="s">
        <v>222</v>
      </c>
      <c r="AE1" s="346"/>
      <c r="AF1" s="346"/>
      <c r="AG1" s="346"/>
      <c r="AH1" s="347"/>
      <c r="AI1" s="345" t="s">
        <v>223</v>
      </c>
      <c r="AJ1" s="346"/>
      <c r="AK1" s="346"/>
      <c r="AL1" s="346"/>
      <c r="AM1" s="346"/>
      <c r="AN1" s="346"/>
      <c r="AO1" s="112" t="s">
        <v>153</v>
      </c>
      <c r="AP1" s="113" t="s">
        <v>23</v>
      </c>
      <c r="AQ1" s="116" t="s">
        <v>225</v>
      </c>
    </row>
    <row r="2" spans="1:43" ht="128.4" customHeight="1">
      <c r="A2" s="287" t="str">
        <f>57-COUNTBLANK('1. Déclaration'!C132:C188)&amp; " intrants attendus"</f>
        <v>0 intrants attendus</v>
      </c>
      <c r="B2" s="294" t="s">
        <v>382</v>
      </c>
      <c r="C2" s="300" t="s">
        <v>385</v>
      </c>
      <c r="D2" s="350" t="s">
        <v>375</v>
      </c>
      <c r="E2" s="351"/>
      <c r="F2" s="350" t="s">
        <v>376</v>
      </c>
      <c r="G2" s="351"/>
      <c r="H2" s="350" t="s">
        <v>377</v>
      </c>
      <c r="I2" s="351"/>
      <c r="J2" s="350" t="s">
        <v>378</v>
      </c>
      <c r="K2" s="351"/>
      <c r="L2" s="348" t="s">
        <v>154</v>
      </c>
      <c r="M2" s="349"/>
      <c r="N2" s="348" t="s">
        <v>155</v>
      </c>
      <c r="O2" s="349"/>
      <c r="P2" s="348" t="s">
        <v>156</v>
      </c>
      <c r="Q2" s="349"/>
      <c r="R2" s="348" t="s">
        <v>157</v>
      </c>
      <c r="S2" s="349"/>
      <c r="T2" s="348" t="s">
        <v>158</v>
      </c>
      <c r="U2" s="349"/>
      <c r="V2" s="348" t="s">
        <v>159</v>
      </c>
      <c r="W2" s="349"/>
      <c r="X2" s="33" t="s">
        <v>160</v>
      </c>
      <c r="Y2" s="1" t="s">
        <v>351</v>
      </c>
      <c r="Z2" s="1" t="s">
        <v>352</v>
      </c>
      <c r="AA2" s="1" t="s">
        <v>353</v>
      </c>
      <c r="AB2" s="34" t="s">
        <v>164</v>
      </c>
      <c r="AC2" s="34" t="s">
        <v>165</v>
      </c>
      <c r="AD2" s="275" t="s">
        <v>166</v>
      </c>
      <c r="AE2" s="36" t="s">
        <v>354</v>
      </c>
      <c r="AF2" s="36" t="s">
        <v>355</v>
      </c>
      <c r="AG2" s="36" t="s">
        <v>356</v>
      </c>
      <c r="AH2" s="37" t="s">
        <v>357</v>
      </c>
      <c r="AI2" s="35" t="s">
        <v>277</v>
      </c>
      <c r="AJ2" s="36" t="s">
        <v>354</v>
      </c>
      <c r="AK2" s="36" t="s">
        <v>355</v>
      </c>
      <c r="AL2" s="36" t="s">
        <v>356</v>
      </c>
      <c r="AM2" s="37" t="s">
        <v>357</v>
      </c>
      <c r="AN2" s="37" t="s">
        <v>21</v>
      </c>
      <c r="AO2" s="1"/>
    </row>
    <row r="3" spans="1:43">
      <c r="A3" s="288" t="s">
        <v>224</v>
      </c>
      <c r="B3" s="291"/>
      <c r="C3" s="291" t="s">
        <v>384</v>
      </c>
      <c r="D3" s="140" t="s">
        <v>167</v>
      </c>
      <c r="E3" s="114" t="s">
        <v>168</v>
      </c>
      <c r="F3" s="210" t="s">
        <v>167</v>
      </c>
      <c r="G3" s="114" t="s">
        <v>168</v>
      </c>
      <c r="H3" s="210" t="s">
        <v>167</v>
      </c>
      <c r="I3" s="114" t="s">
        <v>168</v>
      </c>
      <c r="J3" s="210" t="s">
        <v>167</v>
      </c>
      <c r="K3" s="114" t="s">
        <v>168</v>
      </c>
      <c r="L3" s="210" t="s">
        <v>167</v>
      </c>
      <c r="M3" s="114" t="s">
        <v>168</v>
      </c>
      <c r="N3" s="210" t="s">
        <v>167</v>
      </c>
      <c r="O3" s="114" t="s">
        <v>168</v>
      </c>
      <c r="P3" s="210" t="s">
        <v>167</v>
      </c>
      <c r="Q3" s="114" t="s">
        <v>168</v>
      </c>
      <c r="R3" s="210" t="s">
        <v>167</v>
      </c>
      <c r="S3" s="114" t="s">
        <v>168</v>
      </c>
      <c r="T3" s="210" t="s">
        <v>167</v>
      </c>
      <c r="U3" s="114" t="s">
        <v>168</v>
      </c>
      <c r="V3" s="210" t="s">
        <v>167</v>
      </c>
      <c r="W3" s="114" t="s">
        <v>168</v>
      </c>
      <c r="AD3" s="38"/>
      <c r="AH3" s="39"/>
      <c r="AI3" s="38"/>
      <c r="AN3" s="39"/>
    </row>
    <row r="4" spans="1:43">
      <c r="A4" s="289" t="str">
        <f>IF(ISBLANK('1. Déclaration'!C132)=TRUE,"",'1. Déclaration'!C132)</f>
        <v/>
      </c>
      <c r="B4" s="292" t="str">
        <f>IF(ISBLANK('1. Déclaration'!A132)=TRUE,"",'1. Déclaration'!A132)</f>
        <v/>
      </c>
      <c r="C4" s="295"/>
      <c r="D4" s="208"/>
      <c r="E4" s="212"/>
      <c r="F4" s="208"/>
      <c r="G4" s="212"/>
      <c r="H4" s="211"/>
      <c r="I4" s="212"/>
      <c r="J4" s="208"/>
      <c r="K4" s="212"/>
      <c r="L4" s="208"/>
      <c r="M4" s="212" t="str">
        <f>IF(A4="","",IF(L4="",IF($A3&lt;&gt;$A4,"Composante Ep associée lot à renseigner",""),""))</f>
        <v/>
      </c>
      <c r="N4" s="208"/>
      <c r="O4" s="212" t="str">
        <f>IF(A4="","",IF(N4="",IF($A3&lt;&gt;$A4,"Composante Etd associée lot à renseigner",""),""))</f>
        <v/>
      </c>
      <c r="P4" s="208"/>
      <c r="Q4" s="212" t="str">
        <f>IF(A4="","",IF(P4="",IF($A3&lt;&gt;$A4,"Composante Eu associée lot à renseigner",""),""))</f>
        <v/>
      </c>
      <c r="R4" s="208" t="str">
        <f>IF(A4="",IF(A4="","",IF($A3&lt;&gt;$A4,"Composante Esca associée lot à renseigner","")),"")</f>
        <v/>
      </c>
      <c r="S4" s="212" t="str">
        <f>IF(A4="","",IF(R4="",IF($A3&lt;&gt;$A4,"Composante Esca associée lot à renseigner",""),""))</f>
        <v/>
      </c>
      <c r="T4" s="211"/>
      <c r="U4" s="212" t="str">
        <f>IF(A4="","",IF($A3&lt;&gt;$A4,"Composante Eccs associée lot à renseigner",""))</f>
        <v/>
      </c>
      <c r="V4" s="211"/>
      <c r="W4" s="212" t="str">
        <f>IF(A4="","",IF($A3&lt;&gt;$A4,"Composante Eccr associée lot à renseigner",""))</f>
        <v/>
      </c>
      <c r="X4" s="298" t="str">
        <f>IF(A4="","",IF($A3&lt;&gt;$A4,SUM(D4:K4)*C4+SUM(L4:W4),""))</f>
        <v/>
      </c>
      <c r="Y4" s="13">
        <f>'0. Installation'!$B$5</f>
        <v>0</v>
      </c>
      <c r="Z4" s="13">
        <f>'0. Installation'!$B$6</f>
        <v>0</v>
      </c>
      <c r="AA4" s="40">
        <f>'0. Installation'!$B$7</f>
        <v>0</v>
      </c>
      <c r="AB4" s="41" t="str">
        <f>IF(A4="","",IF($A3&lt;&gt;$A4,IF(Y4=0,0,
X4/Y4*Y4/(Y4+Z4*AA4/(AA4+273.15))),""))</f>
        <v/>
      </c>
      <c r="AC4" s="41" t="str">
        <f>IF(A4="","",IF($A3&lt;&gt;$A4,IF(Z4=0,0,
IF('0. Installation'!$B$2="Cogénération",
X4*AA4/(AA4+273.15)/(Y4+AA4/(AA4+273.15)*Z4),
X4/Z4)),""))</f>
        <v/>
      </c>
      <c r="AD4" s="42">
        <f>'0. Installation'!$B$4</f>
        <v>0</v>
      </c>
      <c r="AE4" s="43">
        <f>IF('0. Installation'!$B$8="OUI",'Références GES'!$B$16,'Références GES'!$B$14)</f>
        <v>183</v>
      </c>
      <c r="AF4" s="44" t="str">
        <f>IF(A4="","",IF($A3&lt;&gt;$A4,IF($AB4=0,0,($AE4-$AB4)/$AE4),""))</f>
        <v/>
      </c>
      <c r="AG4" s="43">
        <f>'Références GES'!$B$15</f>
        <v>80</v>
      </c>
      <c r="AH4" s="44" t="str">
        <f>IF(A4="","",IF($A3&lt;&gt;$A4,IF($AC4=0,0,($AG4-$AC4)/$AG4),""))</f>
        <v/>
      </c>
      <c r="AI4" s="45" t="s">
        <v>80</v>
      </c>
      <c r="AJ4" s="43">
        <f>'Références GES'!$B$14</f>
        <v>183</v>
      </c>
      <c r="AK4" s="44" t="e">
        <f>IF($AB4=0,0,($AJ4-$AB4)/$AJ4)</f>
        <v>#VALUE!</v>
      </c>
      <c r="AL4" s="43">
        <f>'Références GES'!$B$15</f>
        <v>80</v>
      </c>
      <c r="AM4" s="44" t="e">
        <f>IF($AC4=0,0,($AL4-$AC4)/$AL4)</f>
        <v>#VALUE!</v>
      </c>
      <c r="AN4" s="46" t="str">
        <f>IF(A4="","",IF($A3&lt;&gt;$A4,IF(AI4="Avant le 6 octobre 2015",IF(AK4&gt;=0.5,"Elec. : oui","Elec. : non"),IF(AI4="Entre le 6 octobre 2015 et le 31 décembre 2020",IF(AK4&gt;=0.6,"Elec. : oui","Elec. : non"),IF(AK4&gt;=0.65,"Elec. : oui","Elec. : non")))
&amp;" / "&amp;
IF(AI4="Avant le 6 octobre 2015",IF(AM4&gt;=0.5,"Chaleur : oui","Chaleur : non"),IF(AI4="Entre le 6 octobre 2015 et le 31 décembre 2020",IF(AM4&gt;=0.6,"Chaleur : oui","Chaleur : non"),IF(AM4&gt;=0.65,"Chaleur : oui","Chaleur : non"))),""))</f>
        <v/>
      </c>
      <c r="AO4" s="47" t="str">
        <f t="shared" ref="AO4:AO35" si="0">IF(AND(A4&lt;&gt;"",X4=0),"Aucun calcul GES n'a été renseigné pour ce lot : à compléter","")</f>
        <v/>
      </c>
      <c r="AQ4" s="115">
        <f t="shared" ref="AQ4:AQ35" si="1">IF(AND(
OR(B4="Plaquettes bocagères ou agroforestières : 1B_PFA",B4="Plaquettes bocagères / bois de verger : 1B_PFA (V)",B4="Plaquettes paysagères ligneuses résidelles : 1C_PFA",B4="Bois SSD sortis du statut de déchet 3A_BFVBD",B4="Déchets de bois non dangereux 2910-B ICPE 3B_BFVBD",B4="Déchets de bois non dangereux 2771 ICPE 3C_BFVBD",B4="Liqueur noire",B4="Boue papetière"),
SUM(D4,F4,L4,N4,P4,R4,T4,V4)&gt;0),
1,0)</f>
        <v>0</v>
      </c>
    </row>
    <row r="5" spans="1:43">
      <c r="A5" s="289" t="str">
        <f>IF(ISBLANK('1. Déclaration'!C133)=TRUE,"",'1. Déclaration'!C133)</f>
        <v/>
      </c>
      <c r="B5" s="292" t="str">
        <f>IF(ISBLANK('1. Déclaration'!A133)=TRUE,"",'1. Déclaration'!A133)</f>
        <v/>
      </c>
      <c r="C5" s="295"/>
      <c r="D5" s="208"/>
      <c r="E5" s="212"/>
      <c r="F5" s="208"/>
      <c r="G5" s="212"/>
      <c r="H5" s="211"/>
      <c r="I5" s="212"/>
      <c r="J5" s="208"/>
      <c r="K5" s="212"/>
      <c r="L5" s="208"/>
      <c r="M5" s="212" t="str">
        <f t="shared" ref="M5:M60" si="2">IF(A5="","",IF($A4&lt;&gt;$A5,"Composante Ep associée lot à renseigner",""))</f>
        <v/>
      </c>
      <c r="N5" s="208" t="str">
        <f t="shared" ref="N5:N60" si="3">IF(A5="",IF(A5="","",IF($A4&lt;&gt;$A5,"Composante Etd associée lot à renseigner","")),"")</f>
        <v/>
      </c>
      <c r="O5" s="212" t="str">
        <f t="shared" ref="O5:O60" si="4">IF(A5="","",IF($A4&lt;&gt;$A5,"Composante Etd associée lot à renseigner",""))</f>
        <v/>
      </c>
      <c r="P5" s="208" t="str">
        <f t="shared" ref="P5:P60" si="5">IF(A5="",IF(A5="","",IF($A4&lt;&gt;$A5,"Composante Eu associée lot à renseigner","")),"")</f>
        <v/>
      </c>
      <c r="Q5" s="212" t="str">
        <f t="shared" ref="Q5:Q60" si="6">IF(A5="","",IF($A4&lt;&gt;$A5,"Composante Eu associée lot à renseigner",""))</f>
        <v/>
      </c>
      <c r="R5" s="208" t="str">
        <f t="shared" ref="R5:R60" si="7">IF(A5="",IF(A5="","",IF($A4&lt;&gt;$A5,"Composante Esca associée lot à renseigner","")),"")</f>
        <v/>
      </c>
      <c r="S5" s="212" t="str">
        <f t="shared" ref="S5:S60" si="8">IF(A5="","",IF($A4&lt;&gt;$A5,"Composante Esca associée lot à renseigner",""))</f>
        <v/>
      </c>
      <c r="T5" s="211"/>
      <c r="U5" s="212" t="str">
        <f t="shared" ref="U5:U60" si="9">IF(A5="","",IF($A4&lt;&gt;$A5,"Composante Eccs associée lot à renseigner",""))</f>
        <v/>
      </c>
      <c r="V5" s="211"/>
      <c r="W5" s="212" t="str">
        <f t="shared" ref="W5:W60" si="10">IF(A5="","",IF($A4&lt;&gt;$A5,"Composante Eccrassociée lot à renseigner",""))</f>
        <v/>
      </c>
      <c r="X5" s="298" t="str">
        <f t="shared" ref="X5:X60" si="11">IF(A5="","",IF($A4&lt;&gt;$A5,SUM(D5:K5)*C5+SUM(L5:W5),""))</f>
        <v/>
      </c>
      <c r="Y5" s="13">
        <f>'0. Installation'!$B$5</f>
        <v>0</v>
      </c>
      <c r="Z5" s="13">
        <f>'0. Installation'!$B$6</f>
        <v>0</v>
      </c>
      <c r="AA5" s="40">
        <f>'0. Installation'!$B$7</f>
        <v>0</v>
      </c>
      <c r="AB5" s="41" t="str">
        <f t="shared" ref="AB5:AB60" si="12">IF(A5="","",IF($A4&lt;&gt;$A5,IF(Y5=0,0,
X5/Y5*Y5/(Y5+Z5*AA5/(AA5+273.15))),""))</f>
        <v/>
      </c>
      <c r="AC5" s="41" t="str">
        <f>IF(A5="","",IF($A4&lt;&gt;$A5,IF(Z5=0,0,
IF('0. Installation'!$B$2="Cogénération",
X5*AA5/(AA5+273.15)/(Y5+AA5/(AA5+273.15)*Z5),
X5/Z5)),""))</f>
        <v/>
      </c>
      <c r="AD5" s="42">
        <f>'0. Installation'!$B$4</f>
        <v>0</v>
      </c>
      <c r="AE5" s="43">
        <f>IF('0. Installation'!$B$8="OUI",'Références GES'!$B$16,'Références GES'!$B$14)</f>
        <v>183</v>
      </c>
      <c r="AF5" s="44" t="str">
        <f t="shared" ref="AF5:AF60" si="13">IF(A5="","",IF($A4&lt;&gt;$A5,IF($AB5=0,0,($AE5-$AB5)/$AE5),""))</f>
        <v/>
      </c>
      <c r="AG5" s="43">
        <f>'Références GES'!$B$15</f>
        <v>80</v>
      </c>
      <c r="AH5" s="44" t="str">
        <f t="shared" ref="AH5:AH60" si="14">IF(A5="","",IF($A4&lt;&gt;$A5,IF($AC5=0,0,($AG5-$AC5)/$AG5),""))</f>
        <v/>
      </c>
      <c r="AI5" s="45" t="s">
        <v>83</v>
      </c>
      <c r="AJ5" s="43">
        <f>'Références GES'!$B$14</f>
        <v>183</v>
      </c>
      <c r="AK5" s="44" t="e">
        <f>IF($AB5=0,0,($AJ5-$AB5)/$AJ5)</f>
        <v>#VALUE!</v>
      </c>
      <c r="AL5" s="43">
        <f>'Références GES'!$B$15</f>
        <v>80</v>
      </c>
      <c r="AM5" s="44" t="e">
        <f t="shared" ref="AM5:AM60" si="15">IF($AC5=0,0,($AL5-$AC5)/$AL5)</f>
        <v>#VALUE!</v>
      </c>
      <c r="AN5" s="46" t="str">
        <f t="shared" ref="AN5:AN60" si="16">IF(A5="","",IF($A4&lt;&gt;$A5,IF(AI5="Avant le 6 octobre 2015",IF(AK5&gt;=0.5,"Elec. : oui","Elec. : non"),IF(AI5="Entre le 6 octobre 2015 et le 31 décembre 2020",IF(AK5&gt;=0.6,"Elec. : oui","Elec. : non"),IF(AK5&gt;=0.65,"Elec. : oui","Elec. : non")))
&amp;" / "&amp;
IF(AI5="Avant le 6 octobre 2015",IF(AM5&gt;=0.5,"Chaleur : oui","Chaleur : non"),IF(AI5="Entre le 6 octobre 2015 et le 31 décembre 2020",IF(AM5&gt;=0.6,"Chaleur : oui","Chaleur : non"),IF(AM5&gt;=0.65,"Chaleur : oui","Chaleur : non"))),""))</f>
        <v/>
      </c>
      <c r="AO5" s="47" t="str">
        <f t="shared" si="0"/>
        <v/>
      </c>
      <c r="AQ5" s="115">
        <f t="shared" si="1"/>
        <v>0</v>
      </c>
    </row>
    <row r="6" spans="1:43">
      <c r="A6" s="289" t="str">
        <f>IF(ISBLANK('1. Déclaration'!C134)=TRUE,"",'1. Déclaration'!C134)</f>
        <v/>
      </c>
      <c r="B6" s="292" t="str">
        <f>IF(ISBLANK('1. Déclaration'!A134)=TRUE,"",'1. Déclaration'!A134)</f>
        <v/>
      </c>
      <c r="C6" s="295"/>
      <c r="D6" s="208"/>
      <c r="E6" s="212"/>
      <c r="F6" s="208"/>
      <c r="G6" s="212"/>
      <c r="H6" s="211"/>
      <c r="I6" s="212"/>
      <c r="J6" s="208"/>
      <c r="K6" s="212"/>
      <c r="L6" s="208" t="str">
        <f t="shared" ref="L6:L60" si="17">IF(A6="",IF(A6="","",IF($A5&lt;&gt;$A6,"Composante Ep associée lot à renseigner","")),"")</f>
        <v/>
      </c>
      <c r="M6" s="212" t="str">
        <f t="shared" si="2"/>
        <v/>
      </c>
      <c r="N6" s="208" t="str">
        <f t="shared" si="3"/>
        <v/>
      </c>
      <c r="O6" s="212" t="str">
        <f t="shared" si="4"/>
        <v/>
      </c>
      <c r="P6" s="208" t="str">
        <f t="shared" si="5"/>
        <v/>
      </c>
      <c r="Q6" s="212" t="str">
        <f t="shared" si="6"/>
        <v/>
      </c>
      <c r="R6" s="208" t="str">
        <f t="shared" si="7"/>
        <v/>
      </c>
      <c r="S6" s="212" t="str">
        <f t="shared" si="8"/>
        <v/>
      </c>
      <c r="T6" s="211"/>
      <c r="U6" s="212" t="str">
        <f t="shared" si="9"/>
        <v/>
      </c>
      <c r="V6" s="211"/>
      <c r="W6" s="212" t="str">
        <f t="shared" si="10"/>
        <v/>
      </c>
      <c r="X6" s="298" t="str">
        <f t="shared" si="11"/>
        <v/>
      </c>
      <c r="Y6" s="13">
        <f>'0. Installation'!$B$5</f>
        <v>0</v>
      </c>
      <c r="Z6" s="13">
        <f>'0. Installation'!$B$6</f>
        <v>0</v>
      </c>
      <c r="AA6" s="40">
        <f>'0. Installation'!$B$7</f>
        <v>0</v>
      </c>
      <c r="AB6" s="41" t="str">
        <f t="shared" si="12"/>
        <v/>
      </c>
      <c r="AC6" s="41" t="str">
        <f>IF(A6="","",IF($A5&lt;&gt;$A6,IF(Z6=0,0,
IF('0. Installation'!$B$2="Cogénération",
X6*AA6/(AA6+273.15)/(Y6+AA6/(AA6+273.15)*Z6),
X6/Z6)),""))</f>
        <v/>
      </c>
      <c r="AD6" s="42">
        <f>'0. Installation'!$B$4</f>
        <v>0</v>
      </c>
      <c r="AE6" s="43">
        <f>IF('0. Installation'!$B$8="OUI",'Références GES'!$B$16,'Références GES'!$B$14)</f>
        <v>183</v>
      </c>
      <c r="AF6" s="44" t="str">
        <f t="shared" si="13"/>
        <v/>
      </c>
      <c r="AG6" s="43">
        <f>'Références GES'!$B$15</f>
        <v>80</v>
      </c>
      <c r="AH6" s="44" t="str">
        <f t="shared" si="14"/>
        <v/>
      </c>
      <c r="AI6" s="45" t="s">
        <v>80</v>
      </c>
      <c r="AJ6" s="43">
        <f>'Références GES'!$B$14</f>
        <v>183</v>
      </c>
      <c r="AK6" s="44" t="e">
        <f t="shared" ref="AK6:AK60" si="18">IF($AB6=0,0,($AJ6-$AB6)/$AJ6)</f>
        <v>#VALUE!</v>
      </c>
      <c r="AL6" s="43">
        <f>'Références GES'!$B$15</f>
        <v>80</v>
      </c>
      <c r="AM6" s="44" t="e">
        <f t="shared" si="15"/>
        <v>#VALUE!</v>
      </c>
      <c r="AN6" s="46" t="str">
        <f t="shared" si="16"/>
        <v/>
      </c>
      <c r="AO6" s="47" t="str">
        <f t="shared" si="0"/>
        <v/>
      </c>
      <c r="AQ6" s="115">
        <f t="shared" si="1"/>
        <v>0</v>
      </c>
    </row>
    <row r="7" spans="1:43">
      <c r="A7" s="289" t="str">
        <f>IF(ISBLANK('1. Déclaration'!C135)=TRUE,"",'1. Déclaration'!C135)</f>
        <v/>
      </c>
      <c r="B7" s="292" t="str">
        <f>IF(ISBLANK('1. Déclaration'!A135)=TRUE,"",'1. Déclaration'!A135)</f>
        <v/>
      </c>
      <c r="C7" s="295"/>
      <c r="D7" s="208"/>
      <c r="E7" s="212"/>
      <c r="F7" s="208"/>
      <c r="G7" s="212"/>
      <c r="H7" s="211"/>
      <c r="I7" s="212"/>
      <c r="J7" s="208"/>
      <c r="K7" s="212"/>
      <c r="L7" s="208" t="str">
        <f t="shared" si="17"/>
        <v/>
      </c>
      <c r="M7" s="212" t="str">
        <f t="shared" si="2"/>
        <v/>
      </c>
      <c r="N7" s="208" t="str">
        <f t="shared" si="3"/>
        <v/>
      </c>
      <c r="O7" s="212" t="str">
        <f t="shared" si="4"/>
        <v/>
      </c>
      <c r="P7" s="208" t="str">
        <f t="shared" si="5"/>
        <v/>
      </c>
      <c r="Q7" s="212" t="str">
        <f t="shared" si="6"/>
        <v/>
      </c>
      <c r="R7" s="208" t="str">
        <f t="shared" si="7"/>
        <v/>
      </c>
      <c r="S7" s="212" t="str">
        <f t="shared" si="8"/>
        <v/>
      </c>
      <c r="T7" s="211"/>
      <c r="U7" s="212" t="str">
        <f t="shared" si="9"/>
        <v/>
      </c>
      <c r="V7" s="211"/>
      <c r="W7" s="212" t="str">
        <f t="shared" si="10"/>
        <v/>
      </c>
      <c r="X7" s="298" t="str">
        <f t="shared" si="11"/>
        <v/>
      </c>
      <c r="Y7" s="13">
        <f>'0. Installation'!$B$5</f>
        <v>0</v>
      </c>
      <c r="Z7" s="13">
        <f>'0. Installation'!$B$6</f>
        <v>0</v>
      </c>
      <c r="AA7" s="40">
        <f>'0. Installation'!$B$7</f>
        <v>0</v>
      </c>
      <c r="AB7" s="41" t="str">
        <f t="shared" si="12"/>
        <v/>
      </c>
      <c r="AC7" s="41" t="str">
        <f>IF(A7="","",IF($A6&lt;&gt;$A7,IF(Z7=0,0,
IF('0. Installation'!$B$2="Cogénération",
X7*AA7/(AA7+273.15)/(Y7+AA7/(AA7+273.15)*Z7),
X7/Z7)),""))</f>
        <v/>
      </c>
      <c r="AD7" s="42">
        <f>'0. Installation'!$B$4</f>
        <v>0</v>
      </c>
      <c r="AE7" s="43">
        <f>IF('0. Installation'!$B$8="OUI",'Références GES'!$B$16,'Références GES'!$B$14)</f>
        <v>183</v>
      </c>
      <c r="AF7" s="44" t="str">
        <f t="shared" si="13"/>
        <v/>
      </c>
      <c r="AG7" s="43">
        <f>'Références GES'!$B$15</f>
        <v>80</v>
      </c>
      <c r="AH7" s="44" t="str">
        <f t="shared" si="14"/>
        <v/>
      </c>
      <c r="AI7" s="45" t="s">
        <v>78</v>
      </c>
      <c r="AJ7" s="43">
        <f>'Références GES'!$B$14</f>
        <v>183</v>
      </c>
      <c r="AK7" s="44" t="e">
        <f t="shared" si="18"/>
        <v>#VALUE!</v>
      </c>
      <c r="AL7" s="43">
        <f>'Références GES'!$B$15</f>
        <v>80</v>
      </c>
      <c r="AM7" s="44" t="e">
        <f t="shared" si="15"/>
        <v>#VALUE!</v>
      </c>
      <c r="AN7" s="46" t="str">
        <f t="shared" si="16"/>
        <v/>
      </c>
      <c r="AO7" s="47" t="str">
        <f t="shared" si="0"/>
        <v/>
      </c>
      <c r="AQ7" s="115">
        <f t="shared" si="1"/>
        <v>0</v>
      </c>
    </row>
    <row r="8" spans="1:43">
      <c r="A8" s="289" t="str">
        <f>IF(ISBLANK('1. Déclaration'!C136)=TRUE,"",'1. Déclaration'!C136)</f>
        <v/>
      </c>
      <c r="B8" s="292" t="str">
        <f>IF(ISBLANK('1. Déclaration'!A136)=TRUE,"",'1. Déclaration'!A136)</f>
        <v/>
      </c>
      <c r="C8" s="295"/>
      <c r="D8" s="209"/>
      <c r="E8" s="212"/>
      <c r="F8" s="209"/>
      <c r="G8" s="213"/>
      <c r="H8" s="211"/>
      <c r="I8" s="213"/>
      <c r="J8" s="209"/>
      <c r="K8" s="213"/>
      <c r="L8" s="208" t="str">
        <f t="shared" si="17"/>
        <v/>
      </c>
      <c r="M8" s="212" t="str">
        <f t="shared" si="2"/>
        <v/>
      </c>
      <c r="N8" s="208" t="str">
        <f t="shared" si="3"/>
        <v/>
      </c>
      <c r="O8" s="212" t="str">
        <f t="shared" si="4"/>
        <v/>
      </c>
      <c r="P8" s="208" t="str">
        <f t="shared" si="5"/>
        <v/>
      </c>
      <c r="Q8" s="212" t="str">
        <f t="shared" si="6"/>
        <v/>
      </c>
      <c r="R8" s="208" t="str">
        <f t="shared" si="7"/>
        <v/>
      </c>
      <c r="S8" s="212" t="str">
        <f t="shared" si="8"/>
        <v/>
      </c>
      <c r="T8" s="211"/>
      <c r="U8" s="212" t="str">
        <f t="shared" si="9"/>
        <v/>
      </c>
      <c r="V8" s="211"/>
      <c r="W8" s="212" t="str">
        <f t="shared" si="10"/>
        <v/>
      </c>
      <c r="X8" s="298" t="str">
        <f t="shared" si="11"/>
        <v/>
      </c>
      <c r="Y8" s="13">
        <f>'0. Installation'!$B$5</f>
        <v>0</v>
      </c>
      <c r="Z8" s="13">
        <f>'0. Installation'!$B$6</f>
        <v>0</v>
      </c>
      <c r="AA8" s="40">
        <f>'0. Installation'!$B$7</f>
        <v>0</v>
      </c>
      <c r="AB8" s="41" t="str">
        <f t="shared" si="12"/>
        <v/>
      </c>
      <c r="AC8" s="41" t="str">
        <f>IF(A8="","",IF($A7&lt;&gt;$A8,IF(Z8=0,0,
IF('0. Installation'!$B$2="Cogénération",
X8*AA8/(AA8+273.15)/(Y8+AA8/(AA8+273.15)*Z8),
X8/Z8)),""))</f>
        <v/>
      </c>
      <c r="AD8" s="42">
        <f>'0. Installation'!$B$4</f>
        <v>0</v>
      </c>
      <c r="AE8" s="43">
        <f>IF('0. Installation'!$B$8="OUI",'Références GES'!$B$16,'Références GES'!$B$14)</f>
        <v>183</v>
      </c>
      <c r="AF8" s="44" t="str">
        <f t="shared" si="13"/>
        <v/>
      </c>
      <c r="AG8" s="43">
        <f>'Références GES'!$B$15</f>
        <v>80</v>
      </c>
      <c r="AH8" s="44" t="str">
        <f t="shared" si="14"/>
        <v/>
      </c>
      <c r="AI8" s="45"/>
      <c r="AJ8" s="43">
        <f>'Références GES'!$B$14</f>
        <v>183</v>
      </c>
      <c r="AK8" s="44" t="e">
        <f t="shared" si="18"/>
        <v>#VALUE!</v>
      </c>
      <c r="AL8" s="43">
        <f>'Références GES'!$B$15</f>
        <v>80</v>
      </c>
      <c r="AM8" s="44" t="e">
        <f t="shared" si="15"/>
        <v>#VALUE!</v>
      </c>
      <c r="AN8" s="46" t="str">
        <f t="shared" si="16"/>
        <v/>
      </c>
      <c r="AO8" s="47" t="str">
        <f t="shared" si="0"/>
        <v/>
      </c>
      <c r="AQ8" s="115">
        <f t="shared" si="1"/>
        <v>0</v>
      </c>
    </row>
    <row r="9" spans="1:43">
      <c r="A9" s="289" t="str">
        <f>IF(ISBLANK('1. Déclaration'!C137)=TRUE,"",'1. Déclaration'!C137)</f>
        <v/>
      </c>
      <c r="B9" s="292" t="str">
        <f>IF(ISBLANK('1. Déclaration'!A137)=TRUE,"",'1. Déclaration'!A137)</f>
        <v/>
      </c>
      <c r="C9" s="295"/>
      <c r="D9" s="209"/>
      <c r="E9" s="212"/>
      <c r="F9" s="209"/>
      <c r="G9" s="213"/>
      <c r="H9" s="211"/>
      <c r="I9" s="213"/>
      <c r="J9" s="209"/>
      <c r="K9" s="213"/>
      <c r="L9" s="208" t="str">
        <f t="shared" si="17"/>
        <v/>
      </c>
      <c r="M9" s="212" t="str">
        <f t="shared" si="2"/>
        <v/>
      </c>
      <c r="N9" s="208" t="str">
        <f t="shared" si="3"/>
        <v/>
      </c>
      <c r="O9" s="212" t="str">
        <f t="shared" si="4"/>
        <v/>
      </c>
      <c r="P9" s="208" t="str">
        <f t="shared" si="5"/>
        <v/>
      </c>
      <c r="Q9" s="212" t="str">
        <f t="shared" si="6"/>
        <v/>
      </c>
      <c r="R9" s="208" t="str">
        <f t="shared" si="7"/>
        <v/>
      </c>
      <c r="S9" s="212" t="str">
        <f t="shared" si="8"/>
        <v/>
      </c>
      <c r="T9" s="211"/>
      <c r="U9" s="212" t="str">
        <f t="shared" si="9"/>
        <v/>
      </c>
      <c r="V9" s="211"/>
      <c r="W9" s="212" t="str">
        <f t="shared" si="10"/>
        <v/>
      </c>
      <c r="X9" s="298" t="str">
        <f t="shared" si="11"/>
        <v/>
      </c>
      <c r="Y9" s="13">
        <f>'0. Installation'!$B$5</f>
        <v>0</v>
      </c>
      <c r="Z9" s="13">
        <f>'0. Installation'!$B$6</f>
        <v>0</v>
      </c>
      <c r="AA9" s="40">
        <f>'0. Installation'!$B$7</f>
        <v>0</v>
      </c>
      <c r="AB9" s="41" t="str">
        <f t="shared" si="12"/>
        <v/>
      </c>
      <c r="AC9" s="41" t="str">
        <f>IF(A9="","",IF($A8&lt;&gt;$A9,IF(Z9=0,0,
IF('0. Installation'!$B$2="Cogénération",
X9*AA9/(AA9+273.15)/(Y9+AA9/(AA9+273.15)*Z9),
X9/Z9)),""))</f>
        <v/>
      </c>
      <c r="AD9" s="42">
        <f>'0. Installation'!$B$4</f>
        <v>0</v>
      </c>
      <c r="AE9" s="43">
        <f>IF('0. Installation'!$B$8="OUI",'Références GES'!$B$16,'Références GES'!$B$14)</f>
        <v>183</v>
      </c>
      <c r="AF9" s="44" t="str">
        <f t="shared" si="13"/>
        <v/>
      </c>
      <c r="AG9" s="43">
        <f>'Références GES'!$B$15</f>
        <v>80</v>
      </c>
      <c r="AH9" s="44" t="str">
        <f t="shared" si="14"/>
        <v/>
      </c>
      <c r="AI9" s="45"/>
      <c r="AJ9" s="43">
        <f>'Références GES'!$B$14</f>
        <v>183</v>
      </c>
      <c r="AK9" s="44" t="e">
        <f t="shared" si="18"/>
        <v>#VALUE!</v>
      </c>
      <c r="AL9" s="43">
        <f>'Références GES'!$B$15</f>
        <v>80</v>
      </c>
      <c r="AM9" s="44" t="e">
        <f t="shared" si="15"/>
        <v>#VALUE!</v>
      </c>
      <c r="AN9" s="46" t="str">
        <f t="shared" si="16"/>
        <v/>
      </c>
      <c r="AO9" s="47" t="str">
        <f t="shared" si="0"/>
        <v/>
      </c>
      <c r="AQ9" s="115">
        <f t="shared" si="1"/>
        <v>0</v>
      </c>
    </row>
    <row r="10" spans="1:43">
      <c r="A10" s="289" t="str">
        <f>IF(ISBLANK('1. Déclaration'!C138)=TRUE,"",'1. Déclaration'!C138)</f>
        <v/>
      </c>
      <c r="B10" s="292" t="str">
        <f>IF(ISBLANK('1. Déclaration'!A138)=TRUE,"",'1. Déclaration'!A138)</f>
        <v/>
      </c>
      <c r="C10" s="295"/>
      <c r="D10" s="209"/>
      <c r="E10" s="213"/>
      <c r="F10" s="209"/>
      <c r="G10" s="213"/>
      <c r="H10" s="211"/>
      <c r="I10" s="213"/>
      <c r="J10" s="209"/>
      <c r="K10" s="213"/>
      <c r="L10" s="208" t="str">
        <f t="shared" si="17"/>
        <v/>
      </c>
      <c r="M10" s="212" t="str">
        <f t="shared" si="2"/>
        <v/>
      </c>
      <c r="N10" s="208" t="str">
        <f t="shared" si="3"/>
        <v/>
      </c>
      <c r="O10" s="212" t="str">
        <f t="shared" si="4"/>
        <v/>
      </c>
      <c r="P10" s="208" t="str">
        <f t="shared" si="5"/>
        <v/>
      </c>
      <c r="Q10" s="212" t="str">
        <f t="shared" si="6"/>
        <v/>
      </c>
      <c r="R10" s="208" t="str">
        <f t="shared" si="7"/>
        <v/>
      </c>
      <c r="S10" s="212" t="str">
        <f t="shared" si="8"/>
        <v/>
      </c>
      <c r="T10" s="211"/>
      <c r="U10" s="212" t="str">
        <f t="shared" si="9"/>
        <v/>
      </c>
      <c r="V10" s="211"/>
      <c r="W10" s="212" t="str">
        <f t="shared" si="10"/>
        <v/>
      </c>
      <c r="X10" s="298" t="str">
        <f t="shared" si="11"/>
        <v/>
      </c>
      <c r="Y10" s="13">
        <f>'0. Installation'!$B$5</f>
        <v>0</v>
      </c>
      <c r="Z10" s="13">
        <f>'0. Installation'!$B$6</f>
        <v>0</v>
      </c>
      <c r="AA10" s="40">
        <f>'0. Installation'!$B$7</f>
        <v>0</v>
      </c>
      <c r="AB10" s="41" t="str">
        <f t="shared" si="12"/>
        <v/>
      </c>
      <c r="AC10" s="41" t="str">
        <f>IF(A10="","",IF($A9&lt;&gt;$A10,IF(Z10=0,0,
IF('0. Installation'!$B$2="Cogénération",
X10*AA10/(AA10+273.15)/(Y10+AA10/(AA10+273.15)*Z10),
X10/Z10)),""))</f>
        <v/>
      </c>
      <c r="AD10" s="42">
        <f>'0. Installation'!$B$4</f>
        <v>0</v>
      </c>
      <c r="AE10" s="43">
        <f>IF('0. Installation'!$B$8="OUI",'Références GES'!$B$16,'Références GES'!$B$14)</f>
        <v>183</v>
      </c>
      <c r="AF10" s="44" t="str">
        <f t="shared" si="13"/>
        <v/>
      </c>
      <c r="AG10" s="43">
        <f>'Références GES'!$B$15</f>
        <v>80</v>
      </c>
      <c r="AH10" s="44" t="str">
        <f t="shared" si="14"/>
        <v/>
      </c>
      <c r="AI10" s="45"/>
      <c r="AJ10" s="43">
        <f>'Références GES'!$B$14</f>
        <v>183</v>
      </c>
      <c r="AK10" s="44" t="e">
        <f t="shared" si="18"/>
        <v>#VALUE!</v>
      </c>
      <c r="AL10" s="43">
        <f>'Références GES'!$B$15</f>
        <v>80</v>
      </c>
      <c r="AM10" s="44" t="e">
        <f t="shared" si="15"/>
        <v>#VALUE!</v>
      </c>
      <c r="AN10" s="46" t="str">
        <f t="shared" si="16"/>
        <v/>
      </c>
      <c r="AO10" s="47" t="str">
        <f t="shared" si="0"/>
        <v/>
      </c>
      <c r="AQ10" s="115">
        <f t="shared" si="1"/>
        <v>0</v>
      </c>
    </row>
    <row r="11" spans="1:43">
      <c r="A11" s="289" t="str">
        <f>IF(ISBLANK('1. Déclaration'!C139)=TRUE,"",'1. Déclaration'!C139)</f>
        <v/>
      </c>
      <c r="B11" s="292" t="str">
        <f>IF(ISBLANK('1. Déclaration'!A139)=TRUE,"",'1. Déclaration'!A139)</f>
        <v/>
      </c>
      <c r="C11" s="295"/>
      <c r="D11" s="209"/>
      <c r="E11" s="213"/>
      <c r="F11" s="209"/>
      <c r="G11" s="213"/>
      <c r="H11" s="211"/>
      <c r="I11" s="213"/>
      <c r="J11" s="209"/>
      <c r="K11" s="213"/>
      <c r="L11" s="208" t="str">
        <f t="shared" si="17"/>
        <v/>
      </c>
      <c r="M11" s="212" t="str">
        <f t="shared" si="2"/>
        <v/>
      </c>
      <c r="N11" s="208" t="str">
        <f t="shared" si="3"/>
        <v/>
      </c>
      <c r="O11" s="212" t="str">
        <f t="shared" si="4"/>
        <v/>
      </c>
      <c r="P11" s="208" t="str">
        <f t="shared" si="5"/>
        <v/>
      </c>
      <c r="Q11" s="212" t="str">
        <f t="shared" si="6"/>
        <v/>
      </c>
      <c r="R11" s="208" t="str">
        <f t="shared" si="7"/>
        <v/>
      </c>
      <c r="S11" s="212" t="str">
        <f t="shared" si="8"/>
        <v/>
      </c>
      <c r="T11" s="211"/>
      <c r="U11" s="212" t="str">
        <f t="shared" si="9"/>
        <v/>
      </c>
      <c r="V11" s="211"/>
      <c r="W11" s="212" t="str">
        <f t="shared" si="10"/>
        <v/>
      </c>
      <c r="X11" s="298" t="str">
        <f t="shared" si="11"/>
        <v/>
      </c>
      <c r="Y11" s="13">
        <f>'0. Installation'!$B$5</f>
        <v>0</v>
      </c>
      <c r="Z11" s="13">
        <f>'0. Installation'!$B$6</f>
        <v>0</v>
      </c>
      <c r="AA11" s="40">
        <f>'0. Installation'!$B$7</f>
        <v>0</v>
      </c>
      <c r="AB11" s="41" t="str">
        <f t="shared" si="12"/>
        <v/>
      </c>
      <c r="AC11" s="41" t="str">
        <f>IF(A11="","",IF($A10&lt;&gt;$A11,IF(Z11=0,0,
IF('0. Installation'!$B$2="Cogénération",
X11*AA11/(AA11+273.15)/(Y11+AA11/(AA11+273.15)*Z11),
X11/Z11)),""))</f>
        <v/>
      </c>
      <c r="AD11" s="42">
        <f>'0. Installation'!$B$4</f>
        <v>0</v>
      </c>
      <c r="AE11" s="43">
        <f>IF('0. Installation'!$B$8="OUI",'Références GES'!$B$16,'Références GES'!$B$14)</f>
        <v>183</v>
      </c>
      <c r="AF11" s="44" t="str">
        <f t="shared" si="13"/>
        <v/>
      </c>
      <c r="AG11" s="43">
        <f>'Références GES'!$B$15</f>
        <v>80</v>
      </c>
      <c r="AH11" s="44" t="str">
        <f t="shared" si="14"/>
        <v/>
      </c>
      <c r="AI11" s="45"/>
      <c r="AJ11" s="43">
        <f>'Références GES'!$B$14</f>
        <v>183</v>
      </c>
      <c r="AK11" s="44" t="e">
        <f t="shared" si="18"/>
        <v>#VALUE!</v>
      </c>
      <c r="AL11" s="43">
        <f>'Références GES'!$B$15</f>
        <v>80</v>
      </c>
      <c r="AM11" s="44" t="e">
        <f t="shared" si="15"/>
        <v>#VALUE!</v>
      </c>
      <c r="AN11" s="46" t="str">
        <f t="shared" si="16"/>
        <v/>
      </c>
      <c r="AO11" s="47" t="str">
        <f t="shared" si="0"/>
        <v/>
      </c>
      <c r="AQ11" s="115">
        <f t="shared" si="1"/>
        <v>0</v>
      </c>
    </row>
    <row r="12" spans="1:43">
      <c r="A12" s="289" t="str">
        <f>IF(ISBLANK('1. Déclaration'!C140)=TRUE,"",'1. Déclaration'!C140)</f>
        <v/>
      </c>
      <c r="B12" s="292" t="str">
        <f>IF(ISBLANK('1. Déclaration'!A140)=TRUE,"",'1. Déclaration'!A140)</f>
        <v/>
      </c>
      <c r="C12" s="295"/>
      <c r="D12" s="209"/>
      <c r="E12" s="213"/>
      <c r="F12" s="209"/>
      <c r="G12" s="213"/>
      <c r="H12" s="211"/>
      <c r="I12" s="213"/>
      <c r="J12" s="209"/>
      <c r="K12" s="213"/>
      <c r="L12" s="208" t="str">
        <f t="shared" si="17"/>
        <v/>
      </c>
      <c r="M12" s="212" t="str">
        <f t="shared" si="2"/>
        <v/>
      </c>
      <c r="N12" s="208" t="str">
        <f t="shared" si="3"/>
        <v/>
      </c>
      <c r="O12" s="212" t="str">
        <f t="shared" si="4"/>
        <v/>
      </c>
      <c r="P12" s="208" t="str">
        <f t="shared" si="5"/>
        <v/>
      </c>
      <c r="Q12" s="212" t="str">
        <f t="shared" si="6"/>
        <v/>
      </c>
      <c r="R12" s="208" t="str">
        <f t="shared" si="7"/>
        <v/>
      </c>
      <c r="S12" s="212" t="str">
        <f t="shared" si="8"/>
        <v/>
      </c>
      <c r="T12" s="211"/>
      <c r="U12" s="212" t="str">
        <f t="shared" si="9"/>
        <v/>
      </c>
      <c r="V12" s="211"/>
      <c r="W12" s="212" t="str">
        <f t="shared" si="10"/>
        <v/>
      </c>
      <c r="X12" s="298" t="str">
        <f t="shared" si="11"/>
        <v/>
      </c>
      <c r="Y12" s="13">
        <f>'0. Installation'!$B$5</f>
        <v>0</v>
      </c>
      <c r="Z12" s="13">
        <f>'0. Installation'!$B$6</f>
        <v>0</v>
      </c>
      <c r="AA12" s="40">
        <f>'0. Installation'!$B$7</f>
        <v>0</v>
      </c>
      <c r="AB12" s="41" t="str">
        <f t="shared" si="12"/>
        <v/>
      </c>
      <c r="AC12" s="41" t="str">
        <f>IF(A12="","",IF($A11&lt;&gt;$A12,IF(Z12=0,0,
IF('0. Installation'!$B$2="Cogénération",
X12*AA12/(AA12+273.15)/(Y12+AA12/(AA12+273.15)*Z12),
X12/Z12)),""))</f>
        <v/>
      </c>
      <c r="AD12" s="42">
        <f>'0. Installation'!$B$4</f>
        <v>0</v>
      </c>
      <c r="AE12" s="43">
        <f>IF('0. Installation'!$B$8="OUI",'Références GES'!$B$16,'Références GES'!$B$14)</f>
        <v>183</v>
      </c>
      <c r="AF12" s="44" t="str">
        <f t="shared" si="13"/>
        <v/>
      </c>
      <c r="AG12" s="43">
        <f>'Références GES'!$B$15</f>
        <v>80</v>
      </c>
      <c r="AH12" s="44" t="str">
        <f t="shared" si="14"/>
        <v/>
      </c>
      <c r="AI12" s="45"/>
      <c r="AJ12" s="43">
        <f>'Références GES'!$B$14</f>
        <v>183</v>
      </c>
      <c r="AK12" s="44" t="e">
        <f t="shared" si="18"/>
        <v>#VALUE!</v>
      </c>
      <c r="AL12" s="43">
        <f>'Références GES'!$B$15</f>
        <v>80</v>
      </c>
      <c r="AM12" s="44" t="e">
        <f t="shared" si="15"/>
        <v>#VALUE!</v>
      </c>
      <c r="AN12" s="46" t="str">
        <f t="shared" si="16"/>
        <v/>
      </c>
      <c r="AO12" s="47" t="str">
        <f t="shared" si="0"/>
        <v/>
      </c>
      <c r="AQ12" s="115">
        <f t="shared" si="1"/>
        <v>0</v>
      </c>
    </row>
    <row r="13" spans="1:43">
      <c r="A13" s="289" t="str">
        <f>IF(ISBLANK('1. Déclaration'!C141)=TRUE,"",'1. Déclaration'!C141)</f>
        <v/>
      </c>
      <c r="B13" s="292" t="str">
        <f>IF(ISBLANK('1. Déclaration'!A141)=TRUE,"",'1. Déclaration'!A141)</f>
        <v/>
      </c>
      <c r="C13" s="295"/>
      <c r="D13" s="209"/>
      <c r="E13" s="213"/>
      <c r="F13" s="209"/>
      <c r="G13" s="213"/>
      <c r="H13" s="211"/>
      <c r="I13" s="213"/>
      <c r="J13" s="209"/>
      <c r="K13" s="213"/>
      <c r="L13" s="208" t="str">
        <f t="shared" si="17"/>
        <v/>
      </c>
      <c r="M13" s="212" t="str">
        <f t="shared" si="2"/>
        <v/>
      </c>
      <c r="N13" s="208" t="str">
        <f t="shared" si="3"/>
        <v/>
      </c>
      <c r="O13" s="212" t="str">
        <f t="shared" si="4"/>
        <v/>
      </c>
      <c r="P13" s="208" t="str">
        <f t="shared" si="5"/>
        <v/>
      </c>
      <c r="Q13" s="212" t="str">
        <f t="shared" si="6"/>
        <v/>
      </c>
      <c r="R13" s="208" t="str">
        <f t="shared" si="7"/>
        <v/>
      </c>
      <c r="S13" s="212" t="str">
        <f t="shared" si="8"/>
        <v/>
      </c>
      <c r="T13" s="211"/>
      <c r="U13" s="212" t="str">
        <f t="shared" si="9"/>
        <v/>
      </c>
      <c r="V13" s="211"/>
      <c r="W13" s="212" t="str">
        <f t="shared" si="10"/>
        <v/>
      </c>
      <c r="X13" s="298" t="str">
        <f t="shared" si="11"/>
        <v/>
      </c>
      <c r="Y13" s="13">
        <f>'0. Installation'!$B$5</f>
        <v>0</v>
      </c>
      <c r="Z13" s="13">
        <f>'0. Installation'!$B$6</f>
        <v>0</v>
      </c>
      <c r="AA13" s="40">
        <f>'0. Installation'!$B$7</f>
        <v>0</v>
      </c>
      <c r="AB13" s="41" t="str">
        <f t="shared" si="12"/>
        <v/>
      </c>
      <c r="AC13" s="41" t="str">
        <f>IF(A13="","",IF($A12&lt;&gt;$A13,IF(Z13=0,0,
IF('0. Installation'!$B$2="Cogénération",
X13*AA13/(AA13+273.15)/(Y13+AA13/(AA13+273.15)*Z13),
X13/Z13)),""))</f>
        <v/>
      </c>
      <c r="AD13" s="42">
        <f>'0. Installation'!$B$4</f>
        <v>0</v>
      </c>
      <c r="AE13" s="43">
        <f>IF('0. Installation'!$B$8="OUI",'Références GES'!$B$16,'Références GES'!$B$14)</f>
        <v>183</v>
      </c>
      <c r="AF13" s="44" t="str">
        <f t="shared" si="13"/>
        <v/>
      </c>
      <c r="AG13" s="43">
        <f>'Références GES'!$B$15</f>
        <v>80</v>
      </c>
      <c r="AH13" s="44" t="str">
        <f t="shared" si="14"/>
        <v/>
      </c>
      <c r="AI13" s="45"/>
      <c r="AJ13" s="43">
        <f>'Références GES'!$B$14</f>
        <v>183</v>
      </c>
      <c r="AK13" s="44" t="e">
        <f t="shared" si="18"/>
        <v>#VALUE!</v>
      </c>
      <c r="AL13" s="43">
        <f>'Références GES'!$B$15</f>
        <v>80</v>
      </c>
      <c r="AM13" s="44" t="e">
        <f t="shared" si="15"/>
        <v>#VALUE!</v>
      </c>
      <c r="AN13" s="46" t="str">
        <f t="shared" si="16"/>
        <v/>
      </c>
      <c r="AO13" s="47" t="str">
        <f t="shared" si="0"/>
        <v/>
      </c>
      <c r="AQ13" s="115">
        <f t="shared" si="1"/>
        <v>0</v>
      </c>
    </row>
    <row r="14" spans="1:43">
      <c r="A14" s="289" t="str">
        <f>IF(ISBLANK('1. Déclaration'!C142)=TRUE,"",'1. Déclaration'!C142)</f>
        <v/>
      </c>
      <c r="B14" s="292" t="str">
        <f>IF(ISBLANK('1. Déclaration'!A142)=TRUE,"",'1. Déclaration'!A142)</f>
        <v/>
      </c>
      <c r="C14" s="295"/>
      <c r="D14" s="209"/>
      <c r="E14" s="213"/>
      <c r="F14" s="209"/>
      <c r="G14" s="213"/>
      <c r="H14" s="211"/>
      <c r="I14" s="213"/>
      <c r="J14" s="209"/>
      <c r="K14" s="213"/>
      <c r="L14" s="208" t="str">
        <f t="shared" si="17"/>
        <v/>
      </c>
      <c r="M14" s="212" t="str">
        <f t="shared" si="2"/>
        <v/>
      </c>
      <c r="N14" s="208" t="str">
        <f t="shared" si="3"/>
        <v/>
      </c>
      <c r="O14" s="212" t="str">
        <f t="shared" si="4"/>
        <v/>
      </c>
      <c r="P14" s="208" t="str">
        <f t="shared" si="5"/>
        <v/>
      </c>
      <c r="Q14" s="212" t="str">
        <f t="shared" si="6"/>
        <v/>
      </c>
      <c r="R14" s="208" t="str">
        <f t="shared" si="7"/>
        <v/>
      </c>
      <c r="S14" s="212" t="str">
        <f t="shared" si="8"/>
        <v/>
      </c>
      <c r="T14" s="211"/>
      <c r="U14" s="212" t="str">
        <f t="shared" si="9"/>
        <v/>
      </c>
      <c r="V14" s="211"/>
      <c r="W14" s="212" t="str">
        <f t="shared" si="10"/>
        <v/>
      </c>
      <c r="X14" s="298" t="str">
        <f t="shared" si="11"/>
        <v/>
      </c>
      <c r="Y14" s="13">
        <f>'0. Installation'!$B$5</f>
        <v>0</v>
      </c>
      <c r="Z14" s="13">
        <f>'0. Installation'!$B$6</f>
        <v>0</v>
      </c>
      <c r="AA14" s="40">
        <f>'0. Installation'!$B$7</f>
        <v>0</v>
      </c>
      <c r="AB14" s="41" t="str">
        <f t="shared" si="12"/>
        <v/>
      </c>
      <c r="AC14" s="41" t="str">
        <f>IF(A14="","",IF($A13&lt;&gt;$A14,IF(Z14=0,0,
IF('0. Installation'!$B$2="Cogénération",
X14*AA14/(AA14+273.15)/(Y14+AA14/(AA14+273.15)*Z14),
X14/Z14)),""))</f>
        <v/>
      </c>
      <c r="AD14" s="42">
        <f>'0. Installation'!$B$4</f>
        <v>0</v>
      </c>
      <c r="AE14" s="43">
        <f>IF('0. Installation'!$B$8="OUI",'Références GES'!$B$16,'Références GES'!$B$14)</f>
        <v>183</v>
      </c>
      <c r="AF14" s="44" t="str">
        <f t="shared" si="13"/>
        <v/>
      </c>
      <c r="AG14" s="43">
        <f>'Références GES'!$B$15</f>
        <v>80</v>
      </c>
      <c r="AH14" s="44" t="str">
        <f t="shared" si="14"/>
        <v/>
      </c>
      <c r="AI14" s="45"/>
      <c r="AJ14" s="43">
        <f>'Références GES'!$B$14</f>
        <v>183</v>
      </c>
      <c r="AK14" s="44" t="e">
        <f t="shared" si="18"/>
        <v>#VALUE!</v>
      </c>
      <c r="AL14" s="43">
        <f>'Références GES'!$B$15</f>
        <v>80</v>
      </c>
      <c r="AM14" s="44" t="e">
        <f t="shared" si="15"/>
        <v>#VALUE!</v>
      </c>
      <c r="AN14" s="46" t="str">
        <f t="shared" si="16"/>
        <v/>
      </c>
      <c r="AO14" s="47" t="str">
        <f t="shared" si="0"/>
        <v/>
      </c>
      <c r="AQ14" s="115">
        <f t="shared" si="1"/>
        <v>0</v>
      </c>
    </row>
    <row r="15" spans="1:43">
      <c r="A15" s="289" t="str">
        <f>IF(ISBLANK('1. Déclaration'!C143)=TRUE,"",'1. Déclaration'!C143)</f>
        <v/>
      </c>
      <c r="B15" s="292" t="str">
        <f>IF(ISBLANK('1. Déclaration'!A143)=TRUE,"",'1. Déclaration'!A143)</f>
        <v/>
      </c>
      <c r="C15" s="295"/>
      <c r="D15" s="209"/>
      <c r="E15" s="213"/>
      <c r="F15" s="209"/>
      <c r="G15" s="213"/>
      <c r="H15" s="211"/>
      <c r="I15" s="213"/>
      <c r="J15" s="209"/>
      <c r="K15" s="213"/>
      <c r="L15" s="208" t="str">
        <f t="shared" si="17"/>
        <v/>
      </c>
      <c r="M15" s="212" t="str">
        <f t="shared" si="2"/>
        <v/>
      </c>
      <c r="N15" s="208" t="str">
        <f t="shared" si="3"/>
        <v/>
      </c>
      <c r="O15" s="212" t="str">
        <f t="shared" si="4"/>
        <v/>
      </c>
      <c r="P15" s="208" t="str">
        <f t="shared" si="5"/>
        <v/>
      </c>
      <c r="Q15" s="212" t="str">
        <f t="shared" si="6"/>
        <v/>
      </c>
      <c r="R15" s="208" t="str">
        <f t="shared" si="7"/>
        <v/>
      </c>
      <c r="S15" s="212" t="str">
        <f t="shared" si="8"/>
        <v/>
      </c>
      <c r="T15" s="211"/>
      <c r="U15" s="212" t="str">
        <f t="shared" si="9"/>
        <v/>
      </c>
      <c r="V15" s="211"/>
      <c r="W15" s="212" t="str">
        <f t="shared" si="10"/>
        <v/>
      </c>
      <c r="X15" s="298" t="str">
        <f t="shared" si="11"/>
        <v/>
      </c>
      <c r="Y15" s="13">
        <f>'0. Installation'!$B$5</f>
        <v>0</v>
      </c>
      <c r="Z15" s="13">
        <f>'0. Installation'!$B$6</f>
        <v>0</v>
      </c>
      <c r="AA15" s="40">
        <f>'0. Installation'!$B$7</f>
        <v>0</v>
      </c>
      <c r="AB15" s="41" t="str">
        <f t="shared" si="12"/>
        <v/>
      </c>
      <c r="AC15" s="41" t="str">
        <f>IF(A15="","",IF($A14&lt;&gt;$A15,IF(Z15=0,0,
IF('0. Installation'!$B$2="Cogénération",
X15*AA15/(AA15+273.15)/(Y15+AA15/(AA15+273.15)*Z15),
X15/Z15)),""))</f>
        <v/>
      </c>
      <c r="AD15" s="42">
        <f>'0. Installation'!$B$4</f>
        <v>0</v>
      </c>
      <c r="AE15" s="43">
        <f>IF('0. Installation'!$B$8="OUI",'Références GES'!$B$16,'Références GES'!$B$14)</f>
        <v>183</v>
      </c>
      <c r="AF15" s="44" t="str">
        <f t="shared" si="13"/>
        <v/>
      </c>
      <c r="AG15" s="43">
        <f>'Références GES'!$B$15</f>
        <v>80</v>
      </c>
      <c r="AH15" s="44" t="str">
        <f t="shared" si="14"/>
        <v/>
      </c>
      <c r="AI15" s="45"/>
      <c r="AJ15" s="43">
        <f>'Références GES'!$B$14</f>
        <v>183</v>
      </c>
      <c r="AK15" s="44" t="e">
        <f t="shared" si="18"/>
        <v>#VALUE!</v>
      </c>
      <c r="AL15" s="43">
        <f>'Références GES'!$B$15</f>
        <v>80</v>
      </c>
      <c r="AM15" s="44" t="e">
        <f t="shared" si="15"/>
        <v>#VALUE!</v>
      </c>
      <c r="AN15" s="46" t="str">
        <f t="shared" si="16"/>
        <v/>
      </c>
      <c r="AO15" s="47" t="str">
        <f t="shared" si="0"/>
        <v/>
      </c>
      <c r="AQ15" s="115">
        <f t="shared" si="1"/>
        <v>0</v>
      </c>
    </row>
    <row r="16" spans="1:43">
      <c r="A16" s="289" t="str">
        <f>IF(ISBLANK('1. Déclaration'!C144)=TRUE,"",'1. Déclaration'!C144)</f>
        <v/>
      </c>
      <c r="B16" s="292" t="str">
        <f>IF(ISBLANK('1. Déclaration'!A144)=TRUE,"",'1. Déclaration'!A144)</f>
        <v/>
      </c>
      <c r="C16" s="295"/>
      <c r="D16" s="209"/>
      <c r="E16" s="213"/>
      <c r="F16" s="209"/>
      <c r="G16" s="213"/>
      <c r="H16" s="211"/>
      <c r="I16" s="213"/>
      <c r="J16" s="209"/>
      <c r="K16" s="213"/>
      <c r="L16" s="208" t="str">
        <f t="shared" si="17"/>
        <v/>
      </c>
      <c r="M16" s="212" t="str">
        <f t="shared" si="2"/>
        <v/>
      </c>
      <c r="N16" s="208" t="str">
        <f t="shared" si="3"/>
        <v/>
      </c>
      <c r="O16" s="212" t="str">
        <f t="shared" si="4"/>
        <v/>
      </c>
      <c r="P16" s="208" t="str">
        <f t="shared" si="5"/>
        <v/>
      </c>
      <c r="Q16" s="212" t="str">
        <f t="shared" si="6"/>
        <v/>
      </c>
      <c r="R16" s="208" t="str">
        <f t="shared" si="7"/>
        <v/>
      </c>
      <c r="S16" s="212" t="str">
        <f t="shared" si="8"/>
        <v/>
      </c>
      <c r="T16" s="211"/>
      <c r="U16" s="212" t="str">
        <f t="shared" si="9"/>
        <v/>
      </c>
      <c r="V16" s="211"/>
      <c r="W16" s="212" t="str">
        <f t="shared" si="10"/>
        <v/>
      </c>
      <c r="X16" s="298" t="str">
        <f t="shared" si="11"/>
        <v/>
      </c>
      <c r="Y16" s="13">
        <f>'0. Installation'!$B$5</f>
        <v>0</v>
      </c>
      <c r="Z16" s="13">
        <f>'0. Installation'!$B$6</f>
        <v>0</v>
      </c>
      <c r="AA16" s="40">
        <f>'0. Installation'!$B$7</f>
        <v>0</v>
      </c>
      <c r="AB16" s="41" t="str">
        <f t="shared" si="12"/>
        <v/>
      </c>
      <c r="AC16" s="41" t="str">
        <f>IF(A16="","",IF($A15&lt;&gt;$A16,IF(Z16=0,0,
IF('0. Installation'!$B$2="Cogénération",
X16*AA16/(AA16+273.15)/(Y16+AA16/(AA16+273.15)*Z16),
X16/Z16)),""))</f>
        <v/>
      </c>
      <c r="AD16" s="42">
        <f>'0. Installation'!$B$4</f>
        <v>0</v>
      </c>
      <c r="AE16" s="43">
        <f>IF('0. Installation'!$B$8="OUI",'Références GES'!$B$16,'Références GES'!$B$14)</f>
        <v>183</v>
      </c>
      <c r="AF16" s="44" t="str">
        <f t="shared" si="13"/>
        <v/>
      </c>
      <c r="AG16" s="43">
        <f>'Références GES'!$B$15</f>
        <v>80</v>
      </c>
      <c r="AH16" s="44" t="str">
        <f t="shared" si="14"/>
        <v/>
      </c>
      <c r="AI16" s="45"/>
      <c r="AJ16" s="43">
        <f>'Références GES'!$B$14</f>
        <v>183</v>
      </c>
      <c r="AK16" s="44" t="e">
        <f t="shared" si="18"/>
        <v>#VALUE!</v>
      </c>
      <c r="AL16" s="43">
        <f>'Références GES'!$B$15</f>
        <v>80</v>
      </c>
      <c r="AM16" s="44" t="e">
        <f t="shared" si="15"/>
        <v>#VALUE!</v>
      </c>
      <c r="AN16" s="46" t="str">
        <f t="shared" si="16"/>
        <v/>
      </c>
      <c r="AO16" s="47" t="str">
        <f t="shared" si="0"/>
        <v/>
      </c>
      <c r="AQ16" s="115">
        <f t="shared" si="1"/>
        <v>0</v>
      </c>
    </row>
    <row r="17" spans="1:43">
      <c r="A17" s="289" t="str">
        <f>IF(ISBLANK('1. Déclaration'!C145)=TRUE,"",'1. Déclaration'!C145)</f>
        <v/>
      </c>
      <c r="B17" s="292" t="str">
        <f>IF(ISBLANK('1. Déclaration'!A145)=TRUE,"",'1. Déclaration'!A145)</f>
        <v/>
      </c>
      <c r="C17" s="295"/>
      <c r="D17" s="209"/>
      <c r="E17" s="213"/>
      <c r="F17" s="209"/>
      <c r="G17" s="213"/>
      <c r="H17" s="211"/>
      <c r="I17" s="213"/>
      <c r="J17" s="209"/>
      <c r="K17" s="213"/>
      <c r="L17" s="208" t="str">
        <f t="shared" si="17"/>
        <v/>
      </c>
      <c r="M17" s="212" t="str">
        <f t="shared" si="2"/>
        <v/>
      </c>
      <c r="N17" s="208" t="str">
        <f t="shared" si="3"/>
        <v/>
      </c>
      <c r="O17" s="212" t="str">
        <f t="shared" si="4"/>
        <v/>
      </c>
      <c r="P17" s="208" t="str">
        <f t="shared" si="5"/>
        <v/>
      </c>
      <c r="Q17" s="212" t="str">
        <f t="shared" si="6"/>
        <v/>
      </c>
      <c r="R17" s="208" t="str">
        <f t="shared" si="7"/>
        <v/>
      </c>
      <c r="S17" s="212" t="str">
        <f t="shared" si="8"/>
        <v/>
      </c>
      <c r="T17" s="211"/>
      <c r="U17" s="212" t="str">
        <f t="shared" si="9"/>
        <v/>
      </c>
      <c r="V17" s="211"/>
      <c r="W17" s="212" t="str">
        <f t="shared" si="10"/>
        <v/>
      </c>
      <c r="X17" s="298" t="str">
        <f t="shared" si="11"/>
        <v/>
      </c>
      <c r="Y17" s="13">
        <f>'0. Installation'!$B$5</f>
        <v>0</v>
      </c>
      <c r="Z17" s="13">
        <f>'0. Installation'!$B$6</f>
        <v>0</v>
      </c>
      <c r="AA17" s="40">
        <f>'0. Installation'!$B$7</f>
        <v>0</v>
      </c>
      <c r="AB17" s="41" t="str">
        <f t="shared" si="12"/>
        <v/>
      </c>
      <c r="AC17" s="41" t="str">
        <f>IF(A17="","",IF($A16&lt;&gt;$A17,IF(Z17=0,0,
IF('0. Installation'!$B$2="Cogénération",
X17*AA17/(AA17+273.15)/(Y17+AA17/(AA17+273.15)*Z17),
X17/Z17)),""))</f>
        <v/>
      </c>
      <c r="AD17" s="42">
        <f>'0. Installation'!$B$4</f>
        <v>0</v>
      </c>
      <c r="AE17" s="43">
        <f>IF('0. Installation'!$B$8="OUI",'Références GES'!$B$16,'Références GES'!$B$14)</f>
        <v>183</v>
      </c>
      <c r="AF17" s="44" t="str">
        <f t="shared" si="13"/>
        <v/>
      </c>
      <c r="AG17" s="43">
        <f>'Références GES'!$B$15</f>
        <v>80</v>
      </c>
      <c r="AH17" s="44" t="str">
        <f t="shared" si="14"/>
        <v/>
      </c>
      <c r="AI17" s="45"/>
      <c r="AJ17" s="43">
        <f>'Références GES'!$B$14</f>
        <v>183</v>
      </c>
      <c r="AK17" s="44" t="e">
        <f t="shared" si="18"/>
        <v>#VALUE!</v>
      </c>
      <c r="AL17" s="43">
        <f>'Références GES'!$B$15</f>
        <v>80</v>
      </c>
      <c r="AM17" s="44" t="e">
        <f t="shared" si="15"/>
        <v>#VALUE!</v>
      </c>
      <c r="AN17" s="46" t="str">
        <f t="shared" si="16"/>
        <v/>
      </c>
      <c r="AO17" s="47" t="str">
        <f t="shared" si="0"/>
        <v/>
      </c>
      <c r="AQ17" s="115">
        <f t="shared" si="1"/>
        <v>0</v>
      </c>
    </row>
    <row r="18" spans="1:43">
      <c r="A18" s="289" t="str">
        <f>IF(ISBLANK('1. Déclaration'!C146)=TRUE,"",'1. Déclaration'!C146)</f>
        <v/>
      </c>
      <c r="B18" s="292" t="str">
        <f>IF(ISBLANK('1. Déclaration'!A146)=TRUE,"",'1. Déclaration'!A146)</f>
        <v/>
      </c>
      <c r="C18" s="295"/>
      <c r="D18" s="209"/>
      <c r="E18" s="213"/>
      <c r="F18" s="209"/>
      <c r="G18" s="213"/>
      <c r="H18" s="211"/>
      <c r="I18" s="213"/>
      <c r="J18" s="209"/>
      <c r="K18" s="213"/>
      <c r="L18" s="208" t="str">
        <f t="shared" si="17"/>
        <v/>
      </c>
      <c r="M18" s="212" t="str">
        <f t="shared" si="2"/>
        <v/>
      </c>
      <c r="N18" s="208" t="str">
        <f t="shared" si="3"/>
        <v/>
      </c>
      <c r="O18" s="212" t="str">
        <f t="shared" si="4"/>
        <v/>
      </c>
      <c r="P18" s="208" t="str">
        <f t="shared" si="5"/>
        <v/>
      </c>
      <c r="Q18" s="212" t="str">
        <f t="shared" si="6"/>
        <v/>
      </c>
      <c r="R18" s="208" t="str">
        <f t="shared" si="7"/>
        <v/>
      </c>
      <c r="S18" s="212" t="str">
        <f t="shared" si="8"/>
        <v/>
      </c>
      <c r="T18" s="211"/>
      <c r="U18" s="212" t="str">
        <f t="shared" si="9"/>
        <v/>
      </c>
      <c r="V18" s="211"/>
      <c r="W18" s="212" t="str">
        <f t="shared" si="10"/>
        <v/>
      </c>
      <c r="X18" s="298" t="str">
        <f t="shared" si="11"/>
        <v/>
      </c>
      <c r="Y18" s="13">
        <f>'0. Installation'!$B$5</f>
        <v>0</v>
      </c>
      <c r="Z18" s="13">
        <f>'0. Installation'!$B$6</f>
        <v>0</v>
      </c>
      <c r="AA18" s="40">
        <f>'0. Installation'!$B$7</f>
        <v>0</v>
      </c>
      <c r="AB18" s="41" t="str">
        <f t="shared" si="12"/>
        <v/>
      </c>
      <c r="AC18" s="41" t="str">
        <f>IF(A18="","",IF($A17&lt;&gt;$A18,IF(Z18=0,0,
IF('0. Installation'!$B$2="Cogénération",
X18*AA18/(AA18+273.15)/(Y18+AA18/(AA18+273.15)*Z18),
X18/Z18)),""))</f>
        <v/>
      </c>
      <c r="AD18" s="42">
        <f>'0. Installation'!$B$4</f>
        <v>0</v>
      </c>
      <c r="AE18" s="43">
        <f>IF('0. Installation'!$B$8="OUI",'Références GES'!$B$16,'Références GES'!$B$14)</f>
        <v>183</v>
      </c>
      <c r="AF18" s="44" t="str">
        <f t="shared" si="13"/>
        <v/>
      </c>
      <c r="AG18" s="43">
        <f>'Références GES'!$B$15</f>
        <v>80</v>
      </c>
      <c r="AH18" s="44" t="str">
        <f t="shared" si="14"/>
        <v/>
      </c>
      <c r="AI18" s="45"/>
      <c r="AJ18" s="43">
        <f>'Références GES'!$B$14</f>
        <v>183</v>
      </c>
      <c r="AK18" s="44" t="e">
        <f t="shared" si="18"/>
        <v>#VALUE!</v>
      </c>
      <c r="AL18" s="43">
        <f>'Références GES'!$B$15</f>
        <v>80</v>
      </c>
      <c r="AM18" s="44" t="e">
        <f t="shared" si="15"/>
        <v>#VALUE!</v>
      </c>
      <c r="AN18" s="46" t="str">
        <f t="shared" si="16"/>
        <v/>
      </c>
      <c r="AO18" s="47" t="str">
        <f t="shared" si="0"/>
        <v/>
      </c>
      <c r="AQ18" s="115">
        <f t="shared" si="1"/>
        <v>0</v>
      </c>
    </row>
    <row r="19" spans="1:43">
      <c r="A19" s="289" t="str">
        <f>IF(ISBLANK('1. Déclaration'!C147)=TRUE,"",'1. Déclaration'!C147)</f>
        <v/>
      </c>
      <c r="B19" s="292" t="str">
        <f>IF(ISBLANK('1. Déclaration'!A147)=TRUE,"",'1. Déclaration'!A147)</f>
        <v/>
      </c>
      <c r="C19" s="295"/>
      <c r="D19" s="209"/>
      <c r="E19" s="213"/>
      <c r="F19" s="209"/>
      <c r="G19" s="213"/>
      <c r="H19" s="211"/>
      <c r="I19" s="213"/>
      <c r="J19" s="209"/>
      <c r="K19" s="213"/>
      <c r="L19" s="208" t="str">
        <f t="shared" si="17"/>
        <v/>
      </c>
      <c r="M19" s="212" t="str">
        <f t="shared" si="2"/>
        <v/>
      </c>
      <c r="N19" s="208" t="str">
        <f t="shared" si="3"/>
        <v/>
      </c>
      <c r="O19" s="212" t="str">
        <f t="shared" si="4"/>
        <v/>
      </c>
      <c r="P19" s="208" t="str">
        <f t="shared" si="5"/>
        <v/>
      </c>
      <c r="Q19" s="212" t="str">
        <f t="shared" si="6"/>
        <v/>
      </c>
      <c r="R19" s="208" t="str">
        <f t="shared" si="7"/>
        <v/>
      </c>
      <c r="S19" s="212" t="str">
        <f t="shared" si="8"/>
        <v/>
      </c>
      <c r="T19" s="211"/>
      <c r="U19" s="212" t="str">
        <f t="shared" si="9"/>
        <v/>
      </c>
      <c r="V19" s="211"/>
      <c r="W19" s="212" t="str">
        <f t="shared" si="10"/>
        <v/>
      </c>
      <c r="X19" s="298" t="str">
        <f t="shared" si="11"/>
        <v/>
      </c>
      <c r="Y19" s="13">
        <f>'0. Installation'!$B$5</f>
        <v>0</v>
      </c>
      <c r="Z19" s="13">
        <f>'0. Installation'!$B$6</f>
        <v>0</v>
      </c>
      <c r="AA19" s="40">
        <f>'0. Installation'!$B$7</f>
        <v>0</v>
      </c>
      <c r="AB19" s="41" t="str">
        <f t="shared" si="12"/>
        <v/>
      </c>
      <c r="AC19" s="41" t="str">
        <f>IF(A19="","",IF($A18&lt;&gt;$A19,IF(Z19=0,0,
IF('0. Installation'!$B$2="Cogénération",
X19*AA19/(AA19+273.15)/(Y19+AA19/(AA19+273.15)*Z19),
X19/Z19)),""))</f>
        <v/>
      </c>
      <c r="AD19" s="42">
        <f>'0. Installation'!$B$4</f>
        <v>0</v>
      </c>
      <c r="AE19" s="43">
        <f>IF('0. Installation'!$B$8="OUI",'Références GES'!$B$16,'Références GES'!$B$14)</f>
        <v>183</v>
      </c>
      <c r="AF19" s="44" t="str">
        <f t="shared" si="13"/>
        <v/>
      </c>
      <c r="AG19" s="43">
        <f>'Références GES'!$B$15</f>
        <v>80</v>
      </c>
      <c r="AH19" s="44" t="str">
        <f t="shared" si="14"/>
        <v/>
      </c>
      <c r="AI19" s="45"/>
      <c r="AJ19" s="43">
        <f>'Références GES'!$B$14</f>
        <v>183</v>
      </c>
      <c r="AK19" s="44" t="e">
        <f t="shared" si="18"/>
        <v>#VALUE!</v>
      </c>
      <c r="AL19" s="43">
        <f>'Références GES'!$B$15</f>
        <v>80</v>
      </c>
      <c r="AM19" s="44" t="e">
        <f t="shared" si="15"/>
        <v>#VALUE!</v>
      </c>
      <c r="AN19" s="46" t="str">
        <f t="shared" si="16"/>
        <v/>
      </c>
      <c r="AO19" s="47" t="str">
        <f t="shared" si="0"/>
        <v/>
      </c>
      <c r="AQ19" s="115">
        <f t="shared" si="1"/>
        <v>0</v>
      </c>
    </row>
    <row r="20" spans="1:43">
      <c r="A20" s="289" t="str">
        <f>IF(ISBLANK('1. Déclaration'!C148)=TRUE,"",'1. Déclaration'!C148)</f>
        <v/>
      </c>
      <c r="B20" s="292" t="str">
        <f>IF(ISBLANK('1. Déclaration'!A148)=TRUE,"",'1. Déclaration'!A148)</f>
        <v/>
      </c>
      <c r="C20" s="295"/>
      <c r="D20" s="209"/>
      <c r="E20" s="213"/>
      <c r="F20" s="209"/>
      <c r="G20" s="213"/>
      <c r="H20" s="211"/>
      <c r="I20" s="213"/>
      <c r="J20" s="209"/>
      <c r="K20" s="213"/>
      <c r="L20" s="208" t="str">
        <f t="shared" si="17"/>
        <v/>
      </c>
      <c r="M20" s="212" t="str">
        <f t="shared" si="2"/>
        <v/>
      </c>
      <c r="N20" s="208" t="str">
        <f t="shared" si="3"/>
        <v/>
      </c>
      <c r="O20" s="212" t="str">
        <f t="shared" si="4"/>
        <v/>
      </c>
      <c r="P20" s="208" t="str">
        <f t="shared" si="5"/>
        <v/>
      </c>
      <c r="Q20" s="212" t="str">
        <f t="shared" si="6"/>
        <v/>
      </c>
      <c r="R20" s="208" t="str">
        <f t="shared" si="7"/>
        <v/>
      </c>
      <c r="S20" s="212" t="str">
        <f t="shared" si="8"/>
        <v/>
      </c>
      <c r="T20" s="211"/>
      <c r="U20" s="212" t="str">
        <f t="shared" si="9"/>
        <v/>
      </c>
      <c r="V20" s="211"/>
      <c r="W20" s="212" t="str">
        <f t="shared" si="10"/>
        <v/>
      </c>
      <c r="X20" s="298" t="str">
        <f t="shared" si="11"/>
        <v/>
      </c>
      <c r="Y20" s="13">
        <f>'0. Installation'!$B$5</f>
        <v>0</v>
      </c>
      <c r="Z20" s="13">
        <f>'0. Installation'!$B$6</f>
        <v>0</v>
      </c>
      <c r="AA20" s="40">
        <f>'0. Installation'!$B$7</f>
        <v>0</v>
      </c>
      <c r="AB20" s="41" t="str">
        <f t="shared" si="12"/>
        <v/>
      </c>
      <c r="AC20" s="41" t="str">
        <f>IF(A20="","",IF($A19&lt;&gt;$A20,IF(Z20=0,0,
IF('0. Installation'!$B$2="Cogénération",
X20*AA20/(AA20+273.15)/(Y20+AA20/(AA20+273.15)*Z20),
X20/Z20)),""))</f>
        <v/>
      </c>
      <c r="AD20" s="42">
        <f>'0. Installation'!$B$4</f>
        <v>0</v>
      </c>
      <c r="AE20" s="43">
        <f>IF('0. Installation'!$B$8="OUI",'Références GES'!$B$16,'Références GES'!$B$14)</f>
        <v>183</v>
      </c>
      <c r="AF20" s="44" t="str">
        <f t="shared" si="13"/>
        <v/>
      </c>
      <c r="AG20" s="43">
        <f>'Références GES'!$B$15</f>
        <v>80</v>
      </c>
      <c r="AH20" s="44" t="str">
        <f t="shared" si="14"/>
        <v/>
      </c>
      <c r="AI20" s="45"/>
      <c r="AJ20" s="43">
        <f>'Références GES'!$B$14</f>
        <v>183</v>
      </c>
      <c r="AK20" s="44" t="e">
        <f t="shared" si="18"/>
        <v>#VALUE!</v>
      </c>
      <c r="AL20" s="43">
        <f>'Références GES'!$B$15</f>
        <v>80</v>
      </c>
      <c r="AM20" s="44" t="e">
        <f t="shared" si="15"/>
        <v>#VALUE!</v>
      </c>
      <c r="AN20" s="46" t="str">
        <f t="shared" si="16"/>
        <v/>
      </c>
      <c r="AO20" s="47" t="str">
        <f t="shared" si="0"/>
        <v/>
      </c>
      <c r="AQ20" s="115">
        <f t="shared" si="1"/>
        <v>0</v>
      </c>
    </row>
    <row r="21" spans="1:43">
      <c r="A21" s="289" t="str">
        <f>IF(ISBLANK('1. Déclaration'!C149)=TRUE,"",'1. Déclaration'!C149)</f>
        <v/>
      </c>
      <c r="B21" s="292" t="str">
        <f>IF(ISBLANK('1. Déclaration'!A149)=TRUE,"",'1. Déclaration'!A149)</f>
        <v/>
      </c>
      <c r="C21" s="295"/>
      <c r="D21" s="209"/>
      <c r="E21" s="213"/>
      <c r="F21" s="209"/>
      <c r="G21" s="213"/>
      <c r="H21" s="211"/>
      <c r="I21" s="213"/>
      <c r="J21" s="209"/>
      <c r="K21" s="213"/>
      <c r="L21" s="208" t="str">
        <f t="shared" si="17"/>
        <v/>
      </c>
      <c r="M21" s="212" t="str">
        <f t="shared" si="2"/>
        <v/>
      </c>
      <c r="N21" s="208" t="str">
        <f t="shared" si="3"/>
        <v/>
      </c>
      <c r="O21" s="212" t="str">
        <f t="shared" si="4"/>
        <v/>
      </c>
      <c r="P21" s="208" t="str">
        <f t="shared" si="5"/>
        <v/>
      </c>
      <c r="Q21" s="212" t="str">
        <f t="shared" si="6"/>
        <v/>
      </c>
      <c r="R21" s="208" t="str">
        <f t="shared" si="7"/>
        <v/>
      </c>
      <c r="S21" s="212" t="str">
        <f t="shared" si="8"/>
        <v/>
      </c>
      <c r="T21" s="211"/>
      <c r="U21" s="212" t="str">
        <f t="shared" si="9"/>
        <v/>
      </c>
      <c r="V21" s="211"/>
      <c r="W21" s="212" t="str">
        <f t="shared" si="10"/>
        <v/>
      </c>
      <c r="X21" s="298" t="str">
        <f t="shared" si="11"/>
        <v/>
      </c>
      <c r="Y21" s="13">
        <f>'0. Installation'!$B$5</f>
        <v>0</v>
      </c>
      <c r="Z21" s="13">
        <f>'0. Installation'!$B$6</f>
        <v>0</v>
      </c>
      <c r="AA21" s="40">
        <f>'0. Installation'!$B$7</f>
        <v>0</v>
      </c>
      <c r="AB21" s="41" t="str">
        <f t="shared" si="12"/>
        <v/>
      </c>
      <c r="AC21" s="41" t="str">
        <f>IF(A21="","",IF($A20&lt;&gt;$A21,IF(Z21=0,0,
IF('0. Installation'!$B$2="Cogénération",
X21*AA21/(AA21+273.15)/(Y21+AA21/(AA21+273.15)*Z21),
X21/Z21)),""))</f>
        <v/>
      </c>
      <c r="AD21" s="42">
        <f>'0. Installation'!$B$4</f>
        <v>0</v>
      </c>
      <c r="AE21" s="43">
        <f>IF('0. Installation'!$B$8="OUI",'Références GES'!$B$16,'Références GES'!$B$14)</f>
        <v>183</v>
      </c>
      <c r="AF21" s="44" t="str">
        <f t="shared" si="13"/>
        <v/>
      </c>
      <c r="AG21" s="43">
        <f>'Références GES'!$B$15</f>
        <v>80</v>
      </c>
      <c r="AH21" s="44" t="str">
        <f t="shared" si="14"/>
        <v/>
      </c>
      <c r="AI21" s="45"/>
      <c r="AJ21" s="43">
        <f>'Références GES'!$B$14</f>
        <v>183</v>
      </c>
      <c r="AK21" s="44" t="e">
        <f t="shared" si="18"/>
        <v>#VALUE!</v>
      </c>
      <c r="AL21" s="43">
        <f>'Références GES'!$B$15</f>
        <v>80</v>
      </c>
      <c r="AM21" s="44" t="e">
        <f t="shared" si="15"/>
        <v>#VALUE!</v>
      </c>
      <c r="AN21" s="46" t="str">
        <f t="shared" si="16"/>
        <v/>
      </c>
      <c r="AO21" s="47" t="str">
        <f t="shared" si="0"/>
        <v/>
      </c>
      <c r="AQ21" s="115">
        <f t="shared" si="1"/>
        <v>0</v>
      </c>
    </row>
    <row r="22" spans="1:43">
      <c r="A22" s="289" t="str">
        <f>IF(ISBLANK('1. Déclaration'!C150)=TRUE,"",'1. Déclaration'!C150)</f>
        <v/>
      </c>
      <c r="B22" s="292" t="str">
        <f>IF(ISBLANK('1. Déclaration'!A150)=TRUE,"",'1. Déclaration'!A150)</f>
        <v/>
      </c>
      <c r="C22" s="295"/>
      <c r="D22" s="209"/>
      <c r="E22" s="213"/>
      <c r="F22" s="209"/>
      <c r="G22" s="213"/>
      <c r="H22" s="211"/>
      <c r="I22" s="213"/>
      <c r="J22" s="209"/>
      <c r="K22" s="213"/>
      <c r="L22" s="208" t="str">
        <f t="shared" si="17"/>
        <v/>
      </c>
      <c r="M22" s="212" t="str">
        <f t="shared" si="2"/>
        <v/>
      </c>
      <c r="N22" s="208" t="str">
        <f t="shared" si="3"/>
        <v/>
      </c>
      <c r="O22" s="212" t="str">
        <f t="shared" si="4"/>
        <v/>
      </c>
      <c r="P22" s="208" t="str">
        <f t="shared" si="5"/>
        <v/>
      </c>
      <c r="Q22" s="212" t="str">
        <f t="shared" si="6"/>
        <v/>
      </c>
      <c r="R22" s="208" t="str">
        <f t="shared" si="7"/>
        <v/>
      </c>
      <c r="S22" s="212" t="str">
        <f t="shared" si="8"/>
        <v/>
      </c>
      <c r="T22" s="211"/>
      <c r="U22" s="212" t="str">
        <f t="shared" si="9"/>
        <v/>
      </c>
      <c r="V22" s="211"/>
      <c r="W22" s="212" t="str">
        <f t="shared" si="10"/>
        <v/>
      </c>
      <c r="X22" s="298" t="str">
        <f t="shared" si="11"/>
        <v/>
      </c>
      <c r="Y22" s="13">
        <f>'0. Installation'!$B$5</f>
        <v>0</v>
      </c>
      <c r="Z22" s="13">
        <f>'0. Installation'!$B$6</f>
        <v>0</v>
      </c>
      <c r="AA22" s="40">
        <f>'0. Installation'!$B$7</f>
        <v>0</v>
      </c>
      <c r="AB22" s="41" t="str">
        <f t="shared" si="12"/>
        <v/>
      </c>
      <c r="AC22" s="41" t="str">
        <f>IF(A22="","",IF($A21&lt;&gt;$A22,IF(Z22=0,0,
IF('0. Installation'!$B$2="Cogénération",
X22*AA22/(AA22+273.15)/(Y22+AA22/(AA22+273.15)*Z22),
X22/Z22)),""))</f>
        <v/>
      </c>
      <c r="AD22" s="42">
        <f>'0. Installation'!$B$4</f>
        <v>0</v>
      </c>
      <c r="AE22" s="43">
        <f>IF('0. Installation'!$B$8="OUI",'Références GES'!$B$16,'Références GES'!$B$14)</f>
        <v>183</v>
      </c>
      <c r="AF22" s="44" t="str">
        <f t="shared" si="13"/>
        <v/>
      </c>
      <c r="AG22" s="43">
        <f>'Références GES'!$B$15</f>
        <v>80</v>
      </c>
      <c r="AH22" s="44" t="str">
        <f t="shared" si="14"/>
        <v/>
      </c>
      <c r="AI22" s="45"/>
      <c r="AJ22" s="43">
        <f>'Références GES'!$B$14</f>
        <v>183</v>
      </c>
      <c r="AK22" s="44" t="e">
        <f t="shared" si="18"/>
        <v>#VALUE!</v>
      </c>
      <c r="AL22" s="43">
        <f>'Références GES'!$B$15</f>
        <v>80</v>
      </c>
      <c r="AM22" s="44" t="e">
        <f t="shared" si="15"/>
        <v>#VALUE!</v>
      </c>
      <c r="AN22" s="46" t="str">
        <f t="shared" si="16"/>
        <v/>
      </c>
      <c r="AO22" s="47" t="str">
        <f t="shared" si="0"/>
        <v/>
      </c>
      <c r="AQ22" s="115">
        <f t="shared" si="1"/>
        <v>0</v>
      </c>
    </row>
    <row r="23" spans="1:43">
      <c r="A23" s="289" t="str">
        <f>IF(ISBLANK('1. Déclaration'!C151)=TRUE,"",'1. Déclaration'!C151)</f>
        <v/>
      </c>
      <c r="B23" s="292" t="str">
        <f>IF(ISBLANK('1. Déclaration'!A151)=TRUE,"",'1. Déclaration'!A151)</f>
        <v/>
      </c>
      <c r="C23" s="295"/>
      <c r="D23" s="209"/>
      <c r="E23" s="213"/>
      <c r="F23" s="209"/>
      <c r="G23" s="213"/>
      <c r="H23" s="211"/>
      <c r="I23" s="213"/>
      <c r="J23" s="209"/>
      <c r="K23" s="213"/>
      <c r="L23" s="208" t="str">
        <f t="shared" si="17"/>
        <v/>
      </c>
      <c r="M23" s="212" t="str">
        <f t="shared" si="2"/>
        <v/>
      </c>
      <c r="N23" s="208" t="str">
        <f t="shared" si="3"/>
        <v/>
      </c>
      <c r="O23" s="212" t="str">
        <f t="shared" si="4"/>
        <v/>
      </c>
      <c r="P23" s="208" t="str">
        <f t="shared" si="5"/>
        <v/>
      </c>
      <c r="Q23" s="212" t="str">
        <f t="shared" si="6"/>
        <v/>
      </c>
      <c r="R23" s="208" t="str">
        <f t="shared" si="7"/>
        <v/>
      </c>
      <c r="S23" s="212" t="str">
        <f t="shared" si="8"/>
        <v/>
      </c>
      <c r="T23" s="211"/>
      <c r="U23" s="212" t="str">
        <f t="shared" si="9"/>
        <v/>
      </c>
      <c r="V23" s="211"/>
      <c r="W23" s="212" t="str">
        <f t="shared" si="10"/>
        <v/>
      </c>
      <c r="X23" s="298" t="str">
        <f t="shared" si="11"/>
        <v/>
      </c>
      <c r="Y23" s="13">
        <f>'0. Installation'!$B$5</f>
        <v>0</v>
      </c>
      <c r="Z23" s="13">
        <f>'0. Installation'!$B$6</f>
        <v>0</v>
      </c>
      <c r="AA23" s="40">
        <f>'0. Installation'!$B$7</f>
        <v>0</v>
      </c>
      <c r="AB23" s="41" t="str">
        <f t="shared" si="12"/>
        <v/>
      </c>
      <c r="AC23" s="41" t="str">
        <f>IF(A23="","",IF($A22&lt;&gt;$A23,IF(Z23=0,0,
IF('0. Installation'!$B$2="Cogénération",
X23*AA23/(AA23+273.15)/(Y23+AA23/(AA23+273.15)*Z23),
X23/Z23)),""))</f>
        <v/>
      </c>
      <c r="AD23" s="42">
        <f>'0. Installation'!$B$4</f>
        <v>0</v>
      </c>
      <c r="AE23" s="43">
        <f>IF('0. Installation'!$B$8="OUI",'Références GES'!$B$16,'Références GES'!$B$14)</f>
        <v>183</v>
      </c>
      <c r="AF23" s="44" t="str">
        <f t="shared" si="13"/>
        <v/>
      </c>
      <c r="AG23" s="43">
        <f>'Références GES'!$B$15</f>
        <v>80</v>
      </c>
      <c r="AH23" s="44" t="str">
        <f t="shared" si="14"/>
        <v/>
      </c>
      <c r="AI23" s="45"/>
      <c r="AJ23" s="43">
        <f>'Références GES'!$B$14</f>
        <v>183</v>
      </c>
      <c r="AK23" s="44" t="e">
        <f t="shared" si="18"/>
        <v>#VALUE!</v>
      </c>
      <c r="AL23" s="43">
        <f>'Références GES'!$B$15</f>
        <v>80</v>
      </c>
      <c r="AM23" s="44" t="e">
        <f t="shared" si="15"/>
        <v>#VALUE!</v>
      </c>
      <c r="AN23" s="46" t="str">
        <f t="shared" si="16"/>
        <v/>
      </c>
      <c r="AO23" s="47" t="str">
        <f t="shared" si="0"/>
        <v/>
      </c>
      <c r="AQ23" s="115">
        <f t="shared" si="1"/>
        <v>0</v>
      </c>
    </row>
    <row r="24" spans="1:43">
      <c r="A24" s="289" t="str">
        <f>IF(ISBLANK('1. Déclaration'!C152)=TRUE,"",'1. Déclaration'!C152)</f>
        <v/>
      </c>
      <c r="B24" s="292" t="str">
        <f>IF(ISBLANK('1. Déclaration'!A152)=TRUE,"",'1. Déclaration'!A152)</f>
        <v/>
      </c>
      <c r="C24" s="295"/>
      <c r="D24" s="209"/>
      <c r="E24" s="213"/>
      <c r="F24" s="209"/>
      <c r="G24" s="213"/>
      <c r="H24" s="211"/>
      <c r="I24" s="213"/>
      <c r="J24" s="209"/>
      <c r="K24" s="213"/>
      <c r="L24" s="208" t="str">
        <f t="shared" si="17"/>
        <v/>
      </c>
      <c r="M24" s="212" t="str">
        <f t="shared" si="2"/>
        <v/>
      </c>
      <c r="N24" s="208" t="str">
        <f t="shared" si="3"/>
        <v/>
      </c>
      <c r="O24" s="212" t="str">
        <f t="shared" si="4"/>
        <v/>
      </c>
      <c r="P24" s="208" t="str">
        <f t="shared" si="5"/>
        <v/>
      </c>
      <c r="Q24" s="212" t="str">
        <f t="shared" si="6"/>
        <v/>
      </c>
      <c r="R24" s="208" t="str">
        <f t="shared" si="7"/>
        <v/>
      </c>
      <c r="S24" s="212" t="str">
        <f t="shared" si="8"/>
        <v/>
      </c>
      <c r="T24" s="211"/>
      <c r="U24" s="212" t="str">
        <f t="shared" si="9"/>
        <v/>
      </c>
      <c r="V24" s="211"/>
      <c r="W24" s="212" t="str">
        <f t="shared" si="10"/>
        <v/>
      </c>
      <c r="X24" s="298" t="str">
        <f t="shared" si="11"/>
        <v/>
      </c>
      <c r="Y24" s="13">
        <f>'0. Installation'!$B$5</f>
        <v>0</v>
      </c>
      <c r="Z24" s="13">
        <f>'0. Installation'!$B$6</f>
        <v>0</v>
      </c>
      <c r="AA24" s="40">
        <f>'0. Installation'!$B$7</f>
        <v>0</v>
      </c>
      <c r="AB24" s="41" t="str">
        <f t="shared" si="12"/>
        <v/>
      </c>
      <c r="AC24" s="41" t="str">
        <f>IF(A24="","",IF($A23&lt;&gt;$A24,IF(Z24=0,0,
IF('0. Installation'!$B$2="Cogénération",
X24*AA24/(AA24+273.15)/(Y24+AA24/(AA24+273.15)*Z24),
X24/Z24)),""))</f>
        <v/>
      </c>
      <c r="AD24" s="42">
        <f>'0. Installation'!$B$4</f>
        <v>0</v>
      </c>
      <c r="AE24" s="43">
        <f>IF('0. Installation'!$B$8="OUI",'Références GES'!$B$16,'Références GES'!$B$14)</f>
        <v>183</v>
      </c>
      <c r="AF24" s="44" t="str">
        <f t="shared" si="13"/>
        <v/>
      </c>
      <c r="AG24" s="43">
        <f>'Références GES'!$B$15</f>
        <v>80</v>
      </c>
      <c r="AH24" s="44" t="str">
        <f t="shared" si="14"/>
        <v/>
      </c>
      <c r="AI24" s="45"/>
      <c r="AJ24" s="43">
        <f>'Références GES'!$B$14</f>
        <v>183</v>
      </c>
      <c r="AK24" s="44" t="e">
        <f t="shared" si="18"/>
        <v>#VALUE!</v>
      </c>
      <c r="AL24" s="43">
        <f>'Références GES'!$B$15</f>
        <v>80</v>
      </c>
      <c r="AM24" s="44" t="e">
        <f t="shared" si="15"/>
        <v>#VALUE!</v>
      </c>
      <c r="AN24" s="46" t="str">
        <f t="shared" si="16"/>
        <v/>
      </c>
      <c r="AO24" s="47" t="str">
        <f t="shared" si="0"/>
        <v/>
      </c>
      <c r="AQ24" s="115">
        <f t="shared" si="1"/>
        <v>0</v>
      </c>
    </row>
    <row r="25" spans="1:43">
      <c r="A25" s="289" t="str">
        <f>IF(ISBLANK('1. Déclaration'!C153)=TRUE,"",'1. Déclaration'!C153)</f>
        <v/>
      </c>
      <c r="B25" s="292" t="str">
        <f>IF(ISBLANK('1. Déclaration'!A153)=TRUE,"",'1. Déclaration'!A153)</f>
        <v/>
      </c>
      <c r="C25" s="295"/>
      <c r="D25" s="209"/>
      <c r="E25" s="213"/>
      <c r="F25" s="209"/>
      <c r="G25" s="213"/>
      <c r="H25" s="211"/>
      <c r="I25" s="213"/>
      <c r="J25" s="209"/>
      <c r="K25" s="213"/>
      <c r="L25" s="208" t="str">
        <f t="shared" si="17"/>
        <v/>
      </c>
      <c r="M25" s="212" t="str">
        <f t="shared" si="2"/>
        <v/>
      </c>
      <c r="N25" s="208" t="str">
        <f t="shared" si="3"/>
        <v/>
      </c>
      <c r="O25" s="212" t="str">
        <f t="shared" si="4"/>
        <v/>
      </c>
      <c r="P25" s="208" t="str">
        <f t="shared" si="5"/>
        <v/>
      </c>
      <c r="Q25" s="212" t="str">
        <f t="shared" si="6"/>
        <v/>
      </c>
      <c r="R25" s="208" t="str">
        <f t="shared" si="7"/>
        <v/>
      </c>
      <c r="S25" s="212" t="str">
        <f t="shared" si="8"/>
        <v/>
      </c>
      <c r="T25" s="211"/>
      <c r="U25" s="212" t="str">
        <f t="shared" si="9"/>
        <v/>
      </c>
      <c r="V25" s="211"/>
      <c r="W25" s="212" t="str">
        <f t="shared" si="10"/>
        <v/>
      </c>
      <c r="X25" s="298" t="str">
        <f t="shared" si="11"/>
        <v/>
      </c>
      <c r="Y25" s="13">
        <f>'0. Installation'!$B$5</f>
        <v>0</v>
      </c>
      <c r="Z25" s="13">
        <f>'0. Installation'!$B$6</f>
        <v>0</v>
      </c>
      <c r="AA25" s="40">
        <f>'0. Installation'!$B$7</f>
        <v>0</v>
      </c>
      <c r="AB25" s="41" t="str">
        <f t="shared" si="12"/>
        <v/>
      </c>
      <c r="AC25" s="41" t="str">
        <f>IF(A25="","",IF($A24&lt;&gt;$A25,IF(Z25=0,0,
IF('0. Installation'!$B$2="Cogénération",
X25*AA25/(AA25+273.15)/(Y25+AA25/(AA25+273.15)*Z25),
X25/Z25)),""))</f>
        <v/>
      </c>
      <c r="AD25" s="42">
        <f>'0. Installation'!$B$4</f>
        <v>0</v>
      </c>
      <c r="AE25" s="43">
        <f>IF('0. Installation'!$B$8="OUI",'Références GES'!$B$16,'Références GES'!$B$14)</f>
        <v>183</v>
      </c>
      <c r="AF25" s="44" t="str">
        <f t="shared" si="13"/>
        <v/>
      </c>
      <c r="AG25" s="43">
        <f>'Références GES'!$B$15</f>
        <v>80</v>
      </c>
      <c r="AH25" s="44" t="str">
        <f t="shared" si="14"/>
        <v/>
      </c>
      <c r="AI25" s="45"/>
      <c r="AJ25" s="43">
        <f>'Références GES'!$B$14</f>
        <v>183</v>
      </c>
      <c r="AK25" s="44" t="e">
        <f t="shared" si="18"/>
        <v>#VALUE!</v>
      </c>
      <c r="AL25" s="43">
        <f>'Références GES'!$B$15</f>
        <v>80</v>
      </c>
      <c r="AM25" s="44" t="e">
        <f t="shared" si="15"/>
        <v>#VALUE!</v>
      </c>
      <c r="AN25" s="46" t="str">
        <f t="shared" si="16"/>
        <v/>
      </c>
      <c r="AO25" s="47" t="str">
        <f t="shared" si="0"/>
        <v/>
      </c>
      <c r="AQ25" s="115">
        <f t="shared" si="1"/>
        <v>0</v>
      </c>
    </row>
    <row r="26" spans="1:43">
      <c r="A26" s="289" t="str">
        <f>IF(ISBLANK('1. Déclaration'!C154)=TRUE,"",'1. Déclaration'!C154)</f>
        <v/>
      </c>
      <c r="B26" s="292" t="str">
        <f>IF(ISBLANK('1. Déclaration'!A154)=TRUE,"",'1. Déclaration'!A154)</f>
        <v/>
      </c>
      <c r="C26" s="295"/>
      <c r="D26" s="209"/>
      <c r="E26" s="213"/>
      <c r="F26" s="209"/>
      <c r="G26" s="213"/>
      <c r="H26" s="211"/>
      <c r="I26" s="213"/>
      <c r="J26" s="209"/>
      <c r="K26" s="213"/>
      <c r="L26" s="208" t="str">
        <f t="shared" si="17"/>
        <v/>
      </c>
      <c r="M26" s="212" t="str">
        <f t="shared" si="2"/>
        <v/>
      </c>
      <c r="N26" s="208" t="str">
        <f t="shared" si="3"/>
        <v/>
      </c>
      <c r="O26" s="212" t="str">
        <f t="shared" si="4"/>
        <v/>
      </c>
      <c r="P26" s="208" t="str">
        <f t="shared" si="5"/>
        <v/>
      </c>
      <c r="Q26" s="212" t="str">
        <f t="shared" si="6"/>
        <v/>
      </c>
      <c r="R26" s="208" t="str">
        <f t="shared" si="7"/>
        <v/>
      </c>
      <c r="S26" s="212" t="str">
        <f t="shared" si="8"/>
        <v/>
      </c>
      <c r="T26" s="211"/>
      <c r="U26" s="212" t="str">
        <f t="shared" si="9"/>
        <v/>
      </c>
      <c r="V26" s="211"/>
      <c r="W26" s="212" t="str">
        <f t="shared" si="10"/>
        <v/>
      </c>
      <c r="X26" s="298" t="str">
        <f t="shared" si="11"/>
        <v/>
      </c>
      <c r="Y26" s="13">
        <f>'0. Installation'!$B$5</f>
        <v>0</v>
      </c>
      <c r="Z26" s="13">
        <f>'0. Installation'!$B$6</f>
        <v>0</v>
      </c>
      <c r="AA26" s="40">
        <f>'0. Installation'!$B$7</f>
        <v>0</v>
      </c>
      <c r="AB26" s="41" t="str">
        <f t="shared" si="12"/>
        <v/>
      </c>
      <c r="AC26" s="41" t="str">
        <f>IF(A26="","",IF($A25&lt;&gt;$A26,IF(Z26=0,0,
IF('0. Installation'!$B$2="Cogénération",
X26*AA26/(AA26+273.15)/(Y26+AA26/(AA26+273.15)*Z26),
X26/Z26)),""))</f>
        <v/>
      </c>
      <c r="AD26" s="42">
        <f>'0. Installation'!$B$4</f>
        <v>0</v>
      </c>
      <c r="AE26" s="43">
        <f>IF('0. Installation'!$B$8="OUI",'Références GES'!$B$16,'Références GES'!$B$14)</f>
        <v>183</v>
      </c>
      <c r="AF26" s="44" t="str">
        <f t="shared" si="13"/>
        <v/>
      </c>
      <c r="AG26" s="43">
        <f>'Références GES'!$B$15</f>
        <v>80</v>
      </c>
      <c r="AH26" s="44" t="str">
        <f t="shared" si="14"/>
        <v/>
      </c>
      <c r="AI26" s="45"/>
      <c r="AJ26" s="43">
        <f>'Références GES'!$B$14</f>
        <v>183</v>
      </c>
      <c r="AK26" s="44" t="e">
        <f t="shared" si="18"/>
        <v>#VALUE!</v>
      </c>
      <c r="AL26" s="43">
        <f>'Références GES'!$B$15</f>
        <v>80</v>
      </c>
      <c r="AM26" s="44" t="e">
        <f t="shared" si="15"/>
        <v>#VALUE!</v>
      </c>
      <c r="AN26" s="46" t="str">
        <f t="shared" si="16"/>
        <v/>
      </c>
      <c r="AO26" s="47" t="str">
        <f t="shared" si="0"/>
        <v/>
      </c>
      <c r="AQ26" s="115">
        <f t="shared" si="1"/>
        <v>0</v>
      </c>
    </row>
    <row r="27" spans="1:43">
      <c r="A27" s="289" t="str">
        <f>IF(ISBLANK('1. Déclaration'!C155)=TRUE,"",'1. Déclaration'!C155)</f>
        <v/>
      </c>
      <c r="B27" s="292" t="str">
        <f>IF(ISBLANK('1. Déclaration'!A155)=TRUE,"",'1. Déclaration'!A155)</f>
        <v/>
      </c>
      <c r="C27" s="295"/>
      <c r="D27" s="209"/>
      <c r="E27" s="213"/>
      <c r="F27" s="209"/>
      <c r="G27" s="213"/>
      <c r="H27" s="211"/>
      <c r="I27" s="213"/>
      <c r="J27" s="209"/>
      <c r="K27" s="213"/>
      <c r="L27" s="208" t="str">
        <f t="shared" si="17"/>
        <v/>
      </c>
      <c r="M27" s="212" t="str">
        <f t="shared" si="2"/>
        <v/>
      </c>
      <c r="N27" s="208" t="str">
        <f t="shared" si="3"/>
        <v/>
      </c>
      <c r="O27" s="212" t="str">
        <f t="shared" si="4"/>
        <v/>
      </c>
      <c r="P27" s="208" t="str">
        <f t="shared" si="5"/>
        <v/>
      </c>
      <c r="Q27" s="212" t="str">
        <f t="shared" si="6"/>
        <v/>
      </c>
      <c r="R27" s="208" t="str">
        <f t="shared" si="7"/>
        <v/>
      </c>
      <c r="S27" s="212" t="str">
        <f t="shared" si="8"/>
        <v/>
      </c>
      <c r="T27" s="211"/>
      <c r="U27" s="212" t="str">
        <f t="shared" si="9"/>
        <v/>
      </c>
      <c r="V27" s="211"/>
      <c r="W27" s="212" t="str">
        <f t="shared" si="10"/>
        <v/>
      </c>
      <c r="X27" s="298" t="str">
        <f t="shared" si="11"/>
        <v/>
      </c>
      <c r="Y27" s="13">
        <f>'0. Installation'!$B$5</f>
        <v>0</v>
      </c>
      <c r="Z27" s="13">
        <f>'0. Installation'!$B$6</f>
        <v>0</v>
      </c>
      <c r="AA27" s="40">
        <f>'0. Installation'!$B$7</f>
        <v>0</v>
      </c>
      <c r="AB27" s="41" t="str">
        <f t="shared" si="12"/>
        <v/>
      </c>
      <c r="AC27" s="41" t="str">
        <f>IF(A27="","",IF($A26&lt;&gt;$A27,IF(Z27=0,0,
IF('0. Installation'!$B$2="Cogénération",
X27*AA27/(AA27+273.15)/(Y27+AA27/(AA27+273.15)*Z27),
X27/Z27)),""))</f>
        <v/>
      </c>
      <c r="AD27" s="42">
        <f>'0. Installation'!$B$4</f>
        <v>0</v>
      </c>
      <c r="AE27" s="43">
        <f>IF('0. Installation'!$B$8="OUI",'Références GES'!$B$16,'Références GES'!$B$14)</f>
        <v>183</v>
      </c>
      <c r="AF27" s="44" t="str">
        <f t="shared" si="13"/>
        <v/>
      </c>
      <c r="AG27" s="43">
        <f>'Références GES'!$B$15</f>
        <v>80</v>
      </c>
      <c r="AH27" s="44" t="str">
        <f t="shared" si="14"/>
        <v/>
      </c>
      <c r="AI27" s="45"/>
      <c r="AJ27" s="43">
        <f>'Références GES'!$B$14</f>
        <v>183</v>
      </c>
      <c r="AK27" s="44" t="e">
        <f t="shared" si="18"/>
        <v>#VALUE!</v>
      </c>
      <c r="AL27" s="43">
        <f>'Références GES'!$B$15</f>
        <v>80</v>
      </c>
      <c r="AM27" s="44" t="e">
        <f t="shared" si="15"/>
        <v>#VALUE!</v>
      </c>
      <c r="AN27" s="46" t="str">
        <f t="shared" si="16"/>
        <v/>
      </c>
      <c r="AO27" s="47" t="str">
        <f t="shared" si="0"/>
        <v/>
      </c>
      <c r="AQ27" s="115">
        <f t="shared" si="1"/>
        <v>0</v>
      </c>
    </row>
    <row r="28" spans="1:43">
      <c r="A28" s="289" t="str">
        <f>IF(ISBLANK('1. Déclaration'!C156)=TRUE,"",'1. Déclaration'!C156)</f>
        <v/>
      </c>
      <c r="B28" s="292" t="str">
        <f>IF(ISBLANK('1. Déclaration'!A156)=TRUE,"",'1. Déclaration'!A156)</f>
        <v/>
      </c>
      <c r="C28" s="295"/>
      <c r="D28" s="209"/>
      <c r="E28" s="213"/>
      <c r="F28" s="209"/>
      <c r="G28" s="213"/>
      <c r="H28" s="211"/>
      <c r="I28" s="213"/>
      <c r="J28" s="209"/>
      <c r="K28" s="213"/>
      <c r="L28" s="208" t="str">
        <f t="shared" si="17"/>
        <v/>
      </c>
      <c r="M28" s="212" t="str">
        <f t="shared" si="2"/>
        <v/>
      </c>
      <c r="N28" s="208" t="str">
        <f t="shared" si="3"/>
        <v/>
      </c>
      <c r="O28" s="212" t="str">
        <f t="shared" si="4"/>
        <v/>
      </c>
      <c r="P28" s="208" t="str">
        <f t="shared" si="5"/>
        <v/>
      </c>
      <c r="Q28" s="212" t="str">
        <f t="shared" si="6"/>
        <v/>
      </c>
      <c r="R28" s="208" t="str">
        <f t="shared" si="7"/>
        <v/>
      </c>
      <c r="S28" s="212" t="str">
        <f t="shared" si="8"/>
        <v/>
      </c>
      <c r="T28" s="211"/>
      <c r="U28" s="212" t="str">
        <f t="shared" si="9"/>
        <v/>
      </c>
      <c r="V28" s="211"/>
      <c r="W28" s="212" t="str">
        <f t="shared" si="10"/>
        <v/>
      </c>
      <c r="X28" s="298" t="str">
        <f t="shared" si="11"/>
        <v/>
      </c>
      <c r="Y28" s="13">
        <f>'0. Installation'!$B$5</f>
        <v>0</v>
      </c>
      <c r="Z28" s="13">
        <f>'0. Installation'!$B$6</f>
        <v>0</v>
      </c>
      <c r="AA28" s="40">
        <f>'0. Installation'!$B$7</f>
        <v>0</v>
      </c>
      <c r="AB28" s="41" t="str">
        <f t="shared" si="12"/>
        <v/>
      </c>
      <c r="AC28" s="41" t="str">
        <f>IF(A28="","",IF($A27&lt;&gt;$A28,IF(Z28=0,0,
IF('0. Installation'!$B$2="Cogénération",
X28*AA28/(AA28+273.15)/(Y28+AA28/(AA28+273.15)*Z28),
X28/Z28)),""))</f>
        <v/>
      </c>
      <c r="AD28" s="42">
        <f>'0. Installation'!$B$4</f>
        <v>0</v>
      </c>
      <c r="AE28" s="43">
        <f>IF('0. Installation'!$B$8="OUI",'Références GES'!$B$16,'Références GES'!$B$14)</f>
        <v>183</v>
      </c>
      <c r="AF28" s="44" t="str">
        <f t="shared" si="13"/>
        <v/>
      </c>
      <c r="AG28" s="43">
        <f>'Références GES'!$B$15</f>
        <v>80</v>
      </c>
      <c r="AH28" s="44" t="str">
        <f t="shared" si="14"/>
        <v/>
      </c>
      <c r="AI28" s="45"/>
      <c r="AJ28" s="43">
        <f>'Références GES'!$B$14</f>
        <v>183</v>
      </c>
      <c r="AK28" s="44" t="e">
        <f t="shared" si="18"/>
        <v>#VALUE!</v>
      </c>
      <c r="AL28" s="43">
        <f>'Références GES'!$B$15</f>
        <v>80</v>
      </c>
      <c r="AM28" s="44" t="e">
        <f t="shared" si="15"/>
        <v>#VALUE!</v>
      </c>
      <c r="AN28" s="46" t="str">
        <f t="shared" si="16"/>
        <v/>
      </c>
      <c r="AO28" s="47" t="str">
        <f t="shared" si="0"/>
        <v/>
      </c>
      <c r="AQ28" s="115">
        <f t="shared" si="1"/>
        <v>0</v>
      </c>
    </row>
    <row r="29" spans="1:43">
      <c r="A29" s="289" t="str">
        <f>IF(ISBLANK('1. Déclaration'!C157)=TRUE,"",'1. Déclaration'!C157)</f>
        <v/>
      </c>
      <c r="B29" s="292" t="str">
        <f>IF(ISBLANK('1. Déclaration'!A157)=TRUE,"",'1. Déclaration'!A157)</f>
        <v/>
      </c>
      <c r="C29" s="295"/>
      <c r="D29" s="209"/>
      <c r="E29" s="213"/>
      <c r="F29" s="209"/>
      <c r="G29" s="213"/>
      <c r="H29" s="211"/>
      <c r="I29" s="213"/>
      <c r="J29" s="209"/>
      <c r="K29" s="213"/>
      <c r="L29" s="208" t="str">
        <f t="shared" si="17"/>
        <v/>
      </c>
      <c r="M29" s="212" t="str">
        <f t="shared" si="2"/>
        <v/>
      </c>
      <c r="N29" s="208" t="str">
        <f t="shared" si="3"/>
        <v/>
      </c>
      <c r="O29" s="212" t="str">
        <f t="shared" si="4"/>
        <v/>
      </c>
      <c r="P29" s="208" t="str">
        <f t="shared" si="5"/>
        <v/>
      </c>
      <c r="Q29" s="212" t="str">
        <f t="shared" si="6"/>
        <v/>
      </c>
      <c r="R29" s="208" t="str">
        <f t="shared" si="7"/>
        <v/>
      </c>
      <c r="S29" s="212" t="str">
        <f t="shared" si="8"/>
        <v/>
      </c>
      <c r="T29" s="211"/>
      <c r="U29" s="212" t="str">
        <f t="shared" si="9"/>
        <v/>
      </c>
      <c r="V29" s="211"/>
      <c r="W29" s="212" t="str">
        <f t="shared" si="10"/>
        <v/>
      </c>
      <c r="X29" s="298" t="str">
        <f t="shared" si="11"/>
        <v/>
      </c>
      <c r="Y29" s="13">
        <f>'0. Installation'!$B$5</f>
        <v>0</v>
      </c>
      <c r="Z29" s="13">
        <f>'0. Installation'!$B$6</f>
        <v>0</v>
      </c>
      <c r="AA29" s="40">
        <f>'0. Installation'!$B$7</f>
        <v>0</v>
      </c>
      <c r="AB29" s="41" t="str">
        <f t="shared" si="12"/>
        <v/>
      </c>
      <c r="AC29" s="41" t="str">
        <f>IF(A29="","",IF($A28&lt;&gt;$A29,IF(Z29=0,0,
IF('0. Installation'!$B$2="Cogénération",
X29*AA29/(AA29+273.15)/(Y29+AA29/(AA29+273.15)*Z29),
X29/Z29)),""))</f>
        <v/>
      </c>
      <c r="AD29" s="42">
        <f>'0. Installation'!$B$4</f>
        <v>0</v>
      </c>
      <c r="AE29" s="43">
        <f>IF('0. Installation'!$B$8="OUI",'Références GES'!$B$16,'Références GES'!$B$14)</f>
        <v>183</v>
      </c>
      <c r="AF29" s="44" t="str">
        <f t="shared" si="13"/>
        <v/>
      </c>
      <c r="AG29" s="43">
        <f>'Références GES'!$B$15</f>
        <v>80</v>
      </c>
      <c r="AH29" s="44" t="str">
        <f t="shared" si="14"/>
        <v/>
      </c>
      <c r="AI29" s="45"/>
      <c r="AJ29" s="43">
        <f>'Références GES'!$B$14</f>
        <v>183</v>
      </c>
      <c r="AK29" s="44" t="e">
        <f t="shared" si="18"/>
        <v>#VALUE!</v>
      </c>
      <c r="AL29" s="43">
        <f>'Références GES'!$B$15</f>
        <v>80</v>
      </c>
      <c r="AM29" s="44" t="e">
        <f t="shared" si="15"/>
        <v>#VALUE!</v>
      </c>
      <c r="AN29" s="46" t="str">
        <f t="shared" si="16"/>
        <v/>
      </c>
      <c r="AO29" s="47" t="str">
        <f t="shared" si="0"/>
        <v/>
      </c>
      <c r="AQ29" s="115">
        <f t="shared" si="1"/>
        <v>0</v>
      </c>
    </row>
    <row r="30" spans="1:43">
      <c r="A30" s="289" t="str">
        <f>IF(ISBLANK('1. Déclaration'!C158)=TRUE,"",'1. Déclaration'!C158)</f>
        <v/>
      </c>
      <c r="B30" s="292" t="str">
        <f>IF(ISBLANK('1. Déclaration'!A158)=TRUE,"",'1. Déclaration'!A158)</f>
        <v/>
      </c>
      <c r="C30" s="295"/>
      <c r="D30" s="209"/>
      <c r="E30" s="213"/>
      <c r="F30" s="209"/>
      <c r="G30" s="213"/>
      <c r="H30" s="211"/>
      <c r="I30" s="213"/>
      <c r="J30" s="209"/>
      <c r="K30" s="213"/>
      <c r="L30" s="208" t="str">
        <f t="shared" si="17"/>
        <v/>
      </c>
      <c r="M30" s="212" t="str">
        <f t="shared" si="2"/>
        <v/>
      </c>
      <c r="N30" s="208" t="str">
        <f t="shared" si="3"/>
        <v/>
      </c>
      <c r="O30" s="212" t="str">
        <f t="shared" si="4"/>
        <v/>
      </c>
      <c r="P30" s="208" t="str">
        <f t="shared" si="5"/>
        <v/>
      </c>
      <c r="Q30" s="212" t="str">
        <f t="shared" si="6"/>
        <v/>
      </c>
      <c r="R30" s="208" t="str">
        <f t="shared" si="7"/>
        <v/>
      </c>
      <c r="S30" s="212" t="str">
        <f t="shared" si="8"/>
        <v/>
      </c>
      <c r="T30" s="211"/>
      <c r="U30" s="212" t="str">
        <f t="shared" si="9"/>
        <v/>
      </c>
      <c r="V30" s="211"/>
      <c r="W30" s="212" t="str">
        <f t="shared" si="10"/>
        <v/>
      </c>
      <c r="X30" s="298" t="str">
        <f t="shared" si="11"/>
        <v/>
      </c>
      <c r="Y30" s="13">
        <f>'0. Installation'!$B$5</f>
        <v>0</v>
      </c>
      <c r="Z30" s="13">
        <f>'0. Installation'!$B$6</f>
        <v>0</v>
      </c>
      <c r="AA30" s="40">
        <f>'0. Installation'!$B$7</f>
        <v>0</v>
      </c>
      <c r="AB30" s="41" t="str">
        <f t="shared" si="12"/>
        <v/>
      </c>
      <c r="AC30" s="41" t="str">
        <f>IF(A30="","",IF($A29&lt;&gt;$A30,IF(Z30=0,0,
IF('0. Installation'!$B$2="Cogénération",
X30*AA30/(AA30+273.15)/(Y30+AA30/(AA30+273.15)*Z30),
X30/Z30)),""))</f>
        <v/>
      </c>
      <c r="AD30" s="42">
        <f>'0. Installation'!$B$4</f>
        <v>0</v>
      </c>
      <c r="AE30" s="43">
        <f>IF('0. Installation'!$B$8="OUI",'Références GES'!$B$16,'Références GES'!$B$14)</f>
        <v>183</v>
      </c>
      <c r="AF30" s="44" t="str">
        <f t="shared" si="13"/>
        <v/>
      </c>
      <c r="AG30" s="43">
        <f>'Références GES'!$B$15</f>
        <v>80</v>
      </c>
      <c r="AH30" s="44" t="str">
        <f t="shared" si="14"/>
        <v/>
      </c>
      <c r="AI30" s="45"/>
      <c r="AJ30" s="43">
        <f>'Références GES'!$B$14</f>
        <v>183</v>
      </c>
      <c r="AK30" s="44" t="e">
        <f t="shared" si="18"/>
        <v>#VALUE!</v>
      </c>
      <c r="AL30" s="43">
        <f>'Références GES'!$B$15</f>
        <v>80</v>
      </c>
      <c r="AM30" s="44" t="e">
        <f t="shared" si="15"/>
        <v>#VALUE!</v>
      </c>
      <c r="AN30" s="46" t="str">
        <f t="shared" si="16"/>
        <v/>
      </c>
      <c r="AO30" s="47" t="str">
        <f t="shared" si="0"/>
        <v/>
      </c>
      <c r="AQ30" s="115">
        <f t="shared" si="1"/>
        <v>0</v>
      </c>
    </row>
    <row r="31" spans="1:43">
      <c r="A31" s="289" t="str">
        <f>IF(ISBLANK('1. Déclaration'!C159)=TRUE,"",'1. Déclaration'!C159)</f>
        <v/>
      </c>
      <c r="B31" s="292" t="str">
        <f>IF(ISBLANK('1. Déclaration'!A159)=TRUE,"",'1. Déclaration'!A159)</f>
        <v/>
      </c>
      <c r="C31" s="295"/>
      <c r="D31" s="209"/>
      <c r="E31" s="213"/>
      <c r="F31" s="209"/>
      <c r="G31" s="213"/>
      <c r="H31" s="211"/>
      <c r="I31" s="213"/>
      <c r="J31" s="209"/>
      <c r="K31" s="213"/>
      <c r="L31" s="208" t="str">
        <f t="shared" si="17"/>
        <v/>
      </c>
      <c r="M31" s="212" t="str">
        <f t="shared" si="2"/>
        <v/>
      </c>
      <c r="N31" s="208" t="str">
        <f t="shared" si="3"/>
        <v/>
      </c>
      <c r="O31" s="212" t="str">
        <f t="shared" si="4"/>
        <v/>
      </c>
      <c r="P31" s="208" t="str">
        <f t="shared" si="5"/>
        <v/>
      </c>
      <c r="Q31" s="212" t="str">
        <f t="shared" si="6"/>
        <v/>
      </c>
      <c r="R31" s="208" t="str">
        <f t="shared" si="7"/>
        <v/>
      </c>
      <c r="S31" s="212" t="str">
        <f t="shared" si="8"/>
        <v/>
      </c>
      <c r="T31" s="211"/>
      <c r="U31" s="212" t="str">
        <f t="shared" si="9"/>
        <v/>
      </c>
      <c r="V31" s="211"/>
      <c r="W31" s="212" t="str">
        <f t="shared" si="10"/>
        <v/>
      </c>
      <c r="X31" s="298" t="str">
        <f t="shared" si="11"/>
        <v/>
      </c>
      <c r="Y31" s="13">
        <f>'0. Installation'!$B$5</f>
        <v>0</v>
      </c>
      <c r="Z31" s="13">
        <f>'0. Installation'!$B$6</f>
        <v>0</v>
      </c>
      <c r="AA31" s="40">
        <f>'0. Installation'!$B$7</f>
        <v>0</v>
      </c>
      <c r="AB31" s="41" t="str">
        <f t="shared" si="12"/>
        <v/>
      </c>
      <c r="AC31" s="41" t="str">
        <f>IF(A31="","",IF($A30&lt;&gt;$A31,IF(Z31=0,0,
IF('0. Installation'!$B$2="Cogénération",
X31*AA31/(AA31+273.15)/(Y31+AA31/(AA31+273.15)*Z31),
X31/Z31)),""))</f>
        <v/>
      </c>
      <c r="AD31" s="42">
        <f>'0. Installation'!$B$4</f>
        <v>0</v>
      </c>
      <c r="AE31" s="43">
        <f>IF('0. Installation'!$B$8="OUI",'Références GES'!$B$16,'Références GES'!$B$14)</f>
        <v>183</v>
      </c>
      <c r="AF31" s="44" t="str">
        <f t="shared" si="13"/>
        <v/>
      </c>
      <c r="AG31" s="43">
        <f>'Références GES'!$B$15</f>
        <v>80</v>
      </c>
      <c r="AH31" s="44" t="str">
        <f t="shared" si="14"/>
        <v/>
      </c>
      <c r="AI31" s="45"/>
      <c r="AJ31" s="43">
        <f>'Références GES'!$B$14</f>
        <v>183</v>
      </c>
      <c r="AK31" s="44" t="e">
        <f t="shared" si="18"/>
        <v>#VALUE!</v>
      </c>
      <c r="AL31" s="43">
        <f>'Références GES'!$B$15</f>
        <v>80</v>
      </c>
      <c r="AM31" s="44" t="e">
        <f t="shared" si="15"/>
        <v>#VALUE!</v>
      </c>
      <c r="AN31" s="46" t="str">
        <f t="shared" si="16"/>
        <v/>
      </c>
      <c r="AO31" s="47" t="str">
        <f t="shared" si="0"/>
        <v/>
      </c>
      <c r="AQ31" s="115">
        <f t="shared" si="1"/>
        <v>0</v>
      </c>
    </row>
    <row r="32" spans="1:43">
      <c r="A32" s="289" t="str">
        <f>IF(ISBLANK('1. Déclaration'!C160)=TRUE,"",'1. Déclaration'!C160)</f>
        <v/>
      </c>
      <c r="B32" s="292" t="str">
        <f>IF(ISBLANK('1. Déclaration'!A160)=TRUE,"",'1. Déclaration'!A160)</f>
        <v/>
      </c>
      <c r="C32" s="295"/>
      <c r="D32" s="209"/>
      <c r="E32" s="213"/>
      <c r="F32" s="209"/>
      <c r="G32" s="213"/>
      <c r="H32" s="211"/>
      <c r="I32" s="213"/>
      <c r="J32" s="209"/>
      <c r="K32" s="213"/>
      <c r="L32" s="208" t="str">
        <f t="shared" si="17"/>
        <v/>
      </c>
      <c r="M32" s="212" t="str">
        <f t="shared" si="2"/>
        <v/>
      </c>
      <c r="N32" s="208" t="str">
        <f t="shared" si="3"/>
        <v/>
      </c>
      <c r="O32" s="212" t="str">
        <f t="shared" si="4"/>
        <v/>
      </c>
      <c r="P32" s="208" t="str">
        <f t="shared" si="5"/>
        <v/>
      </c>
      <c r="Q32" s="212" t="str">
        <f t="shared" si="6"/>
        <v/>
      </c>
      <c r="R32" s="208" t="str">
        <f t="shared" si="7"/>
        <v/>
      </c>
      <c r="S32" s="212" t="str">
        <f t="shared" si="8"/>
        <v/>
      </c>
      <c r="T32" s="211"/>
      <c r="U32" s="212" t="str">
        <f t="shared" si="9"/>
        <v/>
      </c>
      <c r="V32" s="211"/>
      <c r="W32" s="212" t="str">
        <f t="shared" si="10"/>
        <v/>
      </c>
      <c r="X32" s="298" t="str">
        <f t="shared" si="11"/>
        <v/>
      </c>
      <c r="Y32" s="13">
        <f>'0. Installation'!$B$5</f>
        <v>0</v>
      </c>
      <c r="Z32" s="13">
        <f>'0. Installation'!$B$6</f>
        <v>0</v>
      </c>
      <c r="AA32" s="40">
        <f>'0. Installation'!$B$7</f>
        <v>0</v>
      </c>
      <c r="AB32" s="41" t="str">
        <f t="shared" si="12"/>
        <v/>
      </c>
      <c r="AC32" s="41" t="str">
        <f>IF(A32="","",IF($A31&lt;&gt;$A32,IF(Z32=0,0,
IF('0. Installation'!$B$2="Cogénération",
X32*AA32/(AA32+273.15)/(Y32+AA32/(AA32+273.15)*Z32),
X32/Z32)),""))</f>
        <v/>
      </c>
      <c r="AD32" s="42">
        <f>'0. Installation'!$B$4</f>
        <v>0</v>
      </c>
      <c r="AE32" s="43">
        <f>IF('0. Installation'!$B$8="OUI",'Références GES'!$B$16,'Références GES'!$B$14)</f>
        <v>183</v>
      </c>
      <c r="AF32" s="44" t="str">
        <f t="shared" si="13"/>
        <v/>
      </c>
      <c r="AG32" s="43">
        <f>'Références GES'!$B$15</f>
        <v>80</v>
      </c>
      <c r="AH32" s="44" t="str">
        <f t="shared" si="14"/>
        <v/>
      </c>
      <c r="AI32" s="45"/>
      <c r="AJ32" s="43">
        <f>'Références GES'!$B$14</f>
        <v>183</v>
      </c>
      <c r="AK32" s="44" t="e">
        <f t="shared" si="18"/>
        <v>#VALUE!</v>
      </c>
      <c r="AL32" s="43">
        <f>'Références GES'!$B$15</f>
        <v>80</v>
      </c>
      <c r="AM32" s="44" t="e">
        <f t="shared" si="15"/>
        <v>#VALUE!</v>
      </c>
      <c r="AN32" s="46" t="str">
        <f t="shared" si="16"/>
        <v/>
      </c>
      <c r="AO32" s="47" t="str">
        <f t="shared" si="0"/>
        <v/>
      </c>
      <c r="AQ32" s="115">
        <f t="shared" si="1"/>
        <v>0</v>
      </c>
    </row>
    <row r="33" spans="1:43">
      <c r="A33" s="289" t="str">
        <f>IF(ISBLANK('1. Déclaration'!C161)=TRUE,"",'1. Déclaration'!C161)</f>
        <v/>
      </c>
      <c r="B33" s="292" t="str">
        <f>IF(ISBLANK('1. Déclaration'!A161)=TRUE,"",'1. Déclaration'!A161)</f>
        <v/>
      </c>
      <c r="C33" s="295"/>
      <c r="D33" s="209"/>
      <c r="E33" s="213"/>
      <c r="F33" s="209"/>
      <c r="G33" s="213"/>
      <c r="H33" s="211"/>
      <c r="I33" s="213"/>
      <c r="J33" s="209"/>
      <c r="K33" s="213"/>
      <c r="L33" s="208" t="str">
        <f t="shared" si="17"/>
        <v/>
      </c>
      <c r="M33" s="212" t="str">
        <f t="shared" si="2"/>
        <v/>
      </c>
      <c r="N33" s="208" t="str">
        <f t="shared" si="3"/>
        <v/>
      </c>
      <c r="O33" s="212" t="str">
        <f t="shared" si="4"/>
        <v/>
      </c>
      <c r="P33" s="208" t="str">
        <f t="shared" si="5"/>
        <v/>
      </c>
      <c r="Q33" s="212" t="str">
        <f t="shared" si="6"/>
        <v/>
      </c>
      <c r="R33" s="208" t="str">
        <f t="shared" si="7"/>
        <v/>
      </c>
      <c r="S33" s="212" t="str">
        <f t="shared" si="8"/>
        <v/>
      </c>
      <c r="T33" s="211"/>
      <c r="U33" s="212" t="str">
        <f t="shared" si="9"/>
        <v/>
      </c>
      <c r="V33" s="211"/>
      <c r="W33" s="212" t="str">
        <f t="shared" si="10"/>
        <v/>
      </c>
      <c r="X33" s="298" t="str">
        <f t="shared" si="11"/>
        <v/>
      </c>
      <c r="Y33" s="13">
        <f>'0. Installation'!$B$5</f>
        <v>0</v>
      </c>
      <c r="Z33" s="13">
        <f>'0. Installation'!$B$6</f>
        <v>0</v>
      </c>
      <c r="AA33" s="40">
        <f>'0. Installation'!$B$7</f>
        <v>0</v>
      </c>
      <c r="AB33" s="41" t="str">
        <f t="shared" si="12"/>
        <v/>
      </c>
      <c r="AC33" s="41" t="str">
        <f>IF(A33="","",IF($A32&lt;&gt;$A33,IF(Z33=0,0,
IF('0. Installation'!$B$2="Cogénération",
X33*AA33/(AA33+273.15)/(Y33+AA33/(AA33+273.15)*Z33),
X33/Z33)),""))</f>
        <v/>
      </c>
      <c r="AD33" s="42">
        <f>'0. Installation'!$B$4</f>
        <v>0</v>
      </c>
      <c r="AE33" s="43">
        <f>IF('0. Installation'!$B$8="OUI",'Références GES'!$B$16,'Références GES'!$B$14)</f>
        <v>183</v>
      </c>
      <c r="AF33" s="44" t="str">
        <f t="shared" si="13"/>
        <v/>
      </c>
      <c r="AG33" s="43">
        <f>'Références GES'!$B$15</f>
        <v>80</v>
      </c>
      <c r="AH33" s="44" t="str">
        <f t="shared" si="14"/>
        <v/>
      </c>
      <c r="AI33" s="45"/>
      <c r="AJ33" s="43">
        <f>'Références GES'!$B$14</f>
        <v>183</v>
      </c>
      <c r="AK33" s="44" t="e">
        <f t="shared" si="18"/>
        <v>#VALUE!</v>
      </c>
      <c r="AL33" s="43">
        <f>'Références GES'!$B$15</f>
        <v>80</v>
      </c>
      <c r="AM33" s="44" t="e">
        <f t="shared" si="15"/>
        <v>#VALUE!</v>
      </c>
      <c r="AN33" s="46" t="str">
        <f t="shared" si="16"/>
        <v/>
      </c>
      <c r="AO33" s="47" t="str">
        <f t="shared" si="0"/>
        <v/>
      </c>
      <c r="AQ33" s="115">
        <f t="shared" si="1"/>
        <v>0</v>
      </c>
    </row>
    <row r="34" spans="1:43">
      <c r="A34" s="289" t="str">
        <f>IF(ISBLANK('1. Déclaration'!C162)=TRUE,"",'1. Déclaration'!C162)</f>
        <v/>
      </c>
      <c r="B34" s="292" t="str">
        <f>IF(ISBLANK('1. Déclaration'!A162)=TRUE,"",'1. Déclaration'!A162)</f>
        <v/>
      </c>
      <c r="C34" s="295"/>
      <c r="D34" s="209"/>
      <c r="E34" s="213"/>
      <c r="F34" s="209"/>
      <c r="G34" s="213"/>
      <c r="H34" s="211"/>
      <c r="I34" s="213"/>
      <c r="J34" s="209"/>
      <c r="K34" s="213"/>
      <c r="L34" s="208" t="str">
        <f t="shared" si="17"/>
        <v/>
      </c>
      <c r="M34" s="212" t="str">
        <f t="shared" si="2"/>
        <v/>
      </c>
      <c r="N34" s="208" t="str">
        <f t="shared" si="3"/>
        <v/>
      </c>
      <c r="O34" s="212" t="str">
        <f t="shared" si="4"/>
        <v/>
      </c>
      <c r="P34" s="208" t="str">
        <f t="shared" si="5"/>
        <v/>
      </c>
      <c r="Q34" s="212" t="str">
        <f t="shared" si="6"/>
        <v/>
      </c>
      <c r="R34" s="208" t="str">
        <f t="shared" si="7"/>
        <v/>
      </c>
      <c r="S34" s="212" t="str">
        <f t="shared" si="8"/>
        <v/>
      </c>
      <c r="T34" s="211"/>
      <c r="U34" s="212" t="str">
        <f t="shared" si="9"/>
        <v/>
      </c>
      <c r="V34" s="211"/>
      <c r="W34" s="212" t="str">
        <f t="shared" si="10"/>
        <v/>
      </c>
      <c r="X34" s="298" t="str">
        <f t="shared" si="11"/>
        <v/>
      </c>
      <c r="Y34" s="13">
        <f>'0. Installation'!$B$5</f>
        <v>0</v>
      </c>
      <c r="Z34" s="13">
        <f>'0. Installation'!$B$6</f>
        <v>0</v>
      </c>
      <c r="AA34" s="40">
        <f>'0. Installation'!$B$7</f>
        <v>0</v>
      </c>
      <c r="AB34" s="41" t="str">
        <f t="shared" si="12"/>
        <v/>
      </c>
      <c r="AC34" s="41" t="str">
        <f>IF(A34="","",IF($A33&lt;&gt;$A34,IF(Z34=0,0,
IF('0. Installation'!$B$2="Cogénération",
X34*AA34/(AA34+273.15)/(Y34+AA34/(AA34+273.15)*Z34),
X34/Z34)),""))</f>
        <v/>
      </c>
      <c r="AD34" s="42">
        <f>'0. Installation'!$B$4</f>
        <v>0</v>
      </c>
      <c r="AE34" s="43">
        <f>IF('0. Installation'!$B$8="OUI",'Références GES'!$B$16,'Références GES'!$B$14)</f>
        <v>183</v>
      </c>
      <c r="AF34" s="44" t="str">
        <f t="shared" si="13"/>
        <v/>
      </c>
      <c r="AG34" s="43">
        <f>'Références GES'!$B$15</f>
        <v>80</v>
      </c>
      <c r="AH34" s="44" t="str">
        <f t="shared" si="14"/>
        <v/>
      </c>
      <c r="AI34" s="45"/>
      <c r="AJ34" s="43">
        <f>'Références GES'!$B$14</f>
        <v>183</v>
      </c>
      <c r="AK34" s="44" t="e">
        <f t="shared" si="18"/>
        <v>#VALUE!</v>
      </c>
      <c r="AL34" s="43">
        <f>'Références GES'!$B$15</f>
        <v>80</v>
      </c>
      <c r="AM34" s="44" t="e">
        <f t="shared" si="15"/>
        <v>#VALUE!</v>
      </c>
      <c r="AN34" s="46" t="str">
        <f t="shared" si="16"/>
        <v/>
      </c>
      <c r="AO34" s="47" t="str">
        <f t="shared" si="0"/>
        <v/>
      </c>
      <c r="AQ34" s="115">
        <f t="shared" si="1"/>
        <v>0</v>
      </c>
    </row>
    <row r="35" spans="1:43">
      <c r="A35" s="289" t="str">
        <f>IF(ISBLANK('1. Déclaration'!C163)=TRUE,"",'1. Déclaration'!C163)</f>
        <v/>
      </c>
      <c r="B35" s="292" t="str">
        <f>IF(ISBLANK('1. Déclaration'!A163)=TRUE,"",'1. Déclaration'!A163)</f>
        <v/>
      </c>
      <c r="C35" s="295"/>
      <c r="D35" s="209"/>
      <c r="E35" s="213"/>
      <c r="F35" s="209"/>
      <c r="G35" s="213"/>
      <c r="H35" s="211"/>
      <c r="I35" s="213"/>
      <c r="J35" s="209"/>
      <c r="K35" s="213"/>
      <c r="L35" s="208" t="str">
        <f t="shared" si="17"/>
        <v/>
      </c>
      <c r="M35" s="212" t="str">
        <f t="shared" si="2"/>
        <v/>
      </c>
      <c r="N35" s="208" t="str">
        <f t="shared" si="3"/>
        <v/>
      </c>
      <c r="O35" s="212" t="str">
        <f t="shared" si="4"/>
        <v/>
      </c>
      <c r="P35" s="208" t="str">
        <f t="shared" si="5"/>
        <v/>
      </c>
      <c r="Q35" s="212" t="str">
        <f t="shared" si="6"/>
        <v/>
      </c>
      <c r="R35" s="208" t="str">
        <f t="shared" si="7"/>
        <v/>
      </c>
      <c r="S35" s="212" t="str">
        <f t="shared" si="8"/>
        <v/>
      </c>
      <c r="T35" s="211"/>
      <c r="U35" s="212" t="str">
        <f t="shared" si="9"/>
        <v/>
      </c>
      <c r="V35" s="211"/>
      <c r="W35" s="212" t="str">
        <f t="shared" si="10"/>
        <v/>
      </c>
      <c r="X35" s="298" t="str">
        <f t="shared" si="11"/>
        <v/>
      </c>
      <c r="Y35" s="13">
        <f>'0. Installation'!$B$5</f>
        <v>0</v>
      </c>
      <c r="Z35" s="13">
        <f>'0. Installation'!$B$6</f>
        <v>0</v>
      </c>
      <c r="AA35" s="40">
        <f>'0. Installation'!$B$7</f>
        <v>0</v>
      </c>
      <c r="AB35" s="41" t="str">
        <f t="shared" si="12"/>
        <v/>
      </c>
      <c r="AC35" s="41" t="str">
        <f>IF(A35="","",IF($A34&lt;&gt;$A35,IF(Z35=0,0,
IF('0. Installation'!$B$2="Cogénération",
X35*AA35/(AA35+273.15)/(Y35+AA35/(AA35+273.15)*Z35),
X35/Z35)),""))</f>
        <v/>
      </c>
      <c r="AD35" s="42">
        <f>'0. Installation'!$B$4</f>
        <v>0</v>
      </c>
      <c r="AE35" s="43">
        <f>IF('0. Installation'!$B$8="OUI",'Références GES'!$B$16,'Références GES'!$B$14)</f>
        <v>183</v>
      </c>
      <c r="AF35" s="44" t="str">
        <f t="shared" si="13"/>
        <v/>
      </c>
      <c r="AG35" s="43">
        <f>'Références GES'!$B$15</f>
        <v>80</v>
      </c>
      <c r="AH35" s="44" t="str">
        <f t="shared" si="14"/>
        <v/>
      </c>
      <c r="AI35" s="45"/>
      <c r="AJ35" s="43">
        <f>'Références GES'!$B$14</f>
        <v>183</v>
      </c>
      <c r="AK35" s="44" t="e">
        <f t="shared" si="18"/>
        <v>#VALUE!</v>
      </c>
      <c r="AL35" s="43">
        <f>'Références GES'!$B$15</f>
        <v>80</v>
      </c>
      <c r="AM35" s="44" t="e">
        <f t="shared" si="15"/>
        <v>#VALUE!</v>
      </c>
      <c r="AN35" s="46" t="str">
        <f t="shared" si="16"/>
        <v/>
      </c>
      <c r="AO35" s="47" t="str">
        <f t="shared" si="0"/>
        <v/>
      </c>
      <c r="AQ35" s="115">
        <f t="shared" si="1"/>
        <v>0</v>
      </c>
    </row>
    <row r="36" spans="1:43">
      <c r="A36" s="289" t="str">
        <f>IF(ISBLANK('1. Déclaration'!C164)=TRUE,"",'1. Déclaration'!C164)</f>
        <v/>
      </c>
      <c r="B36" s="292" t="str">
        <f>IF(ISBLANK('1. Déclaration'!A164)=TRUE,"",'1. Déclaration'!A164)</f>
        <v/>
      </c>
      <c r="C36" s="295"/>
      <c r="D36" s="209"/>
      <c r="E36" s="213"/>
      <c r="F36" s="209"/>
      <c r="G36" s="213"/>
      <c r="H36" s="211"/>
      <c r="I36" s="213"/>
      <c r="J36" s="209"/>
      <c r="K36" s="213"/>
      <c r="L36" s="208" t="str">
        <f t="shared" si="17"/>
        <v/>
      </c>
      <c r="M36" s="212" t="str">
        <f t="shared" si="2"/>
        <v/>
      </c>
      <c r="N36" s="208" t="str">
        <f t="shared" si="3"/>
        <v/>
      </c>
      <c r="O36" s="212" t="str">
        <f t="shared" si="4"/>
        <v/>
      </c>
      <c r="P36" s="208" t="str">
        <f t="shared" si="5"/>
        <v/>
      </c>
      <c r="Q36" s="212" t="str">
        <f t="shared" si="6"/>
        <v/>
      </c>
      <c r="R36" s="208" t="str">
        <f t="shared" si="7"/>
        <v/>
      </c>
      <c r="S36" s="212" t="str">
        <f t="shared" si="8"/>
        <v/>
      </c>
      <c r="T36" s="211"/>
      <c r="U36" s="212" t="str">
        <f t="shared" si="9"/>
        <v/>
      </c>
      <c r="V36" s="211"/>
      <c r="W36" s="212" t="str">
        <f t="shared" si="10"/>
        <v/>
      </c>
      <c r="X36" s="298" t="str">
        <f t="shared" si="11"/>
        <v/>
      </c>
      <c r="Y36" s="13">
        <f>'0. Installation'!$B$5</f>
        <v>0</v>
      </c>
      <c r="Z36" s="13">
        <f>'0. Installation'!$B$6</f>
        <v>0</v>
      </c>
      <c r="AA36" s="40">
        <f>'0. Installation'!$B$7</f>
        <v>0</v>
      </c>
      <c r="AB36" s="41" t="str">
        <f t="shared" si="12"/>
        <v/>
      </c>
      <c r="AC36" s="41" t="str">
        <f>IF(A36="","",IF($A35&lt;&gt;$A36,IF(Z36=0,0,
IF('0. Installation'!$B$2="Cogénération",
X36*AA36/(AA36+273.15)/(Y36+AA36/(AA36+273.15)*Z36),
X36/Z36)),""))</f>
        <v/>
      </c>
      <c r="AD36" s="42">
        <f>'0. Installation'!$B$4</f>
        <v>0</v>
      </c>
      <c r="AE36" s="43">
        <f>IF('0. Installation'!$B$8="OUI",'Références GES'!$B$16,'Références GES'!$B$14)</f>
        <v>183</v>
      </c>
      <c r="AF36" s="44" t="str">
        <f t="shared" si="13"/>
        <v/>
      </c>
      <c r="AG36" s="43">
        <f>'Références GES'!$B$15</f>
        <v>80</v>
      </c>
      <c r="AH36" s="44" t="str">
        <f t="shared" si="14"/>
        <v/>
      </c>
      <c r="AI36" s="45"/>
      <c r="AJ36" s="43">
        <f>'Références GES'!$B$14</f>
        <v>183</v>
      </c>
      <c r="AK36" s="44" t="e">
        <f t="shared" si="18"/>
        <v>#VALUE!</v>
      </c>
      <c r="AL36" s="43">
        <f>'Références GES'!$B$15</f>
        <v>80</v>
      </c>
      <c r="AM36" s="44" t="e">
        <f t="shared" si="15"/>
        <v>#VALUE!</v>
      </c>
      <c r="AN36" s="46" t="str">
        <f t="shared" si="16"/>
        <v/>
      </c>
      <c r="AO36" s="47" t="str">
        <f t="shared" ref="AO36:AO60" si="19">IF(AND(A36&lt;&gt;"",X36=0),"Aucun calcul GES n'a été renseigné pour ce lot : à compléter","")</f>
        <v/>
      </c>
      <c r="AQ36" s="115">
        <f t="shared" ref="AQ36:AQ60" si="20">IF(AND(
OR(B36="Plaquettes bocagères ou agroforestières : 1B_PFA",B36="Plaquettes bocagères / bois de verger : 1B_PFA (V)",B36="Plaquettes paysagères ligneuses résidelles : 1C_PFA",B36="Bois SSD sortis du statut de déchet 3A_BFVBD",B36="Déchets de bois non dangereux 2910-B ICPE 3B_BFVBD",B36="Déchets de bois non dangereux 2771 ICPE 3C_BFVBD",B36="Liqueur noire",B36="Boue papetière"),
SUM(D36,F36,L36,N36,P36,R36,T36,V36)&gt;0),
1,0)</f>
        <v>0</v>
      </c>
    </row>
    <row r="37" spans="1:43">
      <c r="A37" s="289" t="str">
        <f>IF(ISBLANK('1. Déclaration'!C165)=TRUE,"",'1. Déclaration'!C165)</f>
        <v/>
      </c>
      <c r="B37" s="292" t="str">
        <f>IF(ISBLANK('1. Déclaration'!A165)=TRUE,"",'1. Déclaration'!A165)</f>
        <v/>
      </c>
      <c r="C37" s="295"/>
      <c r="D37" s="209"/>
      <c r="E37" s="213"/>
      <c r="F37" s="209"/>
      <c r="G37" s="213"/>
      <c r="H37" s="211"/>
      <c r="I37" s="213"/>
      <c r="J37" s="209"/>
      <c r="K37" s="213"/>
      <c r="L37" s="208" t="str">
        <f t="shared" si="17"/>
        <v/>
      </c>
      <c r="M37" s="212" t="str">
        <f t="shared" si="2"/>
        <v/>
      </c>
      <c r="N37" s="208" t="str">
        <f t="shared" si="3"/>
        <v/>
      </c>
      <c r="O37" s="212" t="str">
        <f t="shared" si="4"/>
        <v/>
      </c>
      <c r="P37" s="208" t="str">
        <f t="shared" si="5"/>
        <v/>
      </c>
      <c r="Q37" s="212" t="str">
        <f t="shared" si="6"/>
        <v/>
      </c>
      <c r="R37" s="208" t="str">
        <f t="shared" si="7"/>
        <v/>
      </c>
      <c r="S37" s="212" t="str">
        <f t="shared" si="8"/>
        <v/>
      </c>
      <c r="T37" s="211"/>
      <c r="U37" s="212" t="str">
        <f t="shared" si="9"/>
        <v/>
      </c>
      <c r="V37" s="211"/>
      <c r="W37" s="212" t="str">
        <f t="shared" si="10"/>
        <v/>
      </c>
      <c r="X37" s="298" t="str">
        <f t="shared" si="11"/>
        <v/>
      </c>
      <c r="Y37" s="13">
        <f>'0. Installation'!$B$5</f>
        <v>0</v>
      </c>
      <c r="Z37" s="13">
        <f>'0. Installation'!$B$6</f>
        <v>0</v>
      </c>
      <c r="AA37" s="40">
        <f>'0. Installation'!$B$7</f>
        <v>0</v>
      </c>
      <c r="AB37" s="41" t="str">
        <f t="shared" si="12"/>
        <v/>
      </c>
      <c r="AC37" s="41" t="str">
        <f>IF(A37="","",IF($A36&lt;&gt;$A37,IF(Z37=0,0,
IF('0. Installation'!$B$2="Cogénération",
X37*AA37/(AA37+273.15)/(Y37+AA37/(AA37+273.15)*Z37),
X37/Z37)),""))</f>
        <v/>
      </c>
      <c r="AD37" s="42">
        <f>'0. Installation'!$B$4</f>
        <v>0</v>
      </c>
      <c r="AE37" s="43">
        <f>IF('0. Installation'!$B$8="OUI",'Références GES'!$B$16,'Références GES'!$B$14)</f>
        <v>183</v>
      </c>
      <c r="AF37" s="44" t="str">
        <f t="shared" si="13"/>
        <v/>
      </c>
      <c r="AG37" s="43">
        <f>'Références GES'!$B$15</f>
        <v>80</v>
      </c>
      <c r="AH37" s="44" t="str">
        <f>IF(A37="","",IF($A36&lt;&gt;$A37,IF($AC37=0,0,($AG37-$AC37)/$AG37),""))</f>
        <v/>
      </c>
      <c r="AI37" s="45"/>
      <c r="AJ37" s="43">
        <f>'Références GES'!$B$14</f>
        <v>183</v>
      </c>
      <c r="AK37" s="44" t="e">
        <f t="shared" si="18"/>
        <v>#VALUE!</v>
      </c>
      <c r="AL37" s="43">
        <f>'Références GES'!$B$15</f>
        <v>80</v>
      </c>
      <c r="AM37" s="44" t="e">
        <f t="shared" si="15"/>
        <v>#VALUE!</v>
      </c>
      <c r="AN37" s="46" t="str">
        <f t="shared" si="16"/>
        <v/>
      </c>
      <c r="AO37" s="47" t="str">
        <f t="shared" si="19"/>
        <v/>
      </c>
      <c r="AQ37" s="115">
        <f t="shared" si="20"/>
        <v>0</v>
      </c>
    </row>
    <row r="38" spans="1:43">
      <c r="A38" s="289" t="str">
        <f>IF(ISBLANK('1. Déclaration'!C166)=TRUE,"",'1. Déclaration'!C166)</f>
        <v/>
      </c>
      <c r="B38" s="292" t="str">
        <f>IF(ISBLANK('1. Déclaration'!A166)=TRUE,"",'1. Déclaration'!A166)</f>
        <v/>
      </c>
      <c r="C38" s="295"/>
      <c r="D38" s="209"/>
      <c r="E38" s="213"/>
      <c r="F38" s="209"/>
      <c r="G38" s="213"/>
      <c r="H38" s="211"/>
      <c r="I38" s="213"/>
      <c r="J38" s="209"/>
      <c r="K38" s="213"/>
      <c r="L38" s="208" t="str">
        <f t="shared" si="17"/>
        <v/>
      </c>
      <c r="M38" s="212" t="str">
        <f t="shared" si="2"/>
        <v/>
      </c>
      <c r="N38" s="208" t="str">
        <f t="shared" si="3"/>
        <v/>
      </c>
      <c r="O38" s="212" t="str">
        <f t="shared" si="4"/>
        <v/>
      </c>
      <c r="P38" s="208" t="str">
        <f t="shared" si="5"/>
        <v/>
      </c>
      <c r="Q38" s="212" t="str">
        <f t="shared" si="6"/>
        <v/>
      </c>
      <c r="R38" s="208" t="str">
        <f t="shared" si="7"/>
        <v/>
      </c>
      <c r="S38" s="212" t="str">
        <f t="shared" si="8"/>
        <v/>
      </c>
      <c r="T38" s="211"/>
      <c r="U38" s="212" t="str">
        <f t="shared" si="9"/>
        <v/>
      </c>
      <c r="V38" s="211"/>
      <c r="W38" s="212" t="str">
        <f t="shared" si="10"/>
        <v/>
      </c>
      <c r="X38" s="298" t="str">
        <f t="shared" si="11"/>
        <v/>
      </c>
      <c r="Y38" s="13">
        <f>'0. Installation'!$B$5</f>
        <v>0</v>
      </c>
      <c r="Z38" s="13">
        <f>'0. Installation'!$B$6</f>
        <v>0</v>
      </c>
      <c r="AA38" s="40">
        <f>'0. Installation'!$B$7</f>
        <v>0</v>
      </c>
      <c r="AB38" s="41" t="str">
        <f t="shared" si="12"/>
        <v/>
      </c>
      <c r="AC38" s="41" t="str">
        <f>IF(A38="","",IF($A37&lt;&gt;$A38,IF(Z38=0,0,
IF('0. Installation'!$B$2="Cogénération",
X38*AA38/(AA38+273.15)/(Y38+AA38/(AA38+273.15)*Z38),
X38/Z38)),""))</f>
        <v/>
      </c>
      <c r="AD38" s="42">
        <f>'0. Installation'!$B$4</f>
        <v>0</v>
      </c>
      <c r="AE38" s="43">
        <f>IF('0. Installation'!$B$8="OUI",'Références GES'!$B$16,'Références GES'!$B$14)</f>
        <v>183</v>
      </c>
      <c r="AF38" s="44" t="str">
        <f t="shared" si="13"/>
        <v/>
      </c>
      <c r="AG38" s="43">
        <f>'Références GES'!$B$15</f>
        <v>80</v>
      </c>
      <c r="AH38" s="44" t="str">
        <f t="shared" si="14"/>
        <v/>
      </c>
      <c r="AI38" s="45"/>
      <c r="AJ38" s="43">
        <f>'Références GES'!$B$14</f>
        <v>183</v>
      </c>
      <c r="AK38" s="44" t="e">
        <f t="shared" si="18"/>
        <v>#VALUE!</v>
      </c>
      <c r="AL38" s="43">
        <f>'Références GES'!$B$15</f>
        <v>80</v>
      </c>
      <c r="AM38" s="44" t="e">
        <f t="shared" si="15"/>
        <v>#VALUE!</v>
      </c>
      <c r="AN38" s="46" t="str">
        <f t="shared" si="16"/>
        <v/>
      </c>
      <c r="AO38" s="47" t="str">
        <f t="shared" si="19"/>
        <v/>
      </c>
      <c r="AQ38" s="115">
        <f t="shared" si="20"/>
        <v>0</v>
      </c>
    </row>
    <row r="39" spans="1:43">
      <c r="A39" s="289" t="str">
        <f>IF(ISBLANK('1. Déclaration'!C167)=TRUE,"",'1. Déclaration'!C167)</f>
        <v/>
      </c>
      <c r="B39" s="292" t="str">
        <f>IF(ISBLANK('1. Déclaration'!A167)=TRUE,"",'1. Déclaration'!A167)</f>
        <v/>
      </c>
      <c r="C39" s="295"/>
      <c r="D39" s="209"/>
      <c r="E39" s="213"/>
      <c r="F39" s="209"/>
      <c r="G39" s="213"/>
      <c r="H39" s="211"/>
      <c r="I39" s="213"/>
      <c r="J39" s="209"/>
      <c r="K39" s="213"/>
      <c r="L39" s="208" t="str">
        <f t="shared" si="17"/>
        <v/>
      </c>
      <c r="M39" s="212" t="str">
        <f t="shared" si="2"/>
        <v/>
      </c>
      <c r="N39" s="208" t="str">
        <f t="shared" si="3"/>
        <v/>
      </c>
      <c r="O39" s="212" t="str">
        <f t="shared" si="4"/>
        <v/>
      </c>
      <c r="P39" s="208" t="str">
        <f t="shared" si="5"/>
        <v/>
      </c>
      <c r="Q39" s="212" t="str">
        <f t="shared" si="6"/>
        <v/>
      </c>
      <c r="R39" s="208" t="str">
        <f t="shared" si="7"/>
        <v/>
      </c>
      <c r="S39" s="212" t="str">
        <f t="shared" si="8"/>
        <v/>
      </c>
      <c r="T39" s="211"/>
      <c r="U39" s="212" t="str">
        <f t="shared" si="9"/>
        <v/>
      </c>
      <c r="V39" s="211"/>
      <c r="W39" s="212" t="str">
        <f t="shared" si="10"/>
        <v/>
      </c>
      <c r="X39" s="298" t="str">
        <f t="shared" si="11"/>
        <v/>
      </c>
      <c r="Y39" s="13">
        <f>'0. Installation'!$B$5</f>
        <v>0</v>
      </c>
      <c r="Z39" s="13">
        <f>'0. Installation'!$B$6</f>
        <v>0</v>
      </c>
      <c r="AA39" s="40">
        <f>'0. Installation'!$B$7</f>
        <v>0</v>
      </c>
      <c r="AB39" s="41" t="str">
        <f t="shared" si="12"/>
        <v/>
      </c>
      <c r="AC39" s="41" t="str">
        <f>IF(A39="","",IF($A38&lt;&gt;$A39,IF(Z39=0,0,
IF('0. Installation'!$B$2="Cogénération",
X39*AA39/(AA39+273.15)/(Y39+AA39/(AA39+273.15)*Z39),
X39/Z39)),""))</f>
        <v/>
      </c>
      <c r="AD39" s="42">
        <f>'0. Installation'!$B$4</f>
        <v>0</v>
      </c>
      <c r="AE39" s="43">
        <f>IF('0. Installation'!$B$8="OUI",'Références GES'!$B$16,'Références GES'!$B$14)</f>
        <v>183</v>
      </c>
      <c r="AF39" s="44" t="str">
        <f t="shared" si="13"/>
        <v/>
      </c>
      <c r="AG39" s="43">
        <f>'Références GES'!$B$15</f>
        <v>80</v>
      </c>
      <c r="AH39" s="44" t="str">
        <f t="shared" si="14"/>
        <v/>
      </c>
      <c r="AI39" s="45"/>
      <c r="AJ39" s="43">
        <f>'Références GES'!$B$14</f>
        <v>183</v>
      </c>
      <c r="AK39" s="44" t="e">
        <f t="shared" si="18"/>
        <v>#VALUE!</v>
      </c>
      <c r="AL39" s="43">
        <f>'Références GES'!$B$15</f>
        <v>80</v>
      </c>
      <c r="AM39" s="44" t="e">
        <f t="shared" si="15"/>
        <v>#VALUE!</v>
      </c>
      <c r="AN39" s="46" t="str">
        <f t="shared" si="16"/>
        <v/>
      </c>
      <c r="AO39" s="47" t="str">
        <f t="shared" si="19"/>
        <v/>
      </c>
      <c r="AQ39" s="115">
        <f t="shared" si="20"/>
        <v>0</v>
      </c>
    </row>
    <row r="40" spans="1:43">
      <c r="A40" s="289" t="str">
        <f>IF(ISBLANK('1. Déclaration'!C168)=TRUE,"",'1. Déclaration'!C168)</f>
        <v/>
      </c>
      <c r="B40" s="292" t="str">
        <f>IF(ISBLANK('1. Déclaration'!A168)=TRUE,"",'1. Déclaration'!A168)</f>
        <v/>
      </c>
      <c r="C40" s="295"/>
      <c r="D40" s="209"/>
      <c r="E40" s="213"/>
      <c r="F40" s="209"/>
      <c r="G40" s="213"/>
      <c r="H40" s="211"/>
      <c r="I40" s="213"/>
      <c r="J40" s="209"/>
      <c r="K40" s="213"/>
      <c r="L40" s="208" t="str">
        <f t="shared" si="17"/>
        <v/>
      </c>
      <c r="M40" s="212" t="str">
        <f t="shared" si="2"/>
        <v/>
      </c>
      <c r="N40" s="208" t="str">
        <f t="shared" si="3"/>
        <v/>
      </c>
      <c r="O40" s="212" t="str">
        <f t="shared" si="4"/>
        <v/>
      </c>
      <c r="P40" s="208" t="str">
        <f t="shared" si="5"/>
        <v/>
      </c>
      <c r="Q40" s="212" t="str">
        <f t="shared" si="6"/>
        <v/>
      </c>
      <c r="R40" s="208" t="str">
        <f t="shared" si="7"/>
        <v/>
      </c>
      <c r="S40" s="212" t="str">
        <f t="shared" si="8"/>
        <v/>
      </c>
      <c r="T40" s="211"/>
      <c r="U40" s="212" t="str">
        <f t="shared" si="9"/>
        <v/>
      </c>
      <c r="V40" s="211"/>
      <c r="W40" s="212" t="str">
        <f t="shared" si="10"/>
        <v/>
      </c>
      <c r="X40" s="298" t="str">
        <f t="shared" si="11"/>
        <v/>
      </c>
      <c r="Y40" s="13">
        <f>'0. Installation'!$B$5</f>
        <v>0</v>
      </c>
      <c r="Z40" s="13">
        <f>'0. Installation'!$B$6</f>
        <v>0</v>
      </c>
      <c r="AA40" s="40">
        <f>'0. Installation'!$B$7</f>
        <v>0</v>
      </c>
      <c r="AB40" s="41" t="str">
        <f t="shared" si="12"/>
        <v/>
      </c>
      <c r="AC40" s="41" t="str">
        <f>IF(A40="","",IF($A39&lt;&gt;$A40,IF(Z40=0,0,
IF('0. Installation'!$B$2="Cogénération",
X40*AA40/(AA40+273.15)/(Y40+AA40/(AA40+273.15)*Z40),
X40/Z40)),""))</f>
        <v/>
      </c>
      <c r="AD40" s="42">
        <f>'0. Installation'!$B$4</f>
        <v>0</v>
      </c>
      <c r="AE40" s="43">
        <f>IF('0. Installation'!$B$8="OUI",'Références GES'!$B$16,'Références GES'!$B$14)</f>
        <v>183</v>
      </c>
      <c r="AF40" s="44" t="str">
        <f t="shared" si="13"/>
        <v/>
      </c>
      <c r="AG40" s="43">
        <f>'Références GES'!$B$15</f>
        <v>80</v>
      </c>
      <c r="AH40" s="44" t="str">
        <f t="shared" si="14"/>
        <v/>
      </c>
      <c r="AI40" s="45"/>
      <c r="AJ40" s="43">
        <f>'Références GES'!$B$14</f>
        <v>183</v>
      </c>
      <c r="AK40" s="44" t="e">
        <f t="shared" si="18"/>
        <v>#VALUE!</v>
      </c>
      <c r="AL40" s="43">
        <f>'Références GES'!$B$15</f>
        <v>80</v>
      </c>
      <c r="AM40" s="44" t="e">
        <f t="shared" si="15"/>
        <v>#VALUE!</v>
      </c>
      <c r="AN40" s="46" t="str">
        <f t="shared" si="16"/>
        <v/>
      </c>
      <c r="AO40" s="47" t="str">
        <f t="shared" si="19"/>
        <v/>
      </c>
      <c r="AQ40" s="115">
        <f t="shared" si="20"/>
        <v>0</v>
      </c>
    </row>
    <row r="41" spans="1:43">
      <c r="A41" s="289" t="str">
        <f>IF(ISBLANK('1. Déclaration'!C169)=TRUE,"",'1. Déclaration'!C169)</f>
        <v/>
      </c>
      <c r="B41" s="292" t="str">
        <f>IF(ISBLANK('1. Déclaration'!A169)=TRUE,"",'1. Déclaration'!A169)</f>
        <v/>
      </c>
      <c r="C41" s="295"/>
      <c r="D41" s="209"/>
      <c r="E41" s="213"/>
      <c r="F41" s="209"/>
      <c r="G41" s="213"/>
      <c r="H41" s="211"/>
      <c r="I41" s="213"/>
      <c r="J41" s="209"/>
      <c r="K41" s="213"/>
      <c r="L41" s="208" t="str">
        <f t="shared" si="17"/>
        <v/>
      </c>
      <c r="M41" s="212" t="str">
        <f t="shared" si="2"/>
        <v/>
      </c>
      <c r="N41" s="208" t="str">
        <f t="shared" si="3"/>
        <v/>
      </c>
      <c r="O41" s="212" t="str">
        <f t="shared" si="4"/>
        <v/>
      </c>
      <c r="P41" s="208" t="str">
        <f t="shared" si="5"/>
        <v/>
      </c>
      <c r="Q41" s="212" t="str">
        <f t="shared" si="6"/>
        <v/>
      </c>
      <c r="R41" s="208" t="str">
        <f t="shared" si="7"/>
        <v/>
      </c>
      <c r="S41" s="212" t="str">
        <f t="shared" si="8"/>
        <v/>
      </c>
      <c r="T41" s="211"/>
      <c r="U41" s="212" t="str">
        <f t="shared" si="9"/>
        <v/>
      </c>
      <c r="V41" s="211"/>
      <c r="W41" s="212" t="str">
        <f t="shared" si="10"/>
        <v/>
      </c>
      <c r="X41" s="298" t="str">
        <f t="shared" si="11"/>
        <v/>
      </c>
      <c r="Y41" s="13">
        <f>'0. Installation'!$B$5</f>
        <v>0</v>
      </c>
      <c r="Z41" s="13">
        <f>'0. Installation'!$B$6</f>
        <v>0</v>
      </c>
      <c r="AA41" s="40">
        <f>'0. Installation'!$B$7</f>
        <v>0</v>
      </c>
      <c r="AB41" s="41" t="str">
        <f t="shared" si="12"/>
        <v/>
      </c>
      <c r="AC41" s="41" t="str">
        <f>IF(A41="","",IF($A40&lt;&gt;$A41,IF(Z41=0,0,
IF('0. Installation'!$B$2="Cogénération",
X41*AA41/(AA41+273.15)/(Y41+AA41/(AA41+273.15)*Z41),
X41/Z41)),""))</f>
        <v/>
      </c>
      <c r="AD41" s="42">
        <f>'0. Installation'!$B$4</f>
        <v>0</v>
      </c>
      <c r="AE41" s="43">
        <f>IF('0. Installation'!$B$8="OUI",'Références GES'!$B$16,'Références GES'!$B$14)</f>
        <v>183</v>
      </c>
      <c r="AF41" s="44" t="str">
        <f t="shared" si="13"/>
        <v/>
      </c>
      <c r="AG41" s="43">
        <f>'Références GES'!$B$15</f>
        <v>80</v>
      </c>
      <c r="AH41" s="44" t="str">
        <f t="shared" si="14"/>
        <v/>
      </c>
      <c r="AI41" s="45"/>
      <c r="AJ41" s="43">
        <f>'Références GES'!$B$14</f>
        <v>183</v>
      </c>
      <c r="AK41" s="44" t="e">
        <f t="shared" si="18"/>
        <v>#VALUE!</v>
      </c>
      <c r="AL41" s="43">
        <f>'Références GES'!$B$15</f>
        <v>80</v>
      </c>
      <c r="AM41" s="44" t="e">
        <f t="shared" si="15"/>
        <v>#VALUE!</v>
      </c>
      <c r="AN41" s="46" t="str">
        <f t="shared" si="16"/>
        <v/>
      </c>
      <c r="AO41" s="47" t="str">
        <f t="shared" si="19"/>
        <v/>
      </c>
      <c r="AQ41" s="115">
        <f t="shared" si="20"/>
        <v>0</v>
      </c>
    </row>
    <row r="42" spans="1:43">
      <c r="A42" s="289" t="str">
        <f>IF(ISBLANK('1. Déclaration'!C170)=TRUE,"",'1. Déclaration'!C170)</f>
        <v/>
      </c>
      <c r="B42" s="292" t="str">
        <f>IF(ISBLANK('1. Déclaration'!A170)=TRUE,"",'1. Déclaration'!A170)</f>
        <v/>
      </c>
      <c r="C42" s="295"/>
      <c r="D42" s="209"/>
      <c r="E42" s="213"/>
      <c r="F42" s="209"/>
      <c r="G42" s="213"/>
      <c r="H42" s="211"/>
      <c r="I42" s="213"/>
      <c r="J42" s="209"/>
      <c r="K42" s="213"/>
      <c r="L42" s="208" t="str">
        <f t="shared" si="17"/>
        <v/>
      </c>
      <c r="M42" s="212" t="str">
        <f t="shared" si="2"/>
        <v/>
      </c>
      <c r="N42" s="208" t="str">
        <f t="shared" si="3"/>
        <v/>
      </c>
      <c r="O42" s="212" t="str">
        <f t="shared" si="4"/>
        <v/>
      </c>
      <c r="P42" s="208" t="str">
        <f t="shared" si="5"/>
        <v/>
      </c>
      <c r="Q42" s="212" t="str">
        <f t="shared" si="6"/>
        <v/>
      </c>
      <c r="R42" s="208" t="str">
        <f t="shared" si="7"/>
        <v/>
      </c>
      <c r="S42" s="212" t="str">
        <f t="shared" si="8"/>
        <v/>
      </c>
      <c r="T42" s="211"/>
      <c r="U42" s="212" t="str">
        <f t="shared" si="9"/>
        <v/>
      </c>
      <c r="V42" s="211"/>
      <c r="W42" s="212" t="str">
        <f t="shared" si="10"/>
        <v/>
      </c>
      <c r="X42" s="298" t="str">
        <f t="shared" si="11"/>
        <v/>
      </c>
      <c r="Y42" s="13">
        <f>'0. Installation'!$B$5</f>
        <v>0</v>
      </c>
      <c r="Z42" s="13">
        <f>'0. Installation'!$B$6</f>
        <v>0</v>
      </c>
      <c r="AA42" s="40">
        <f>'0. Installation'!$B$7</f>
        <v>0</v>
      </c>
      <c r="AB42" s="41" t="str">
        <f t="shared" si="12"/>
        <v/>
      </c>
      <c r="AC42" s="41" t="str">
        <f>IF(A42="","",IF($A41&lt;&gt;$A42,IF(Z42=0,0,
IF('0. Installation'!$B$2="Cogénération",
X42*AA42/(AA42+273.15)/(Y42+AA42/(AA42+273.15)*Z42),
X42/Z42)),""))</f>
        <v/>
      </c>
      <c r="AD42" s="42">
        <f>'0. Installation'!$B$4</f>
        <v>0</v>
      </c>
      <c r="AE42" s="43">
        <f>IF('0. Installation'!$B$8="OUI",'Références GES'!$B$16,'Références GES'!$B$14)</f>
        <v>183</v>
      </c>
      <c r="AF42" s="44" t="str">
        <f t="shared" si="13"/>
        <v/>
      </c>
      <c r="AG42" s="43">
        <f>'Références GES'!$B$15</f>
        <v>80</v>
      </c>
      <c r="AH42" s="44" t="str">
        <f t="shared" si="14"/>
        <v/>
      </c>
      <c r="AI42" s="45"/>
      <c r="AJ42" s="43">
        <f>'Références GES'!$B$14</f>
        <v>183</v>
      </c>
      <c r="AK42" s="44" t="e">
        <f t="shared" si="18"/>
        <v>#VALUE!</v>
      </c>
      <c r="AL42" s="43">
        <f>'Références GES'!$B$15</f>
        <v>80</v>
      </c>
      <c r="AM42" s="44" t="e">
        <f t="shared" si="15"/>
        <v>#VALUE!</v>
      </c>
      <c r="AN42" s="46" t="str">
        <f t="shared" si="16"/>
        <v/>
      </c>
      <c r="AO42" s="47" t="str">
        <f t="shared" si="19"/>
        <v/>
      </c>
      <c r="AQ42" s="115">
        <f t="shared" si="20"/>
        <v>0</v>
      </c>
    </row>
    <row r="43" spans="1:43">
      <c r="A43" s="289" t="str">
        <f>IF(ISBLANK('1. Déclaration'!C171)=TRUE,"",'1. Déclaration'!C171)</f>
        <v/>
      </c>
      <c r="B43" s="292" t="str">
        <f>IF(ISBLANK('1. Déclaration'!A171)=TRUE,"",'1. Déclaration'!A171)</f>
        <v/>
      </c>
      <c r="C43" s="295"/>
      <c r="D43" s="209"/>
      <c r="E43" s="213"/>
      <c r="F43" s="209"/>
      <c r="G43" s="213"/>
      <c r="H43" s="211"/>
      <c r="I43" s="213"/>
      <c r="J43" s="209"/>
      <c r="K43" s="213"/>
      <c r="L43" s="208" t="str">
        <f t="shared" si="17"/>
        <v/>
      </c>
      <c r="M43" s="212" t="str">
        <f t="shared" si="2"/>
        <v/>
      </c>
      <c r="N43" s="208" t="str">
        <f t="shared" si="3"/>
        <v/>
      </c>
      <c r="O43" s="212" t="str">
        <f t="shared" si="4"/>
        <v/>
      </c>
      <c r="P43" s="208" t="str">
        <f t="shared" si="5"/>
        <v/>
      </c>
      <c r="Q43" s="212" t="str">
        <f t="shared" si="6"/>
        <v/>
      </c>
      <c r="R43" s="208" t="str">
        <f t="shared" si="7"/>
        <v/>
      </c>
      <c r="S43" s="212" t="str">
        <f t="shared" si="8"/>
        <v/>
      </c>
      <c r="T43" s="211"/>
      <c r="U43" s="212" t="str">
        <f t="shared" si="9"/>
        <v/>
      </c>
      <c r="V43" s="211"/>
      <c r="W43" s="212" t="str">
        <f t="shared" si="10"/>
        <v/>
      </c>
      <c r="X43" s="298" t="str">
        <f t="shared" si="11"/>
        <v/>
      </c>
      <c r="Y43" s="13">
        <f>'0. Installation'!$B$5</f>
        <v>0</v>
      </c>
      <c r="Z43" s="13">
        <f>'0. Installation'!$B$6</f>
        <v>0</v>
      </c>
      <c r="AA43" s="40">
        <f>'0. Installation'!$B$7</f>
        <v>0</v>
      </c>
      <c r="AB43" s="41" t="str">
        <f t="shared" si="12"/>
        <v/>
      </c>
      <c r="AC43" s="41" t="str">
        <f>IF(A43="","",IF($A42&lt;&gt;$A43,IF(Z43=0,0,
IF('0. Installation'!$B$2="Cogénération",
X43*AA43/(AA43+273.15)/(Y43+AA43/(AA43+273.15)*Z43),
X43/Z43)),""))</f>
        <v/>
      </c>
      <c r="AD43" s="42">
        <f>'0. Installation'!$B$4</f>
        <v>0</v>
      </c>
      <c r="AE43" s="43">
        <f>IF('0. Installation'!$B$8="OUI",'Références GES'!$B$16,'Références GES'!$B$14)</f>
        <v>183</v>
      </c>
      <c r="AF43" s="44" t="str">
        <f t="shared" si="13"/>
        <v/>
      </c>
      <c r="AG43" s="43">
        <f>'Références GES'!$B$15</f>
        <v>80</v>
      </c>
      <c r="AH43" s="44" t="str">
        <f t="shared" si="14"/>
        <v/>
      </c>
      <c r="AI43" s="45"/>
      <c r="AJ43" s="43">
        <f>'Références GES'!$B$14</f>
        <v>183</v>
      </c>
      <c r="AK43" s="44" t="e">
        <f t="shared" si="18"/>
        <v>#VALUE!</v>
      </c>
      <c r="AL43" s="43">
        <f>'Références GES'!$B$15</f>
        <v>80</v>
      </c>
      <c r="AM43" s="44" t="e">
        <f t="shared" si="15"/>
        <v>#VALUE!</v>
      </c>
      <c r="AN43" s="46" t="str">
        <f t="shared" si="16"/>
        <v/>
      </c>
      <c r="AO43" s="47" t="str">
        <f t="shared" si="19"/>
        <v/>
      </c>
      <c r="AQ43" s="115">
        <f t="shared" si="20"/>
        <v>0</v>
      </c>
    </row>
    <row r="44" spans="1:43">
      <c r="A44" s="289" t="str">
        <f>IF(ISBLANK('1. Déclaration'!C172)=TRUE,"",'1. Déclaration'!C172)</f>
        <v/>
      </c>
      <c r="B44" s="292" t="str">
        <f>IF(ISBLANK('1. Déclaration'!A172)=TRUE,"",'1. Déclaration'!A172)</f>
        <v/>
      </c>
      <c r="C44" s="295"/>
      <c r="D44" s="209"/>
      <c r="E44" s="213"/>
      <c r="F44" s="209"/>
      <c r="G44" s="213"/>
      <c r="H44" s="211"/>
      <c r="I44" s="213"/>
      <c r="J44" s="209"/>
      <c r="K44" s="213"/>
      <c r="L44" s="208" t="str">
        <f t="shared" si="17"/>
        <v/>
      </c>
      <c r="M44" s="212" t="str">
        <f t="shared" si="2"/>
        <v/>
      </c>
      <c r="N44" s="208" t="str">
        <f t="shared" si="3"/>
        <v/>
      </c>
      <c r="O44" s="212" t="str">
        <f t="shared" si="4"/>
        <v/>
      </c>
      <c r="P44" s="208" t="str">
        <f t="shared" si="5"/>
        <v/>
      </c>
      <c r="Q44" s="212" t="str">
        <f t="shared" si="6"/>
        <v/>
      </c>
      <c r="R44" s="208" t="str">
        <f t="shared" si="7"/>
        <v/>
      </c>
      <c r="S44" s="212" t="str">
        <f t="shared" si="8"/>
        <v/>
      </c>
      <c r="T44" s="211"/>
      <c r="U44" s="212" t="str">
        <f t="shared" si="9"/>
        <v/>
      </c>
      <c r="V44" s="211"/>
      <c r="W44" s="212" t="str">
        <f t="shared" si="10"/>
        <v/>
      </c>
      <c r="X44" s="298" t="str">
        <f t="shared" si="11"/>
        <v/>
      </c>
      <c r="Y44" s="13">
        <f>'0. Installation'!$B$5</f>
        <v>0</v>
      </c>
      <c r="Z44" s="13">
        <f>'0. Installation'!$B$6</f>
        <v>0</v>
      </c>
      <c r="AA44" s="40">
        <f>'0. Installation'!$B$7</f>
        <v>0</v>
      </c>
      <c r="AB44" s="41" t="str">
        <f t="shared" si="12"/>
        <v/>
      </c>
      <c r="AC44" s="41" t="str">
        <f>IF(A44="","",IF($A43&lt;&gt;$A44,IF(Z44=0,0,
IF('0. Installation'!$B$2="Cogénération",
X44*AA44/(AA44+273.15)/(Y44+AA44/(AA44+273.15)*Z44),
X44/Z44)),""))</f>
        <v/>
      </c>
      <c r="AD44" s="42">
        <f>'0. Installation'!$B$4</f>
        <v>0</v>
      </c>
      <c r="AE44" s="43">
        <f>IF('0. Installation'!$B$8="OUI",'Références GES'!$B$16,'Références GES'!$B$14)</f>
        <v>183</v>
      </c>
      <c r="AF44" s="44" t="str">
        <f t="shared" si="13"/>
        <v/>
      </c>
      <c r="AG44" s="43">
        <f>'Références GES'!$B$15</f>
        <v>80</v>
      </c>
      <c r="AH44" s="44" t="str">
        <f t="shared" si="14"/>
        <v/>
      </c>
      <c r="AI44" s="45"/>
      <c r="AJ44" s="43">
        <f>'Références GES'!$B$14</f>
        <v>183</v>
      </c>
      <c r="AK44" s="44" t="e">
        <f t="shared" si="18"/>
        <v>#VALUE!</v>
      </c>
      <c r="AL44" s="43">
        <f>'Références GES'!$B$15</f>
        <v>80</v>
      </c>
      <c r="AM44" s="44" t="e">
        <f t="shared" si="15"/>
        <v>#VALUE!</v>
      </c>
      <c r="AN44" s="46" t="str">
        <f t="shared" si="16"/>
        <v/>
      </c>
      <c r="AO44" s="47" t="str">
        <f t="shared" si="19"/>
        <v/>
      </c>
      <c r="AQ44" s="115">
        <f t="shared" si="20"/>
        <v>0</v>
      </c>
    </row>
    <row r="45" spans="1:43">
      <c r="A45" s="289" t="str">
        <f>IF(ISBLANK('1. Déclaration'!C173)=TRUE,"",'1. Déclaration'!C173)</f>
        <v/>
      </c>
      <c r="B45" s="292" t="str">
        <f>IF(ISBLANK('1. Déclaration'!A173)=TRUE,"",'1. Déclaration'!A173)</f>
        <v/>
      </c>
      <c r="C45" s="295"/>
      <c r="D45" s="209"/>
      <c r="E45" s="213"/>
      <c r="F45" s="209"/>
      <c r="G45" s="213"/>
      <c r="H45" s="211"/>
      <c r="I45" s="213"/>
      <c r="J45" s="209"/>
      <c r="K45" s="213"/>
      <c r="L45" s="208" t="str">
        <f t="shared" si="17"/>
        <v/>
      </c>
      <c r="M45" s="212" t="str">
        <f t="shared" si="2"/>
        <v/>
      </c>
      <c r="N45" s="208" t="str">
        <f t="shared" si="3"/>
        <v/>
      </c>
      <c r="O45" s="212" t="str">
        <f t="shared" si="4"/>
        <v/>
      </c>
      <c r="P45" s="208" t="str">
        <f t="shared" si="5"/>
        <v/>
      </c>
      <c r="Q45" s="212" t="str">
        <f t="shared" si="6"/>
        <v/>
      </c>
      <c r="R45" s="208" t="str">
        <f t="shared" si="7"/>
        <v/>
      </c>
      <c r="S45" s="212" t="str">
        <f t="shared" si="8"/>
        <v/>
      </c>
      <c r="T45" s="211"/>
      <c r="U45" s="212" t="str">
        <f t="shared" si="9"/>
        <v/>
      </c>
      <c r="V45" s="211"/>
      <c r="W45" s="212" t="str">
        <f t="shared" si="10"/>
        <v/>
      </c>
      <c r="X45" s="298" t="str">
        <f t="shared" si="11"/>
        <v/>
      </c>
      <c r="Y45" s="13">
        <f>'0. Installation'!$B$5</f>
        <v>0</v>
      </c>
      <c r="Z45" s="13">
        <f>'0. Installation'!$B$6</f>
        <v>0</v>
      </c>
      <c r="AA45" s="40">
        <f>'0. Installation'!$B$7</f>
        <v>0</v>
      </c>
      <c r="AB45" s="41" t="str">
        <f t="shared" si="12"/>
        <v/>
      </c>
      <c r="AC45" s="41" t="str">
        <f>IF(A45="","",IF($A44&lt;&gt;$A45,IF(Z45=0,0,
IF('0. Installation'!$B$2="Cogénération",
X45*AA45/(AA45+273.15)/(Y45+AA45/(AA45+273.15)*Z45),
X45/Z45)),""))</f>
        <v/>
      </c>
      <c r="AD45" s="42">
        <f>'0. Installation'!$B$4</f>
        <v>0</v>
      </c>
      <c r="AE45" s="43">
        <f>IF('0. Installation'!$B$8="OUI",'Références GES'!$B$16,'Références GES'!$B$14)</f>
        <v>183</v>
      </c>
      <c r="AF45" s="44" t="str">
        <f t="shared" si="13"/>
        <v/>
      </c>
      <c r="AG45" s="43">
        <f>'Références GES'!$B$15</f>
        <v>80</v>
      </c>
      <c r="AH45" s="44" t="str">
        <f t="shared" si="14"/>
        <v/>
      </c>
      <c r="AI45" s="45"/>
      <c r="AJ45" s="43">
        <f>'Références GES'!$B$14</f>
        <v>183</v>
      </c>
      <c r="AK45" s="44" t="e">
        <f t="shared" si="18"/>
        <v>#VALUE!</v>
      </c>
      <c r="AL45" s="43">
        <f>'Références GES'!$B$15</f>
        <v>80</v>
      </c>
      <c r="AM45" s="44" t="e">
        <f t="shared" si="15"/>
        <v>#VALUE!</v>
      </c>
      <c r="AN45" s="46" t="str">
        <f t="shared" si="16"/>
        <v/>
      </c>
      <c r="AO45" s="47" t="str">
        <f t="shared" si="19"/>
        <v/>
      </c>
      <c r="AQ45" s="115">
        <f t="shared" si="20"/>
        <v>0</v>
      </c>
    </row>
    <row r="46" spans="1:43">
      <c r="A46" s="289" t="str">
        <f>IF(ISBLANK('1. Déclaration'!C174)=TRUE,"",'1. Déclaration'!C174)</f>
        <v/>
      </c>
      <c r="B46" s="292" t="str">
        <f>IF(ISBLANK('1. Déclaration'!A174)=TRUE,"",'1. Déclaration'!A174)</f>
        <v/>
      </c>
      <c r="C46" s="295"/>
      <c r="D46" s="209"/>
      <c r="E46" s="213"/>
      <c r="F46" s="209"/>
      <c r="G46" s="213"/>
      <c r="H46" s="211"/>
      <c r="I46" s="213"/>
      <c r="J46" s="209"/>
      <c r="K46" s="213"/>
      <c r="L46" s="208" t="str">
        <f t="shared" si="17"/>
        <v/>
      </c>
      <c r="M46" s="212" t="str">
        <f t="shared" si="2"/>
        <v/>
      </c>
      <c r="N46" s="208" t="str">
        <f t="shared" si="3"/>
        <v/>
      </c>
      <c r="O46" s="212" t="str">
        <f t="shared" si="4"/>
        <v/>
      </c>
      <c r="P46" s="208" t="str">
        <f t="shared" si="5"/>
        <v/>
      </c>
      <c r="Q46" s="212" t="str">
        <f t="shared" si="6"/>
        <v/>
      </c>
      <c r="R46" s="208" t="str">
        <f t="shared" si="7"/>
        <v/>
      </c>
      <c r="S46" s="212" t="str">
        <f t="shared" si="8"/>
        <v/>
      </c>
      <c r="T46" s="211"/>
      <c r="U46" s="212" t="str">
        <f t="shared" si="9"/>
        <v/>
      </c>
      <c r="V46" s="211"/>
      <c r="W46" s="212" t="str">
        <f t="shared" si="10"/>
        <v/>
      </c>
      <c r="X46" s="298" t="str">
        <f t="shared" si="11"/>
        <v/>
      </c>
      <c r="Y46" s="13">
        <f>'0. Installation'!$B$5</f>
        <v>0</v>
      </c>
      <c r="Z46" s="13">
        <f>'0. Installation'!$B$6</f>
        <v>0</v>
      </c>
      <c r="AA46" s="40">
        <f>'0. Installation'!$B$7</f>
        <v>0</v>
      </c>
      <c r="AB46" s="41" t="str">
        <f t="shared" si="12"/>
        <v/>
      </c>
      <c r="AC46" s="41" t="str">
        <f>IF(A46="","",IF($A45&lt;&gt;$A46,IF(Z46=0,0,
IF('0. Installation'!$B$2="Cogénération",
X46*AA46/(AA46+273.15)/(Y46+AA46/(AA46+273.15)*Z46),
X46/Z46)),""))</f>
        <v/>
      </c>
      <c r="AD46" s="42">
        <f>'0. Installation'!$B$4</f>
        <v>0</v>
      </c>
      <c r="AE46" s="43">
        <f>IF('0. Installation'!$B$8="OUI",'Références GES'!$B$16,'Références GES'!$B$14)</f>
        <v>183</v>
      </c>
      <c r="AF46" s="44" t="str">
        <f t="shared" si="13"/>
        <v/>
      </c>
      <c r="AG46" s="43">
        <f>'Références GES'!$B$15</f>
        <v>80</v>
      </c>
      <c r="AH46" s="44" t="str">
        <f t="shared" si="14"/>
        <v/>
      </c>
      <c r="AI46" s="45"/>
      <c r="AJ46" s="43">
        <f>'Références GES'!$B$14</f>
        <v>183</v>
      </c>
      <c r="AK46" s="44" t="e">
        <f t="shared" si="18"/>
        <v>#VALUE!</v>
      </c>
      <c r="AL46" s="43">
        <f>'Références GES'!$B$15</f>
        <v>80</v>
      </c>
      <c r="AM46" s="44" t="e">
        <f t="shared" si="15"/>
        <v>#VALUE!</v>
      </c>
      <c r="AN46" s="46" t="str">
        <f t="shared" si="16"/>
        <v/>
      </c>
      <c r="AO46" s="47" t="str">
        <f t="shared" si="19"/>
        <v/>
      </c>
      <c r="AQ46" s="115">
        <f t="shared" si="20"/>
        <v>0</v>
      </c>
    </row>
    <row r="47" spans="1:43">
      <c r="A47" s="289" t="str">
        <f>IF(ISBLANK('1. Déclaration'!C175)=TRUE,"",'1. Déclaration'!C175)</f>
        <v/>
      </c>
      <c r="B47" s="292" t="str">
        <f>IF(ISBLANK('1. Déclaration'!A175)=TRUE,"",'1. Déclaration'!A175)</f>
        <v/>
      </c>
      <c r="C47" s="295"/>
      <c r="D47" s="209"/>
      <c r="E47" s="213"/>
      <c r="F47" s="209"/>
      <c r="G47" s="213"/>
      <c r="H47" s="211"/>
      <c r="I47" s="213"/>
      <c r="J47" s="209"/>
      <c r="K47" s="213"/>
      <c r="L47" s="208" t="str">
        <f t="shared" si="17"/>
        <v/>
      </c>
      <c r="M47" s="212" t="str">
        <f t="shared" si="2"/>
        <v/>
      </c>
      <c r="N47" s="208" t="str">
        <f t="shared" si="3"/>
        <v/>
      </c>
      <c r="O47" s="212" t="str">
        <f t="shared" si="4"/>
        <v/>
      </c>
      <c r="P47" s="208" t="str">
        <f t="shared" si="5"/>
        <v/>
      </c>
      <c r="Q47" s="212" t="str">
        <f t="shared" si="6"/>
        <v/>
      </c>
      <c r="R47" s="208" t="str">
        <f t="shared" si="7"/>
        <v/>
      </c>
      <c r="S47" s="212" t="str">
        <f t="shared" si="8"/>
        <v/>
      </c>
      <c r="T47" s="211"/>
      <c r="U47" s="212" t="str">
        <f t="shared" si="9"/>
        <v/>
      </c>
      <c r="V47" s="211"/>
      <c r="W47" s="212" t="str">
        <f t="shared" si="10"/>
        <v/>
      </c>
      <c r="X47" s="298" t="str">
        <f t="shared" si="11"/>
        <v/>
      </c>
      <c r="Y47" s="13">
        <f>'0. Installation'!$B$5</f>
        <v>0</v>
      </c>
      <c r="Z47" s="13">
        <f>'0. Installation'!$B$6</f>
        <v>0</v>
      </c>
      <c r="AA47" s="40">
        <f>'0. Installation'!$B$7</f>
        <v>0</v>
      </c>
      <c r="AB47" s="41" t="str">
        <f t="shared" si="12"/>
        <v/>
      </c>
      <c r="AC47" s="41" t="str">
        <f>IF(A47="","",IF($A46&lt;&gt;$A47,IF(Z47=0,0,
IF('0. Installation'!$B$2="Cogénération",
X47*AA47/(AA47+273.15)/(Y47+AA47/(AA47+273.15)*Z47),
X47/Z47)),""))</f>
        <v/>
      </c>
      <c r="AD47" s="42">
        <f>'0. Installation'!$B$4</f>
        <v>0</v>
      </c>
      <c r="AE47" s="43">
        <f>IF('0. Installation'!$B$8="OUI",'Références GES'!$B$16,'Références GES'!$B$14)</f>
        <v>183</v>
      </c>
      <c r="AF47" s="44" t="str">
        <f t="shared" si="13"/>
        <v/>
      </c>
      <c r="AG47" s="43">
        <f>'Références GES'!$B$15</f>
        <v>80</v>
      </c>
      <c r="AH47" s="44" t="str">
        <f t="shared" si="14"/>
        <v/>
      </c>
      <c r="AI47" s="45"/>
      <c r="AJ47" s="43">
        <f>'Références GES'!$B$14</f>
        <v>183</v>
      </c>
      <c r="AK47" s="44" t="e">
        <f t="shared" si="18"/>
        <v>#VALUE!</v>
      </c>
      <c r="AL47" s="43">
        <f>'Références GES'!$B$15</f>
        <v>80</v>
      </c>
      <c r="AM47" s="44" t="e">
        <f t="shared" si="15"/>
        <v>#VALUE!</v>
      </c>
      <c r="AN47" s="46" t="str">
        <f t="shared" si="16"/>
        <v/>
      </c>
      <c r="AO47" s="47" t="str">
        <f t="shared" si="19"/>
        <v/>
      </c>
      <c r="AQ47" s="115">
        <f t="shared" si="20"/>
        <v>0</v>
      </c>
    </row>
    <row r="48" spans="1:43">
      <c r="A48" s="289" t="str">
        <f>IF(ISBLANK('1. Déclaration'!C176)=TRUE,"",'1. Déclaration'!C176)</f>
        <v/>
      </c>
      <c r="B48" s="292" t="str">
        <f>IF(ISBLANK('1. Déclaration'!A176)=TRUE,"",'1. Déclaration'!A176)</f>
        <v/>
      </c>
      <c r="C48" s="295"/>
      <c r="D48" s="209"/>
      <c r="E48" s="213"/>
      <c r="F48" s="209"/>
      <c r="G48" s="213"/>
      <c r="H48" s="211"/>
      <c r="I48" s="213"/>
      <c r="J48" s="209"/>
      <c r="K48" s="213"/>
      <c r="L48" s="208" t="str">
        <f t="shared" si="17"/>
        <v/>
      </c>
      <c r="M48" s="212" t="str">
        <f t="shared" si="2"/>
        <v/>
      </c>
      <c r="N48" s="208" t="str">
        <f t="shared" si="3"/>
        <v/>
      </c>
      <c r="O48" s="212" t="str">
        <f t="shared" si="4"/>
        <v/>
      </c>
      <c r="P48" s="208" t="str">
        <f t="shared" si="5"/>
        <v/>
      </c>
      <c r="Q48" s="212" t="str">
        <f t="shared" si="6"/>
        <v/>
      </c>
      <c r="R48" s="208" t="str">
        <f t="shared" si="7"/>
        <v/>
      </c>
      <c r="S48" s="212" t="str">
        <f t="shared" si="8"/>
        <v/>
      </c>
      <c r="T48" s="211"/>
      <c r="U48" s="212" t="str">
        <f t="shared" si="9"/>
        <v/>
      </c>
      <c r="V48" s="211"/>
      <c r="W48" s="212" t="str">
        <f t="shared" si="10"/>
        <v/>
      </c>
      <c r="X48" s="298" t="str">
        <f t="shared" si="11"/>
        <v/>
      </c>
      <c r="Y48" s="13">
        <f>'0. Installation'!$B$5</f>
        <v>0</v>
      </c>
      <c r="Z48" s="13">
        <f>'0. Installation'!$B$6</f>
        <v>0</v>
      </c>
      <c r="AA48" s="40">
        <f>'0. Installation'!$B$7</f>
        <v>0</v>
      </c>
      <c r="AB48" s="41" t="str">
        <f t="shared" si="12"/>
        <v/>
      </c>
      <c r="AC48" s="41" t="str">
        <f>IF(A48="","",IF($A47&lt;&gt;$A48,IF(Z48=0,0,
IF('0. Installation'!$B$2="Cogénération",
X48*AA48/(AA48+273.15)/(Y48+AA48/(AA48+273.15)*Z48),
X48/Z48)),""))</f>
        <v/>
      </c>
      <c r="AD48" s="42">
        <f>'0. Installation'!$B$4</f>
        <v>0</v>
      </c>
      <c r="AE48" s="43">
        <f>IF('0. Installation'!$B$8="OUI",'Références GES'!$B$16,'Références GES'!$B$14)</f>
        <v>183</v>
      </c>
      <c r="AF48" s="44" t="str">
        <f t="shared" si="13"/>
        <v/>
      </c>
      <c r="AG48" s="43">
        <f>'Références GES'!$B$15</f>
        <v>80</v>
      </c>
      <c r="AH48" s="44" t="str">
        <f t="shared" si="14"/>
        <v/>
      </c>
      <c r="AI48" s="45"/>
      <c r="AJ48" s="43">
        <f>'Références GES'!$B$14</f>
        <v>183</v>
      </c>
      <c r="AK48" s="44" t="e">
        <f t="shared" si="18"/>
        <v>#VALUE!</v>
      </c>
      <c r="AL48" s="43">
        <f>'Références GES'!$B$15</f>
        <v>80</v>
      </c>
      <c r="AM48" s="44" t="e">
        <f t="shared" si="15"/>
        <v>#VALUE!</v>
      </c>
      <c r="AN48" s="46" t="str">
        <f t="shared" si="16"/>
        <v/>
      </c>
      <c r="AO48" s="47" t="str">
        <f t="shared" si="19"/>
        <v/>
      </c>
      <c r="AQ48" s="115">
        <f t="shared" si="20"/>
        <v>0</v>
      </c>
    </row>
    <row r="49" spans="1:43">
      <c r="A49" s="289" t="str">
        <f>IF(ISBLANK('1. Déclaration'!C177)=TRUE,"",'1. Déclaration'!C177)</f>
        <v/>
      </c>
      <c r="B49" s="292" t="str">
        <f>IF(ISBLANK('1. Déclaration'!A177)=TRUE,"",'1. Déclaration'!A177)</f>
        <v/>
      </c>
      <c r="C49" s="295"/>
      <c r="D49" s="209"/>
      <c r="E49" s="213"/>
      <c r="F49" s="209"/>
      <c r="G49" s="213"/>
      <c r="H49" s="211"/>
      <c r="I49" s="213"/>
      <c r="J49" s="209"/>
      <c r="K49" s="213"/>
      <c r="L49" s="208" t="str">
        <f t="shared" si="17"/>
        <v/>
      </c>
      <c r="M49" s="212" t="str">
        <f t="shared" si="2"/>
        <v/>
      </c>
      <c r="N49" s="208" t="str">
        <f t="shared" si="3"/>
        <v/>
      </c>
      <c r="O49" s="212" t="str">
        <f t="shared" si="4"/>
        <v/>
      </c>
      <c r="P49" s="208" t="str">
        <f t="shared" si="5"/>
        <v/>
      </c>
      <c r="Q49" s="212" t="str">
        <f t="shared" si="6"/>
        <v/>
      </c>
      <c r="R49" s="208" t="str">
        <f t="shared" si="7"/>
        <v/>
      </c>
      <c r="S49" s="212" t="str">
        <f t="shared" si="8"/>
        <v/>
      </c>
      <c r="T49" s="211"/>
      <c r="U49" s="212" t="str">
        <f t="shared" si="9"/>
        <v/>
      </c>
      <c r="V49" s="211"/>
      <c r="W49" s="212" t="str">
        <f t="shared" si="10"/>
        <v/>
      </c>
      <c r="X49" s="298" t="str">
        <f t="shared" si="11"/>
        <v/>
      </c>
      <c r="Y49" s="13">
        <f>'0. Installation'!$B$5</f>
        <v>0</v>
      </c>
      <c r="Z49" s="13">
        <f>'0. Installation'!$B$6</f>
        <v>0</v>
      </c>
      <c r="AA49" s="40">
        <f>'0. Installation'!$B$7</f>
        <v>0</v>
      </c>
      <c r="AB49" s="41" t="str">
        <f t="shared" si="12"/>
        <v/>
      </c>
      <c r="AC49" s="41" t="str">
        <f>IF(A49="","",IF($A48&lt;&gt;$A49,IF(Z49=0,0,
IF('0. Installation'!$B$2="Cogénération",
X49*AA49/(AA49+273.15)/(Y49+AA49/(AA49+273.15)*Z49),
X49/Z49)),""))</f>
        <v/>
      </c>
      <c r="AD49" s="42">
        <f>'0. Installation'!$B$4</f>
        <v>0</v>
      </c>
      <c r="AE49" s="43">
        <f>IF('0. Installation'!$B$8="OUI",'Références GES'!$B$16,'Références GES'!$B$14)</f>
        <v>183</v>
      </c>
      <c r="AF49" s="44" t="str">
        <f t="shared" si="13"/>
        <v/>
      </c>
      <c r="AG49" s="43">
        <f>'Références GES'!$B$15</f>
        <v>80</v>
      </c>
      <c r="AH49" s="44" t="str">
        <f t="shared" si="14"/>
        <v/>
      </c>
      <c r="AI49" s="45"/>
      <c r="AJ49" s="43">
        <f>'Références GES'!$B$14</f>
        <v>183</v>
      </c>
      <c r="AK49" s="44" t="e">
        <f t="shared" si="18"/>
        <v>#VALUE!</v>
      </c>
      <c r="AL49" s="43">
        <f>'Références GES'!$B$15</f>
        <v>80</v>
      </c>
      <c r="AM49" s="44" t="e">
        <f t="shared" si="15"/>
        <v>#VALUE!</v>
      </c>
      <c r="AN49" s="46" t="str">
        <f t="shared" si="16"/>
        <v/>
      </c>
      <c r="AO49" s="47" t="str">
        <f t="shared" si="19"/>
        <v/>
      </c>
      <c r="AQ49" s="115">
        <f t="shared" si="20"/>
        <v>0</v>
      </c>
    </row>
    <row r="50" spans="1:43">
      <c r="A50" s="289" t="str">
        <f>IF(ISBLANK('1. Déclaration'!C178)=TRUE,"",'1. Déclaration'!C178)</f>
        <v/>
      </c>
      <c r="B50" s="292" t="str">
        <f>IF(ISBLANK('1. Déclaration'!A178)=TRUE,"",'1. Déclaration'!A178)</f>
        <v/>
      </c>
      <c r="C50" s="295"/>
      <c r="D50" s="209"/>
      <c r="E50" s="213"/>
      <c r="F50" s="209"/>
      <c r="G50" s="213"/>
      <c r="H50" s="211"/>
      <c r="I50" s="213"/>
      <c r="J50" s="209"/>
      <c r="K50" s="213"/>
      <c r="L50" s="208" t="str">
        <f t="shared" si="17"/>
        <v/>
      </c>
      <c r="M50" s="212" t="str">
        <f t="shared" si="2"/>
        <v/>
      </c>
      <c r="N50" s="208" t="str">
        <f t="shared" si="3"/>
        <v/>
      </c>
      <c r="O50" s="212" t="str">
        <f t="shared" si="4"/>
        <v/>
      </c>
      <c r="P50" s="208" t="str">
        <f t="shared" si="5"/>
        <v/>
      </c>
      <c r="Q50" s="212" t="str">
        <f t="shared" si="6"/>
        <v/>
      </c>
      <c r="R50" s="208" t="str">
        <f t="shared" si="7"/>
        <v/>
      </c>
      <c r="S50" s="212" t="str">
        <f t="shared" si="8"/>
        <v/>
      </c>
      <c r="T50" s="211"/>
      <c r="U50" s="212" t="str">
        <f t="shared" si="9"/>
        <v/>
      </c>
      <c r="V50" s="211"/>
      <c r="W50" s="212" t="str">
        <f t="shared" si="10"/>
        <v/>
      </c>
      <c r="X50" s="298" t="str">
        <f t="shared" si="11"/>
        <v/>
      </c>
      <c r="Y50" s="13">
        <f>'0. Installation'!$B$5</f>
        <v>0</v>
      </c>
      <c r="Z50" s="13">
        <f>'0. Installation'!$B$6</f>
        <v>0</v>
      </c>
      <c r="AA50" s="40">
        <f>'0. Installation'!$B$7</f>
        <v>0</v>
      </c>
      <c r="AB50" s="41" t="str">
        <f t="shared" si="12"/>
        <v/>
      </c>
      <c r="AC50" s="41" t="str">
        <f>IF(A50="","",IF($A49&lt;&gt;$A50,IF(Z50=0,0,
IF('0. Installation'!$B$2="Cogénération",
X50*AA50/(AA50+273.15)/(Y50+AA50/(AA50+273.15)*Z50),
X50/Z50)),""))</f>
        <v/>
      </c>
      <c r="AD50" s="42">
        <f>'0. Installation'!$B$4</f>
        <v>0</v>
      </c>
      <c r="AE50" s="43">
        <f>IF('0. Installation'!$B$8="OUI",'Références GES'!$B$16,'Références GES'!$B$14)</f>
        <v>183</v>
      </c>
      <c r="AF50" s="44" t="str">
        <f t="shared" si="13"/>
        <v/>
      </c>
      <c r="AG50" s="43">
        <f>'Références GES'!$B$15</f>
        <v>80</v>
      </c>
      <c r="AH50" s="44" t="str">
        <f t="shared" si="14"/>
        <v/>
      </c>
      <c r="AI50" s="45"/>
      <c r="AJ50" s="43">
        <f>'Références GES'!$B$14</f>
        <v>183</v>
      </c>
      <c r="AK50" s="44" t="e">
        <f t="shared" si="18"/>
        <v>#VALUE!</v>
      </c>
      <c r="AL50" s="43">
        <f>'Références GES'!$B$15</f>
        <v>80</v>
      </c>
      <c r="AM50" s="44" t="e">
        <f t="shared" si="15"/>
        <v>#VALUE!</v>
      </c>
      <c r="AN50" s="46" t="str">
        <f t="shared" si="16"/>
        <v/>
      </c>
      <c r="AO50" s="47" t="str">
        <f t="shared" si="19"/>
        <v/>
      </c>
      <c r="AQ50" s="115">
        <f t="shared" si="20"/>
        <v>0</v>
      </c>
    </row>
    <row r="51" spans="1:43">
      <c r="A51" s="289" t="str">
        <f>IF(ISBLANK('1. Déclaration'!C179)=TRUE,"",'1. Déclaration'!C179)</f>
        <v/>
      </c>
      <c r="B51" s="292" t="str">
        <f>IF(ISBLANK('1. Déclaration'!A179)=TRUE,"",'1. Déclaration'!A179)</f>
        <v/>
      </c>
      <c r="C51" s="295"/>
      <c r="D51" s="209"/>
      <c r="E51" s="213"/>
      <c r="F51" s="209"/>
      <c r="G51" s="213"/>
      <c r="H51" s="211"/>
      <c r="I51" s="213"/>
      <c r="J51" s="209"/>
      <c r="K51" s="213"/>
      <c r="L51" s="208" t="str">
        <f t="shared" si="17"/>
        <v/>
      </c>
      <c r="M51" s="212" t="str">
        <f t="shared" si="2"/>
        <v/>
      </c>
      <c r="N51" s="208" t="str">
        <f t="shared" si="3"/>
        <v/>
      </c>
      <c r="O51" s="212" t="str">
        <f t="shared" si="4"/>
        <v/>
      </c>
      <c r="P51" s="208" t="str">
        <f t="shared" si="5"/>
        <v/>
      </c>
      <c r="Q51" s="212" t="str">
        <f t="shared" si="6"/>
        <v/>
      </c>
      <c r="R51" s="208" t="str">
        <f t="shared" si="7"/>
        <v/>
      </c>
      <c r="S51" s="212" t="str">
        <f t="shared" si="8"/>
        <v/>
      </c>
      <c r="T51" s="211"/>
      <c r="U51" s="212" t="str">
        <f t="shared" si="9"/>
        <v/>
      </c>
      <c r="V51" s="211"/>
      <c r="W51" s="212" t="str">
        <f t="shared" si="10"/>
        <v/>
      </c>
      <c r="X51" s="298" t="str">
        <f t="shared" si="11"/>
        <v/>
      </c>
      <c r="Y51" s="13">
        <f>'0. Installation'!$B$5</f>
        <v>0</v>
      </c>
      <c r="Z51" s="13">
        <f>'0. Installation'!$B$6</f>
        <v>0</v>
      </c>
      <c r="AA51" s="40">
        <f>'0. Installation'!$B$7</f>
        <v>0</v>
      </c>
      <c r="AB51" s="41" t="str">
        <f t="shared" si="12"/>
        <v/>
      </c>
      <c r="AC51" s="41" t="str">
        <f>IF(A51="","",IF($A50&lt;&gt;$A51,IF(Z51=0,0,
IF('0. Installation'!$B$2="Cogénération",
X51*AA51/(AA51+273.15)/(Y51+AA51/(AA51+273.15)*Z51),
X51/Z51)),""))</f>
        <v/>
      </c>
      <c r="AD51" s="42">
        <f>'0. Installation'!$B$4</f>
        <v>0</v>
      </c>
      <c r="AE51" s="43">
        <f>IF('0. Installation'!$B$8="OUI",'Références GES'!$B$16,'Références GES'!$B$14)</f>
        <v>183</v>
      </c>
      <c r="AF51" s="44" t="str">
        <f t="shared" si="13"/>
        <v/>
      </c>
      <c r="AG51" s="43">
        <f>'Références GES'!$B$15</f>
        <v>80</v>
      </c>
      <c r="AH51" s="44" t="str">
        <f t="shared" si="14"/>
        <v/>
      </c>
      <c r="AI51" s="45"/>
      <c r="AJ51" s="43">
        <f>'Références GES'!$B$14</f>
        <v>183</v>
      </c>
      <c r="AK51" s="44" t="e">
        <f t="shared" si="18"/>
        <v>#VALUE!</v>
      </c>
      <c r="AL51" s="43">
        <f>'Références GES'!$B$15</f>
        <v>80</v>
      </c>
      <c r="AM51" s="44" t="e">
        <f t="shared" si="15"/>
        <v>#VALUE!</v>
      </c>
      <c r="AN51" s="46" t="str">
        <f t="shared" si="16"/>
        <v/>
      </c>
      <c r="AO51" s="47" t="str">
        <f t="shared" si="19"/>
        <v/>
      </c>
      <c r="AQ51" s="115">
        <f t="shared" si="20"/>
        <v>0</v>
      </c>
    </row>
    <row r="52" spans="1:43">
      <c r="A52" s="289" t="str">
        <f>IF(ISBLANK('1. Déclaration'!C180)=TRUE,"",'1. Déclaration'!C180)</f>
        <v/>
      </c>
      <c r="B52" s="292" t="str">
        <f>IF(ISBLANK('1. Déclaration'!A180)=TRUE,"",'1. Déclaration'!A180)</f>
        <v/>
      </c>
      <c r="C52" s="295"/>
      <c r="D52" s="209"/>
      <c r="E52" s="213"/>
      <c r="F52" s="209"/>
      <c r="G52" s="213"/>
      <c r="H52" s="211"/>
      <c r="I52" s="213"/>
      <c r="J52" s="209"/>
      <c r="K52" s="213"/>
      <c r="L52" s="208" t="str">
        <f t="shared" si="17"/>
        <v/>
      </c>
      <c r="M52" s="212" t="str">
        <f t="shared" si="2"/>
        <v/>
      </c>
      <c r="N52" s="208" t="str">
        <f t="shared" si="3"/>
        <v/>
      </c>
      <c r="O52" s="212" t="str">
        <f t="shared" si="4"/>
        <v/>
      </c>
      <c r="P52" s="208" t="str">
        <f t="shared" si="5"/>
        <v/>
      </c>
      <c r="Q52" s="212" t="str">
        <f t="shared" si="6"/>
        <v/>
      </c>
      <c r="R52" s="208" t="str">
        <f t="shared" si="7"/>
        <v/>
      </c>
      <c r="S52" s="212" t="str">
        <f t="shared" si="8"/>
        <v/>
      </c>
      <c r="T52" s="211"/>
      <c r="U52" s="212" t="str">
        <f t="shared" si="9"/>
        <v/>
      </c>
      <c r="V52" s="211"/>
      <c r="W52" s="212" t="str">
        <f t="shared" si="10"/>
        <v/>
      </c>
      <c r="X52" s="298" t="str">
        <f t="shared" si="11"/>
        <v/>
      </c>
      <c r="Y52" s="13">
        <f>'0. Installation'!$B$5</f>
        <v>0</v>
      </c>
      <c r="Z52" s="13">
        <f>'0. Installation'!$B$6</f>
        <v>0</v>
      </c>
      <c r="AA52" s="40">
        <f>'0. Installation'!$B$7</f>
        <v>0</v>
      </c>
      <c r="AB52" s="41" t="str">
        <f t="shared" si="12"/>
        <v/>
      </c>
      <c r="AC52" s="41" t="str">
        <f>IF(A52="","",IF($A51&lt;&gt;$A52,IF(Z52=0,0,
IF('0. Installation'!$B$2="Cogénération",
X52*AA52/(AA52+273.15)/(Y52+AA52/(AA52+273.15)*Z52),
X52/Z52)),""))</f>
        <v/>
      </c>
      <c r="AD52" s="42">
        <f>'0. Installation'!$B$4</f>
        <v>0</v>
      </c>
      <c r="AE52" s="43">
        <f>IF('0. Installation'!$B$8="OUI",'Références GES'!$B$16,'Références GES'!$B$14)</f>
        <v>183</v>
      </c>
      <c r="AF52" s="44" t="str">
        <f t="shared" si="13"/>
        <v/>
      </c>
      <c r="AG52" s="43">
        <f>'Références GES'!$B$15</f>
        <v>80</v>
      </c>
      <c r="AH52" s="44" t="str">
        <f t="shared" si="14"/>
        <v/>
      </c>
      <c r="AI52" s="45"/>
      <c r="AJ52" s="43">
        <f>'Références GES'!$B$14</f>
        <v>183</v>
      </c>
      <c r="AK52" s="44" t="e">
        <f t="shared" si="18"/>
        <v>#VALUE!</v>
      </c>
      <c r="AL52" s="43">
        <f>'Références GES'!$B$15</f>
        <v>80</v>
      </c>
      <c r="AM52" s="44" t="e">
        <f t="shared" si="15"/>
        <v>#VALUE!</v>
      </c>
      <c r="AN52" s="46" t="str">
        <f t="shared" si="16"/>
        <v/>
      </c>
      <c r="AO52" s="47" t="str">
        <f t="shared" si="19"/>
        <v/>
      </c>
      <c r="AQ52" s="115">
        <f t="shared" si="20"/>
        <v>0</v>
      </c>
    </row>
    <row r="53" spans="1:43">
      <c r="A53" s="289" t="str">
        <f>IF(ISBLANK('1. Déclaration'!C181)=TRUE,"",'1. Déclaration'!C181)</f>
        <v/>
      </c>
      <c r="B53" s="292" t="str">
        <f>IF(ISBLANK('1. Déclaration'!A181)=TRUE,"",'1. Déclaration'!A181)</f>
        <v/>
      </c>
      <c r="C53" s="295"/>
      <c r="D53" s="209"/>
      <c r="E53" s="213"/>
      <c r="F53" s="209"/>
      <c r="G53" s="213"/>
      <c r="H53" s="211"/>
      <c r="I53" s="213"/>
      <c r="J53" s="209"/>
      <c r="K53" s="213"/>
      <c r="L53" s="208" t="str">
        <f t="shared" si="17"/>
        <v/>
      </c>
      <c r="M53" s="212" t="str">
        <f t="shared" si="2"/>
        <v/>
      </c>
      <c r="N53" s="208" t="str">
        <f t="shared" si="3"/>
        <v/>
      </c>
      <c r="O53" s="212" t="str">
        <f t="shared" si="4"/>
        <v/>
      </c>
      <c r="P53" s="208" t="str">
        <f t="shared" si="5"/>
        <v/>
      </c>
      <c r="Q53" s="212" t="str">
        <f t="shared" si="6"/>
        <v/>
      </c>
      <c r="R53" s="208" t="str">
        <f t="shared" si="7"/>
        <v/>
      </c>
      <c r="S53" s="212" t="str">
        <f t="shared" si="8"/>
        <v/>
      </c>
      <c r="T53" s="211"/>
      <c r="U53" s="212" t="str">
        <f t="shared" si="9"/>
        <v/>
      </c>
      <c r="V53" s="211"/>
      <c r="W53" s="212" t="str">
        <f t="shared" si="10"/>
        <v/>
      </c>
      <c r="X53" s="298" t="str">
        <f t="shared" si="11"/>
        <v/>
      </c>
      <c r="Y53" s="13">
        <f>'0. Installation'!$B$5</f>
        <v>0</v>
      </c>
      <c r="Z53" s="13">
        <f>'0. Installation'!$B$6</f>
        <v>0</v>
      </c>
      <c r="AA53" s="40">
        <f>'0. Installation'!$B$7</f>
        <v>0</v>
      </c>
      <c r="AB53" s="41" t="str">
        <f t="shared" si="12"/>
        <v/>
      </c>
      <c r="AC53" s="41" t="str">
        <f>IF(A53="","",IF($A52&lt;&gt;$A53,IF(Z53=0,0,
IF('0. Installation'!$B$2="Cogénération",
X53*AA53/(AA53+273.15)/(Y53+AA53/(AA53+273.15)*Z53),
X53/Z53)),""))</f>
        <v/>
      </c>
      <c r="AD53" s="42">
        <f>'0. Installation'!$B$4</f>
        <v>0</v>
      </c>
      <c r="AE53" s="43">
        <f>IF('0. Installation'!$B$8="OUI",'Références GES'!$B$16,'Références GES'!$B$14)</f>
        <v>183</v>
      </c>
      <c r="AF53" s="44" t="str">
        <f t="shared" si="13"/>
        <v/>
      </c>
      <c r="AG53" s="43">
        <f>'Références GES'!$B$15</f>
        <v>80</v>
      </c>
      <c r="AH53" s="44" t="str">
        <f t="shared" si="14"/>
        <v/>
      </c>
      <c r="AI53" s="45"/>
      <c r="AJ53" s="43">
        <f>'Références GES'!$B$14</f>
        <v>183</v>
      </c>
      <c r="AK53" s="44" t="e">
        <f t="shared" si="18"/>
        <v>#VALUE!</v>
      </c>
      <c r="AL53" s="43">
        <f>'Références GES'!$B$15</f>
        <v>80</v>
      </c>
      <c r="AM53" s="44" t="e">
        <f t="shared" si="15"/>
        <v>#VALUE!</v>
      </c>
      <c r="AN53" s="46" t="str">
        <f t="shared" si="16"/>
        <v/>
      </c>
      <c r="AO53" s="47" t="str">
        <f t="shared" si="19"/>
        <v/>
      </c>
      <c r="AQ53" s="115">
        <f t="shared" si="20"/>
        <v>0</v>
      </c>
    </row>
    <row r="54" spans="1:43">
      <c r="A54" s="289" t="str">
        <f>IF(ISBLANK('1. Déclaration'!C182)=TRUE,"",'1. Déclaration'!C182)</f>
        <v/>
      </c>
      <c r="B54" s="292" t="str">
        <f>IF(ISBLANK('1. Déclaration'!A182)=TRUE,"",'1. Déclaration'!A182)</f>
        <v/>
      </c>
      <c r="C54" s="295"/>
      <c r="D54" s="209"/>
      <c r="E54" s="213"/>
      <c r="F54" s="209"/>
      <c r="G54" s="213"/>
      <c r="H54" s="211"/>
      <c r="I54" s="213"/>
      <c r="J54" s="209"/>
      <c r="K54" s="213"/>
      <c r="L54" s="208" t="str">
        <f t="shared" si="17"/>
        <v/>
      </c>
      <c r="M54" s="212" t="str">
        <f t="shared" si="2"/>
        <v/>
      </c>
      <c r="N54" s="208" t="str">
        <f t="shared" si="3"/>
        <v/>
      </c>
      <c r="O54" s="212" t="str">
        <f t="shared" si="4"/>
        <v/>
      </c>
      <c r="P54" s="208" t="str">
        <f t="shared" si="5"/>
        <v/>
      </c>
      <c r="Q54" s="212" t="str">
        <f t="shared" si="6"/>
        <v/>
      </c>
      <c r="R54" s="208" t="str">
        <f t="shared" si="7"/>
        <v/>
      </c>
      <c r="S54" s="212" t="str">
        <f t="shared" si="8"/>
        <v/>
      </c>
      <c r="T54" s="211"/>
      <c r="U54" s="212" t="str">
        <f t="shared" si="9"/>
        <v/>
      </c>
      <c r="V54" s="211"/>
      <c r="W54" s="212" t="str">
        <f t="shared" si="10"/>
        <v/>
      </c>
      <c r="X54" s="298" t="str">
        <f t="shared" si="11"/>
        <v/>
      </c>
      <c r="Y54" s="13">
        <f>'0. Installation'!$B$5</f>
        <v>0</v>
      </c>
      <c r="Z54" s="13">
        <f>'0. Installation'!$B$6</f>
        <v>0</v>
      </c>
      <c r="AA54" s="40">
        <f>'0. Installation'!$B$7</f>
        <v>0</v>
      </c>
      <c r="AB54" s="41" t="str">
        <f t="shared" si="12"/>
        <v/>
      </c>
      <c r="AC54" s="41" t="str">
        <f>IF(A54="","",IF($A53&lt;&gt;$A54,IF(Z54=0,0,
IF('0. Installation'!$B$2="Cogénération",
X54*AA54/(AA54+273.15)/(Y54+AA54/(AA54+273.15)*Z54),
X54/Z54)),""))</f>
        <v/>
      </c>
      <c r="AD54" s="42">
        <f>'0. Installation'!$B$4</f>
        <v>0</v>
      </c>
      <c r="AE54" s="43">
        <f>IF('0. Installation'!$B$8="OUI",'Références GES'!$B$16,'Références GES'!$B$14)</f>
        <v>183</v>
      </c>
      <c r="AF54" s="44" t="str">
        <f t="shared" si="13"/>
        <v/>
      </c>
      <c r="AG54" s="43">
        <f>'Références GES'!$B$15</f>
        <v>80</v>
      </c>
      <c r="AH54" s="44" t="str">
        <f t="shared" si="14"/>
        <v/>
      </c>
      <c r="AI54" s="45"/>
      <c r="AJ54" s="43">
        <f>'Références GES'!$B$14</f>
        <v>183</v>
      </c>
      <c r="AK54" s="44" t="e">
        <f t="shared" si="18"/>
        <v>#VALUE!</v>
      </c>
      <c r="AL54" s="43">
        <f>'Références GES'!$B$15</f>
        <v>80</v>
      </c>
      <c r="AM54" s="44" t="e">
        <f t="shared" si="15"/>
        <v>#VALUE!</v>
      </c>
      <c r="AN54" s="46" t="str">
        <f t="shared" si="16"/>
        <v/>
      </c>
      <c r="AO54" s="47" t="str">
        <f t="shared" si="19"/>
        <v/>
      </c>
      <c r="AQ54" s="115">
        <f t="shared" si="20"/>
        <v>0</v>
      </c>
    </row>
    <row r="55" spans="1:43">
      <c r="A55" s="289" t="str">
        <f>IF(ISBLANK('1. Déclaration'!C183)=TRUE,"",'1. Déclaration'!C183)</f>
        <v/>
      </c>
      <c r="B55" s="292" t="str">
        <f>IF(ISBLANK('1. Déclaration'!A183)=TRUE,"",'1. Déclaration'!A183)</f>
        <v/>
      </c>
      <c r="C55" s="295"/>
      <c r="D55" s="209"/>
      <c r="E55" s="213"/>
      <c r="F55" s="209"/>
      <c r="G55" s="213"/>
      <c r="H55" s="211"/>
      <c r="I55" s="213"/>
      <c r="J55" s="209"/>
      <c r="K55" s="213"/>
      <c r="L55" s="208" t="str">
        <f t="shared" si="17"/>
        <v/>
      </c>
      <c r="M55" s="212" t="str">
        <f t="shared" si="2"/>
        <v/>
      </c>
      <c r="N55" s="208" t="str">
        <f t="shared" si="3"/>
        <v/>
      </c>
      <c r="O55" s="212" t="str">
        <f t="shared" si="4"/>
        <v/>
      </c>
      <c r="P55" s="208" t="str">
        <f t="shared" si="5"/>
        <v/>
      </c>
      <c r="Q55" s="212" t="str">
        <f t="shared" si="6"/>
        <v/>
      </c>
      <c r="R55" s="208" t="str">
        <f t="shared" si="7"/>
        <v/>
      </c>
      <c r="S55" s="212" t="str">
        <f t="shared" si="8"/>
        <v/>
      </c>
      <c r="T55" s="211"/>
      <c r="U55" s="212" t="str">
        <f t="shared" si="9"/>
        <v/>
      </c>
      <c r="V55" s="211"/>
      <c r="W55" s="212" t="str">
        <f t="shared" si="10"/>
        <v/>
      </c>
      <c r="X55" s="298" t="str">
        <f t="shared" si="11"/>
        <v/>
      </c>
      <c r="Y55" s="13">
        <f>'0. Installation'!$B$5</f>
        <v>0</v>
      </c>
      <c r="Z55" s="13">
        <f>'0. Installation'!$B$6</f>
        <v>0</v>
      </c>
      <c r="AA55" s="40">
        <f>'0. Installation'!$B$7</f>
        <v>0</v>
      </c>
      <c r="AB55" s="41" t="str">
        <f t="shared" si="12"/>
        <v/>
      </c>
      <c r="AC55" s="41" t="str">
        <f>IF(A55="","",IF($A54&lt;&gt;$A55,IF(Z55=0,0,
IF('0. Installation'!$B$2="Cogénération",
X55*AA55/(AA55+273.15)/(Y55+AA55/(AA55+273.15)*Z55),
X55/Z55)),""))</f>
        <v/>
      </c>
      <c r="AD55" s="42">
        <f>'0. Installation'!$B$4</f>
        <v>0</v>
      </c>
      <c r="AE55" s="43">
        <f>IF('0. Installation'!$B$8="OUI",'Références GES'!$B$16,'Références GES'!$B$14)</f>
        <v>183</v>
      </c>
      <c r="AF55" s="44" t="str">
        <f t="shared" si="13"/>
        <v/>
      </c>
      <c r="AG55" s="43">
        <f>'Références GES'!$B$15</f>
        <v>80</v>
      </c>
      <c r="AH55" s="44" t="str">
        <f t="shared" si="14"/>
        <v/>
      </c>
      <c r="AI55" s="45"/>
      <c r="AJ55" s="43">
        <f>'Références GES'!$B$14</f>
        <v>183</v>
      </c>
      <c r="AK55" s="44" t="e">
        <f t="shared" si="18"/>
        <v>#VALUE!</v>
      </c>
      <c r="AL55" s="43">
        <f>'Références GES'!$B$15</f>
        <v>80</v>
      </c>
      <c r="AM55" s="44" t="e">
        <f t="shared" si="15"/>
        <v>#VALUE!</v>
      </c>
      <c r="AN55" s="46" t="str">
        <f t="shared" si="16"/>
        <v/>
      </c>
      <c r="AO55" s="47" t="str">
        <f t="shared" si="19"/>
        <v/>
      </c>
      <c r="AQ55" s="115">
        <f t="shared" si="20"/>
        <v>0</v>
      </c>
    </row>
    <row r="56" spans="1:43">
      <c r="A56" s="289" t="str">
        <f>IF(ISBLANK('1. Déclaration'!C184)=TRUE,"",'1. Déclaration'!C184)</f>
        <v/>
      </c>
      <c r="B56" s="292" t="str">
        <f>IF(ISBLANK('1. Déclaration'!A184)=TRUE,"",'1. Déclaration'!A184)</f>
        <v/>
      </c>
      <c r="C56" s="295"/>
      <c r="D56" s="209"/>
      <c r="E56" s="213"/>
      <c r="F56" s="209"/>
      <c r="G56" s="213"/>
      <c r="H56" s="211"/>
      <c r="I56" s="213"/>
      <c r="J56" s="209"/>
      <c r="K56" s="213"/>
      <c r="L56" s="208" t="str">
        <f t="shared" si="17"/>
        <v/>
      </c>
      <c r="M56" s="212" t="str">
        <f t="shared" si="2"/>
        <v/>
      </c>
      <c r="N56" s="208" t="str">
        <f t="shared" si="3"/>
        <v/>
      </c>
      <c r="O56" s="212" t="str">
        <f t="shared" si="4"/>
        <v/>
      </c>
      <c r="P56" s="208" t="str">
        <f t="shared" si="5"/>
        <v/>
      </c>
      <c r="Q56" s="212" t="str">
        <f t="shared" si="6"/>
        <v/>
      </c>
      <c r="R56" s="208" t="str">
        <f t="shared" si="7"/>
        <v/>
      </c>
      <c r="S56" s="212" t="str">
        <f t="shared" si="8"/>
        <v/>
      </c>
      <c r="T56" s="211"/>
      <c r="U56" s="212" t="str">
        <f t="shared" si="9"/>
        <v/>
      </c>
      <c r="V56" s="211"/>
      <c r="W56" s="212" t="str">
        <f t="shared" si="10"/>
        <v/>
      </c>
      <c r="X56" s="298" t="str">
        <f t="shared" si="11"/>
        <v/>
      </c>
      <c r="Y56" s="13">
        <f>'0. Installation'!$B$5</f>
        <v>0</v>
      </c>
      <c r="Z56" s="13">
        <f>'0. Installation'!$B$6</f>
        <v>0</v>
      </c>
      <c r="AA56" s="40">
        <f>'0. Installation'!$B$7</f>
        <v>0</v>
      </c>
      <c r="AB56" s="41" t="str">
        <f t="shared" si="12"/>
        <v/>
      </c>
      <c r="AC56" s="41" t="str">
        <f>IF(A56="","",IF($A55&lt;&gt;$A56,IF(Z56=0,0,
IF('0. Installation'!$B$2="Cogénération",
X56*AA56/(AA56+273.15)/(Y56+AA56/(AA56+273.15)*Z56),
X56/Z56)),""))</f>
        <v/>
      </c>
      <c r="AD56" s="42">
        <f>'0. Installation'!$B$4</f>
        <v>0</v>
      </c>
      <c r="AE56" s="43">
        <f>IF('0. Installation'!$B$8="OUI",'Références GES'!$B$16,'Références GES'!$B$14)</f>
        <v>183</v>
      </c>
      <c r="AF56" s="44" t="str">
        <f t="shared" si="13"/>
        <v/>
      </c>
      <c r="AG56" s="43">
        <f>'Références GES'!$B$15</f>
        <v>80</v>
      </c>
      <c r="AH56" s="44" t="str">
        <f t="shared" si="14"/>
        <v/>
      </c>
      <c r="AI56" s="45"/>
      <c r="AJ56" s="43">
        <f>'Références GES'!$B$14</f>
        <v>183</v>
      </c>
      <c r="AK56" s="44" t="e">
        <f t="shared" si="18"/>
        <v>#VALUE!</v>
      </c>
      <c r="AL56" s="43">
        <f>'Références GES'!$B$15</f>
        <v>80</v>
      </c>
      <c r="AM56" s="44" t="e">
        <f t="shared" si="15"/>
        <v>#VALUE!</v>
      </c>
      <c r="AN56" s="46" t="str">
        <f t="shared" si="16"/>
        <v/>
      </c>
      <c r="AO56" s="47" t="str">
        <f t="shared" si="19"/>
        <v/>
      </c>
      <c r="AQ56" s="115">
        <f t="shared" si="20"/>
        <v>0</v>
      </c>
    </row>
    <row r="57" spans="1:43">
      <c r="A57" s="289" t="str">
        <f>IF(ISBLANK('1. Déclaration'!C185)=TRUE,"",'1. Déclaration'!C185)</f>
        <v/>
      </c>
      <c r="B57" s="292" t="str">
        <f>IF(ISBLANK('1. Déclaration'!A185)=TRUE,"",'1. Déclaration'!A185)</f>
        <v/>
      </c>
      <c r="C57" s="295"/>
      <c r="D57" s="209"/>
      <c r="E57" s="213"/>
      <c r="F57" s="209"/>
      <c r="G57" s="213"/>
      <c r="H57" s="211"/>
      <c r="I57" s="213"/>
      <c r="J57" s="209"/>
      <c r="K57" s="213"/>
      <c r="L57" s="208" t="str">
        <f t="shared" si="17"/>
        <v/>
      </c>
      <c r="M57" s="212" t="str">
        <f t="shared" si="2"/>
        <v/>
      </c>
      <c r="N57" s="208" t="str">
        <f t="shared" si="3"/>
        <v/>
      </c>
      <c r="O57" s="212" t="str">
        <f t="shared" si="4"/>
        <v/>
      </c>
      <c r="P57" s="208" t="str">
        <f t="shared" si="5"/>
        <v/>
      </c>
      <c r="Q57" s="212" t="str">
        <f t="shared" si="6"/>
        <v/>
      </c>
      <c r="R57" s="208" t="str">
        <f t="shared" si="7"/>
        <v/>
      </c>
      <c r="S57" s="212" t="str">
        <f t="shared" si="8"/>
        <v/>
      </c>
      <c r="T57" s="211"/>
      <c r="U57" s="212" t="str">
        <f t="shared" si="9"/>
        <v/>
      </c>
      <c r="V57" s="211"/>
      <c r="W57" s="212" t="str">
        <f t="shared" si="10"/>
        <v/>
      </c>
      <c r="X57" s="298" t="str">
        <f t="shared" si="11"/>
        <v/>
      </c>
      <c r="Y57" s="13">
        <f>'0. Installation'!$B$5</f>
        <v>0</v>
      </c>
      <c r="Z57" s="13">
        <f>'0. Installation'!$B$6</f>
        <v>0</v>
      </c>
      <c r="AA57" s="40">
        <f>'0. Installation'!$B$7</f>
        <v>0</v>
      </c>
      <c r="AB57" s="41" t="str">
        <f t="shared" si="12"/>
        <v/>
      </c>
      <c r="AC57" s="41" t="str">
        <f>IF(A57="","",IF($A56&lt;&gt;$A57,IF(Z57=0,0,
IF('0. Installation'!$B$2="Cogénération",
X57*AA57/(AA57+273.15)/(Y57+AA57/(AA57+273.15)*Z57),
X57/Z57)),""))</f>
        <v/>
      </c>
      <c r="AD57" s="42">
        <f>'0. Installation'!$B$4</f>
        <v>0</v>
      </c>
      <c r="AE57" s="43">
        <f>IF('0. Installation'!$B$8="OUI",'Références GES'!$B$16,'Références GES'!$B$14)</f>
        <v>183</v>
      </c>
      <c r="AF57" s="44" t="str">
        <f t="shared" si="13"/>
        <v/>
      </c>
      <c r="AG57" s="43">
        <f>'Références GES'!$B$15</f>
        <v>80</v>
      </c>
      <c r="AH57" s="44" t="str">
        <f t="shared" si="14"/>
        <v/>
      </c>
      <c r="AI57" s="45"/>
      <c r="AJ57" s="43">
        <f>'Références GES'!$B$14</f>
        <v>183</v>
      </c>
      <c r="AK57" s="44" t="e">
        <f t="shared" si="18"/>
        <v>#VALUE!</v>
      </c>
      <c r="AL57" s="43">
        <f>'Références GES'!$B$15</f>
        <v>80</v>
      </c>
      <c r="AM57" s="44" t="e">
        <f t="shared" si="15"/>
        <v>#VALUE!</v>
      </c>
      <c r="AN57" s="46" t="str">
        <f t="shared" si="16"/>
        <v/>
      </c>
      <c r="AO57" s="47" t="str">
        <f t="shared" si="19"/>
        <v/>
      </c>
      <c r="AQ57" s="115">
        <f t="shared" si="20"/>
        <v>0</v>
      </c>
    </row>
    <row r="58" spans="1:43">
      <c r="A58" s="289" t="str">
        <f>IF(ISBLANK('1. Déclaration'!C186)=TRUE,"",'1. Déclaration'!C186)</f>
        <v/>
      </c>
      <c r="B58" s="292" t="str">
        <f>IF(ISBLANK('1. Déclaration'!A186)=TRUE,"",'1. Déclaration'!A186)</f>
        <v/>
      </c>
      <c r="C58" s="295"/>
      <c r="D58" s="209"/>
      <c r="E58" s="213"/>
      <c r="F58" s="209"/>
      <c r="G58" s="213"/>
      <c r="H58" s="211"/>
      <c r="I58" s="213"/>
      <c r="J58" s="209"/>
      <c r="K58" s="213"/>
      <c r="L58" s="208" t="str">
        <f t="shared" si="17"/>
        <v/>
      </c>
      <c r="M58" s="212" t="str">
        <f t="shared" si="2"/>
        <v/>
      </c>
      <c r="N58" s="208" t="str">
        <f t="shared" si="3"/>
        <v/>
      </c>
      <c r="O58" s="212" t="str">
        <f t="shared" si="4"/>
        <v/>
      </c>
      <c r="P58" s="208" t="str">
        <f t="shared" si="5"/>
        <v/>
      </c>
      <c r="Q58" s="212" t="str">
        <f t="shared" si="6"/>
        <v/>
      </c>
      <c r="R58" s="208" t="str">
        <f t="shared" si="7"/>
        <v/>
      </c>
      <c r="S58" s="212" t="str">
        <f t="shared" si="8"/>
        <v/>
      </c>
      <c r="T58" s="211"/>
      <c r="U58" s="212" t="str">
        <f t="shared" si="9"/>
        <v/>
      </c>
      <c r="V58" s="211"/>
      <c r="W58" s="212" t="str">
        <f t="shared" si="10"/>
        <v/>
      </c>
      <c r="X58" s="298" t="str">
        <f t="shared" si="11"/>
        <v/>
      </c>
      <c r="Y58" s="13">
        <f>'0. Installation'!$B$5</f>
        <v>0</v>
      </c>
      <c r="Z58" s="13">
        <f>'0. Installation'!$B$6</f>
        <v>0</v>
      </c>
      <c r="AA58" s="40">
        <f>'0. Installation'!$B$7</f>
        <v>0</v>
      </c>
      <c r="AB58" s="41" t="str">
        <f t="shared" si="12"/>
        <v/>
      </c>
      <c r="AC58" s="41" t="str">
        <f>IF(A58="","",IF($A57&lt;&gt;$A58,IF(Z58=0,0,
IF('0. Installation'!$B$2="Cogénération",
X58*AA58/(AA58+273.15)/(Y58+AA58/(AA58+273.15)*Z58),
X58/Z58)),""))</f>
        <v/>
      </c>
      <c r="AD58" s="42">
        <f>'0. Installation'!$B$4</f>
        <v>0</v>
      </c>
      <c r="AE58" s="43">
        <f>IF('0. Installation'!$B$8="OUI",'Références GES'!$B$16,'Références GES'!$B$14)</f>
        <v>183</v>
      </c>
      <c r="AF58" s="44" t="str">
        <f t="shared" si="13"/>
        <v/>
      </c>
      <c r="AG58" s="43">
        <f>'Références GES'!$B$15</f>
        <v>80</v>
      </c>
      <c r="AH58" s="44" t="str">
        <f t="shared" si="14"/>
        <v/>
      </c>
      <c r="AI58" s="45"/>
      <c r="AJ58" s="43">
        <f>'Références GES'!$B$14</f>
        <v>183</v>
      </c>
      <c r="AK58" s="44" t="e">
        <f t="shared" si="18"/>
        <v>#VALUE!</v>
      </c>
      <c r="AL58" s="43">
        <f>'Références GES'!$B$15</f>
        <v>80</v>
      </c>
      <c r="AM58" s="44" t="e">
        <f t="shared" si="15"/>
        <v>#VALUE!</v>
      </c>
      <c r="AN58" s="46" t="str">
        <f t="shared" si="16"/>
        <v/>
      </c>
      <c r="AO58" s="47" t="str">
        <f t="shared" si="19"/>
        <v/>
      </c>
      <c r="AQ58" s="115">
        <f t="shared" si="20"/>
        <v>0</v>
      </c>
    </row>
    <row r="59" spans="1:43">
      <c r="A59" s="289" t="str">
        <f>IF(ISBLANK('1. Déclaration'!C187)=TRUE,"",'1. Déclaration'!C187)</f>
        <v/>
      </c>
      <c r="B59" s="292" t="str">
        <f>IF(ISBLANK('1. Déclaration'!A187)=TRUE,"",'1. Déclaration'!A187)</f>
        <v/>
      </c>
      <c r="C59" s="295"/>
      <c r="D59" s="209"/>
      <c r="E59" s="213"/>
      <c r="F59" s="209"/>
      <c r="G59" s="213"/>
      <c r="H59" s="211"/>
      <c r="I59" s="213"/>
      <c r="J59" s="209"/>
      <c r="K59" s="213"/>
      <c r="L59" s="208" t="str">
        <f t="shared" si="17"/>
        <v/>
      </c>
      <c r="M59" s="212" t="str">
        <f t="shared" si="2"/>
        <v/>
      </c>
      <c r="N59" s="208" t="str">
        <f t="shared" si="3"/>
        <v/>
      </c>
      <c r="O59" s="212" t="str">
        <f t="shared" si="4"/>
        <v/>
      </c>
      <c r="P59" s="208" t="str">
        <f t="shared" si="5"/>
        <v/>
      </c>
      <c r="Q59" s="212" t="str">
        <f t="shared" si="6"/>
        <v/>
      </c>
      <c r="R59" s="208" t="str">
        <f t="shared" si="7"/>
        <v/>
      </c>
      <c r="S59" s="212" t="str">
        <f t="shared" si="8"/>
        <v/>
      </c>
      <c r="T59" s="211"/>
      <c r="U59" s="212" t="str">
        <f t="shared" si="9"/>
        <v/>
      </c>
      <c r="V59" s="211"/>
      <c r="W59" s="212" t="str">
        <f t="shared" si="10"/>
        <v/>
      </c>
      <c r="X59" s="298" t="str">
        <f t="shared" si="11"/>
        <v/>
      </c>
      <c r="Y59" s="13">
        <f>'0. Installation'!$B$5</f>
        <v>0</v>
      </c>
      <c r="Z59" s="13">
        <f>'0. Installation'!$B$6</f>
        <v>0</v>
      </c>
      <c r="AA59" s="40">
        <f>'0. Installation'!$B$7</f>
        <v>0</v>
      </c>
      <c r="AB59" s="41" t="str">
        <f t="shared" si="12"/>
        <v/>
      </c>
      <c r="AC59" s="41" t="str">
        <f>IF(A59="","",IF($A58&lt;&gt;$A59,IF(Z59=0,0,
IF('0. Installation'!$B$2="Cogénération",
X59*AA59/(AA59+273.15)/(Y59+AA59/(AA59+273.15)*Z59),
X59/Z59)),""))</f>
        <v/>
      </c>
      <c r="AD59" s="42">
        <f>'0. Installation'!$B$4</f>
        <v>0</v>
      </c>
      <c r="AE59" s="43">
        <f>IF('0. Installation'!$B$8="OUI",'Références GES'!$B$16,'Références GES'!$B$14)</f>
        <v>183</v>
      </c>
      <c r="AF59" s="44" t="str">
        <f t="shared" si="13"/>
        <v/>
      </c>
      <c r="AG59" s="43">
        <f>'Références GES'!$B$15</f>
        <v>80</v>
      </c>
      <c r="AH59" s="44" t="str">
        <f t="shared" si="14"/>
        <v/>
      </c>
      <c r="AI59" s="45"/>
      <c r="AJ59" s="43">
        <f>'Références GES'!$B$14</f>
        <v>183</v>
      </c>
      <c r="AK59" s="44" t="e">
        <f t="shared" si="18"/>
        <v>#VALUE!</v>
      </c>
      <c r="AL59" s="43">
        <f>'Références GES'!$B$15</f>
        <v>80</v>
      </c>
      <c r="AM59" s="44" t="e">
        <f t="shared" si="15"/>
        <v>#VALUE!</v>
      </c>
      <c r="AN59" s="46" t="str">
        <f t="shared" si="16"/>
        <v/>
      </c>
      <c r="AO59" s="47" t="str">
        <f t="shared" si="19"/>
        <v/>
      </c>
      <c r="AQ59" s="115">
        <f t="shared" si="20"/>
        <v>0</v>
      </c>
    </row>
    <row r="60" spans="1:43">
      <c r="A60" s="289" t="str">
        <f>IF(ISBLANK('1. Déclaration'!C188)=TRUE,"",'1. Déclaration'!C188)</f>
        <v/>
      </c>
      <c r="B60" s="292" t="str">
        <f>IF(ISBLANK('1. Déclaration'!A188)=TRUE,"",'1. Déclaration'!A188)</f>
        <v/>
      </c>
      <c r="C60" s="295"/>
      <c r="D60" s="209"/>
      <c r="E60" s="213"/>
      <c r="F60" s="209"/>
      <c r="G60" s="213"/>
      <c r="H60" s="211"/>
      <c r="I60" s="213"/>
      <c r="J60" s="209"/>
      <c r="K60" s="283"/>
      <c r="L60" s="208" t="str">
        <f t="shared" si="17"/>
        <v/>
      </c>
      <c r="M60" s="212" t="str">
        <f t="shared" si="2"/>
        <v/>
      </c>
      <c r="N60" s="208" t="str">
        <f t="shared" si="3"/>
        <v/>
      </c>
      <c r="O60" s="212" t="str">
        <f t="shared" si="4"/>
        <v/>
      </c>
      <c r="P60" s="208" t="str">
        <f t="shared" si="5"/>
        <v/>
      </c>
      <c r="Q60" s="212" t="str">
        <f t="shared" si="6"/>
        <v/>
      </c>
      <c r="R60" s="208" t="str">
        <f t="shared" si="7"/>
        <v/>
      </c>
      <c r="S60" s="212" t="str">
        <f t="shared" si="8"/>
        <v/>
      </c>
      <c r="T60" s="211"/>
      <c r="U60" s="212" t="str">
        <f t="shared" si="9"/>
        <v/>
      </c>
      <c r="V60" s="211"/>
      <c r="W60" s="212" t="str">
        <f t="shared" si="10"/>
        <v/>
      </c>
      <c r="X60" s="298" t="str">
        <f t="shared" si="11"/>
        <v/>
      </c>
      <c r="Y60" s="13">
        <f>'0. Installation'!$B$5</f>
        <v>0</v>
      </c>
      <c r="Z60" s="13">
        <f>'0. Installation'!$B$6</f>
        <v>0</v>
      </c>
      <c r="AA60" s="40">
        <f>'0. Installation'!$B$7</f>
        <v>0</v>
      </c>
      <c r="AB60" s="41" t="str">
        <f t="shared" si="12"/>
        <v/>
      </c>
      <c r="AC60" s="41" t="str">
        <f>IF(A60="","",IF($A59&lt;&gt;$A60,IF(Z60=0,0,
IF('0. Installation'!$B$2="Cogénération",
X60*AA60/(AA60+273.15)/(Y60+AA60/(AA60+273.15)*Z60),
X60/Z60)),""))</f>
        <v/>
      </c>
      <c r="AD60" s="42">
        <f>'0. Installation'!$B$4</f>
        <v>0</v>
      </c>
      <c r="AE60" s="43">
        <f>IF('0. Installation'!$B$8="OUI",'Références GES'!$B$16,'Références GES'!$B$14)</f>
        <v>183</v>
      </c>
      <c r="AF60" s="44" t="str">
        <f t="shared" si="13"/>
        <v/>
      </c>
      <c r="AG60" s="43">
        <f>'Références GES'!$B$15</f>
        <v>80</v>
      </c>
      <c r="AH60" s="44" t="str">
        <f t="shared" si="14"/>
        <v/>
      </c>
      <c r="AI60" s="45"/>
      <c r="AJ60" s="43">
        <f>'Références GES'!$B$14</f>
        <v>183</v>
      </c>
      <c r="AK60" s="44" t="e">
        <f t="shared" si="18"/>
        <v>#VALUE!</v>
      </c>
      <c r="AL60" s="43">
        <f>'Références GES'!$B$15</f>
        <v>80</v>
      </c>
      <c r="AM60" s="44" t="e">
        <f t="shared" si="15"/>
        <v>#VALUE!</v>
      </c>
      <c r="AN60" s="46" t="str">
        <f t="shared" si="16"/>
        <v/>
      </c>
      <c r="AO60" s="47" t="str">
        <f t="shared" si="19"/>
        <v/>
      </c>
      <c r="AQ60" s="115">
        <f t="shared" si="20"/>
        <v>0</v>
      </c>
    </row>
    <row r="61" spans="1:43" ht="43.8" thickBot="1">
      <c r="A61" s="215" t="s">
        <v>225</v>
      </c>
      <c r="B61" s="293" t="str">
        <f>IF(ISBLANK('1. Déclaration'!A208)=TRUE,"",'1. Déclaration'!A208)</f>
        <v/>
      </c>
      <c r="C61" s="296"/>
      <c r="D61" s="290">
        <f>COUNTIFS('2. Détail calcul GES'!D4:D60,"&lt;&gt;",'2. Détail calcul GES'!E4:E60,"&lt;&gt;")+COUNTIFS('2. Détail calcul GES'!F4:F60,"&lt;&gt;",'2. Détail calcul GES'!G4:G60,"&lt;&gt;")+COUNTIFS('2. Détail calcul GES'!H4:H60,"&lt;&gt;",'2. Détail calcul GES'!I4:I60,"&lt;&gt;")
+COUNTIFS('2. Détail calcul GES'!J4:J60,"&lt;&gt;",'2. Détail calcul GES'!K4:K60,"&lt;&gt;")</f>
        <v>0</v>
      </c>
      <c r="K61" s="140"/>
      <c r="L61" s="284"/>
      <c r="M61" s="284"/>
      <c r="N61" s="285"/>
      <c r="O61" s="285"/>
      <c r="P61" s="284"/>
      <c r="Q61" s="284"/>
      <c r="R61" s="285"/>
      <c r="S61" s="284"/>
      <c r="T61" s="284"/>
      <c r="U61" s="284"/>
      <c r="V61" s="284"/>
      <c r="W61" s="284"/>
    </row>
  </sheetData>
  <mergeCells count="14">
    <mergeCell ref="B1:C1"/>
    <mergeCell ref="D1:AC1"/>
    <mergeCell ref="AD1:AH1"/>
    <mergeCell ref="AI1:AN1"/>
    <mergeCell ref="V2:W2"/>
    <mergeCell ref="D2:E2"/>
    <mergeCell ref="F2:G2"/>
    <mergeCell ref="L2:M2"/>
    <mergeCell ref="N2:O2"/>
    <mergeCell ref="P2:Q2"/>
    <mergeCell ref="R2:S2"/>
    <mergeCell ref="T2:U2"/>
    <mergeCell ref="H2:I2"/>
    <mergeCell ref="J2:K2"/>
  </mergeCells>
  <phoneticPr fontId="4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7ED2684-3714-4D3E-8447-FA874CEB09A9}">
          <x14:formula1>
            <xm:f>Listes!$I$2:$I$5</xm:f>
          </x14:formula1>
          <xm:sqref>AI4:AI60</xm:sqref>
        </x14:dataValidation>
        <x14:dataValidation type="list" allowBlank="1" showInputMessage="1" showErrorMessage="1" xr:uid="{908FB4B3-A3EB-44EA-9F16-B283212A3087}">
          <x14:formula1>
            <xm:f>Listes!$I$6</xm:f>
          </x14:formula1>
          <xm:sqref>T4:T60 H4:H60 V4:V60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8323-9E4A-4112-90D9-35A8BB1F30DF}">
  <dimension ref="A1:B6"/>
  <sheetViews>
    <sheetView workbookViewId="0">
      <selection activeCell="A4" sqref="A4"/>
    </sheetView>
  </sheetViews>
  <sheetFormatPr baseColWidth="10" defaultRowHeight="14.4"/>
  <cols>
    <col min="1" max="1" width="139.5546875" customWidth="1"/>
    <col min="2" max="2" width="18" customWidth="1"/>
  </cols>
  <sheetData>
    <row r="1" spans="1:2" ht="40.5" customHeight="1">
      <c r="A1" s="352" t="s">
        <v>348</v>
      </c>
      <c r="B1" s="352"/>
    </row>
    <row r="3" spans="1:2">
      <c r="A3" s="32" t="s">
        <v>347</v>
      </c>
      <c r="B3" s="48" t="s">
        <v>170</v>
      </c>
    </row>
    <row r="4" spans="1:2" ht="105.75" customHeight="1">
      <c r="A4" s="49" t="s">
        <v>423</v>
      </c>
      <c r="B4" s="50"/>
    </row>
    <row r="5" spans="1:2">
      <c r="A5" s="32" t="s">
        <v>346</v>
      </c>
      <c r="B5" s="51"/>
    </row>
    <row r="6" spans="1:2" ht="120" customHeight="1">
      <c r="A6" s="49" t="s">
        <v>422</v>
      </c>
      <c r="B6" s="50"/>
    </row>
  </sheetData>
  <mergeCells count="1">
    <mergeCell ref="A1:B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6CED06-B3F7-4872-A323-99B761C9040B}">
          <x14:formula1>
            <xm:f>Listes!$A$12:$A$13</xm:f>
          </x14:formula1>
          <xm:sqref>B4 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FF03-A8D2-4641-B646-735F4DE9745B}">
  <dimension ref="A1:B18"/>
  <sheetViews>
    <sheetView workbookViewId="0">
      <selection activeCell="A2" sqref="A2:B2"/>
    </sheetView>
  </sheetViews>
  <sheetFormatPr baseColWidth="10" defaultRowHeight="14.4"/>
  <cols>
    <col min="1" max="1" width="139.5546875" customWidth="1"/>
    <col min="2" max="2" width="18" customWidth="1"/>
  </cols>
  <sheetData>
    <row r="1" spans="1:2" ht="56.25" customHeight="1">
      <c r="A1" s="352" t="s">
        <v>424</v>
      </c>
      <c r="B1" s="352"/>
    </row>
    <row r="2" spans="1:2" ht="89.25" customHeight="1">
      <c r="A2" s="353" t="s">
        <v>364</v>
      </c>
      <c r="B2" s="354"/>
    </row>
    <row r="3" spans="1:2">
      <c r="A3" s="32" t="s">
        <v>169</v>
      </c>
      <c r="B3" s="48" t="s">
        <v>170</v>
      </c>
    </row>
    <row r="4" spans="1:2" ht="76.5" customHeight="1">
      <c r="A4" s="49" t="str">
        <f>IF(OR(
SUM('1. Déclaration'!E$10:E$13)&gt;0,
COUNTIFS('2. Détail calcul GES'!$B$4:$B$60,"Plaquettes bocagères ou agroforestières : 1B_PFA",'2. Détail calcul GES'!$AQ$4:$AQ$60,1)&gt;0),
Listes!O$19,Listes!O$20)</f>
        <v>Sans objet : combustible non utilisé d'après l'onglet "Déclaration", ou utilisé sans se référer aux valeurs représentatives de la filière bois énergie</v>
      </c>
      <c r="B4" s="50"/>
    </row>
    <row r="5" spans="1:2" ht="12" customHeight="1">
      <c r="A5" s="32" t="s">
        <v>349</v>
      </c>
    </row>
    <row r="6" spans="1:2" ht="76.5" customHeight="1">
      <c r="A6" s="49" t="str">
        <f>IF(OR(
SUM('1. Déclaration'!E$14:E$17)&gt;0,
COUNTIFS('2. Détail calcul GES'!$B$4:$B$60,"Plaquettes bocagères / bois de verger : 1B_PFA (V)",'2. Détail calcul GES'!$AQ$4:$AQ$60,1)&gt;0),
Listes!O$19,Listes!O$20)</f>
        <v>Sans objet : combustible non utilisé d'après l'onglet "Déclaration", ou utilisé sans se référer aux valeurs représentatives de la filière bois énergie</v>
      </c>
      <c r="B6" s="50"/>
    </row>
    <row r="7" spans="1:2">
      <c r="A7" s="32" t="s">
        <v>286</v>
      </c>
      <c r="B7" s="51"/>
    </row>
    <row r="8" spans="1:2" ht="81" customHeight="1">
      <c r="A8" s="49" t="str">
        <f>IF(OR(
SUM('1. Déclaration'!E$18:E$21)&gt;0,
COUNTIFS('2. Détail calcul GES'!$B$4:$B$60,"Plaquettes paysagères ligneuses résidelles : 1C_PFA",'2. Détail calcul GES'!$AQ$4:$AQ$60,1)&gt;0),
Listes!O$19,Listes!O$20)</f>
        <v>Sans objet : combustible non utilisé d'après l'onglet "Déclaration", ou utilisé sans se référer aux valeurs représentatives de la filière bois énergie</v>
      </c>
      <c r="B8" s="50"/>
    </row>
    <row r="9" spans="1:2">
      <c r="A9" s="32" t="s">
        <v>171</v>
      </c>
      <c r="B9" s="51"/>
    </row>
    <row r="10" spans="1:2" ht="82.5" customHeight="1">
      <c r="A10" s="49" t="str">
        <f>IF(OR(
SUM('1. Déclaration'!E$30:E$33)&gt;0,
COUNTIFS('2. Détail calcul GES'!$B$4:$B$60,"Bois SSD sortis du statut de déchet 3A_BFVBD",'2. Détail calcul GES'!$AQ$4:$AQ$60,1)&gt;0),
Listes!O$19,Listes!O$20)</f>
        <v>Sans objet : combustible non utilisé d'après l'onglet "Déclaration", ou utilisé sans se référer aux valeurs représentatives de la filière bois énergie</v>
      </c>
      <c r="B10" s="50"/>
    </row>
    <row r="11" spans="1:2">
      <c r="A11" s="32" t="s">
        <v>172</v>
      </c>
      <c r="B11" s="51"/>
    </row>
    <row r="12" spans="1:2" ht="86.25" customHeight="1">
      <c r="A12" s="49" t="str">
        <f>IF(OR(
SUM('1. Déclaration'!E$34:E$37)&gt;0,
COUNTIFS('2. Détail calcul GES'!$B$4:$B$60,"Déchets de bois non dangereux 2910-B ICPE 3B_BFVBD",'2. Détail calcul GES'!$AQ$4:$AQ$60,1)&gt;0),
Listes!O$19,Listes!O$20)</f>
        <v>Sans objet : combustible non utilisé d'après l'onglet "Déclaration", ou utilisé sans se référer aux valeurs représentatives de la filière bois énergie</v>
      </c>
      <c r="B12" s="50"/>
    </row>
    <row r="13" spans="1:2">
      <c r="A13" s="32" t="s">
        <v>173</v>
      </c>
      <c r="B13" s="51"/>
    </row>
    <row r="14" spans="1:2" ht="75.75" customHeight="1">
      <c r="A14" s="49" t="str">
        <f>IF(OR(
SUM('1. Déclaration'!E$38:E$41)&gt;0,
COUNTIFS('2. Détail calcul GES'!$B$4:$B$60,"Déchets de bois non dangereux 2771 ICPE 3C_BFVBD",'2. Détail calcul GES'!$AQ$4:$AQ$60,1)&gt;0),
Listes!O$19,Listes!O$20)</f>
        <v>Sans objet : combustible non utilisé d'après l'onglet "Déclaration", ou utilisé sans se référer aux valeurs représentatives de la filière bois énergie</v>
      </c>
      <c r="B14" s="50"/>
    </row>
    <row r="15" spans="1:2">
      <c r="A15" s="32" t="s">
        <v>174</v>
      </c>
      <c r="B15" s="51"/>
    </row>
    <row r="16" spans="1:2" ht="84" customHeight="1">
      <c r="A16" s="49" t="str">
        <f>IF(OR(
'1. Déclaration'!E$66&gt;0,
COUNTIFS('2. Détail calcul GES'!$B$4:$B$60,"Liqueur noire",'2. Détail calcul GES'!$AQ$4:$AQ$60,1)&gt;0),
Listes!O$19,Listes!O$20)</f>
        <v>Sans objet : combustible non utilisé d'après l'onglet "Déclaration", ou utilisé sans se référer aux valeurs représentatives de la filière bois énergie</v>
      </c>
      <c r="B16" s="50"/>
    </row>
    <row r="17" spans="1:2">
      <c r="A17" s="32" t="s">
        <v>175</v>
      </c>
      <c r="B17" s="51"/>
    </row>
    <row r="18" spans="1:2" ht="80.25" customHeight="1">
      <c r="A18" s="49" t="str">
        <f>IF(OR(
'1. Déclaration'!E$67&gt;0,
COUNTIFS('2. Détail calcul GES'!$B$4:$B$60,"Boue papetière",'2. Détail calcul GES'!$AQ$4:$AQ$60,1)&gt;0),
Listes!O$19,Listes!O$20)</f>
        <v>Sans objet : combustible non utilisé d'après l'onglet "Déclaration", ou utilisé sans se référer aux valeurs représentatives de la filière bois énergie</v>
      </c>
      <c r="B18" s="50"/>
    </row>
  </sheetData>
  <mergeCells count="2">
    <mergeCell ref="A1:B1"/>
    <mergeCell ref="A2:B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6FC6596-B50F-47DC-9814-1654F821C453}">
          <x14:formula1>
            <xm:f>Listes!$A$12:$A$13</xm:f>
          </x14:formula1>
          <xm:sqref>B4:B6 B8 B10 B12 B14 B16 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EACB-DA17-4937-AF16-AD0EC95ADA7A}">
  <dimension ref="A1:B9"/>
  <sheetViews>
    <sheetView workbookViewId="0">
      <selection activeCell="B6" sqref="B6"/>
    </sheetView>
  </sheetViews>
  <sheetFormatPr baseColWidth="10" defaultRowHeight="14.4"/>
  <cols>
    <col min="1" max="1" width="151" customWidth="1"/>
    <col min="2" max="2" width="21" customWidth="1"/>
  </cols>
  <sheetData>
    <row r="1" spans="1:2" ht="28.5" customHeight="1">
      <c r="A1" s="352" t="s">
        <v>176</v>
      </c>
      <c r="B1" s="352" t="s">
        <v>221</v>
      </c>
    </row>
    <row r="2" spans="1:2" ht="92.25" customHeight="1">
      <c r="A2" s="276" t="s">
        <v>358</v>
      </c>
    </row>
    <row r="3" spans="1:2">
      <c r="A3" s="1"/>
    </row>
    <row r="4" spans="1:2" ht="28.8">
      <c r="A4" s="1" t="s">
        <v>177</v>
      </c>
    </row>
    <row r="5" spans="1:2">
      <c r="A5" s="1"/>
    </row>
    <row r="6" spans="1:2">
      <c r="A6" s="1" t="s">
        <v>178</v>
      </c>
      <c r="B6" s="50"/>
    </row>
    <row r="7" spans="1:2" ht="57.6">
      <c r="A7" s="1" t="s">
        <v>179</v>
      </c>
      <c r="B7" s="50"/>
    </row>
    <row r="8" spans="1:2" ht="28.8">
      <c r="A8" s="1" t="s">
        <v>180</v>
      </c>
      <c r="B8" s="50"/>
    </row>
    <row r="9" spans="1:2">
      <c r="A9" s="1" t="s">
        <v>181</v>
      </c>
      <c r="B9" s="50"/>
    </row>
  </sheetData>
  <mergeCells count="1">
    <mergeCell ref="A1:B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124695-7839-4F87-8000-6A47638EE36E}">
          <x14:formula1>
            <xm:f>Listes!$A$13:$A$14</xm:f>
          </x14:formula1>
          <xm:sqref>B6:B9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CB1C-2A7F-47B5-B483-D4B7EFFEE810}">
  <dimension ref="A1:C7"/>
  <sheetViews>
    <sheetView tabSelected="1" workbookViewId="0">
      <selection activeCell="C11" sqref="C11"/>
    </sheetView>
  </sheetViews>
  <sheetFormatPr baseColWidth="10" defaultRowHeight="14.4"/>
  <cols>
    <col min="1" max="1" width="42.44140625" style="1" customWidth="1"/>
    <col min="2" max="2" width="20" customWidth="1"/>
    <col min="3" max="3" width="145.109375" style="1" customWidth="1"/>
  </cols>
  <sheetData>
    <row r="1" spans="1:3">
      <c r="A1" s="277" t="s">
        <v>362</v>
      </c>
      <c r="B1" s="48" t="s">
        <v>363</v>
      </c>
      <c r="C1" s="277" t="s">
        <v>230</v>
      </c>
    </row>
    <row r="2" spans="1:3">
      <c r="A2" s="1" t="s">
        <v>229</v>
      </c>
      <c r="B2" s="34" t="str">
        <f>IF(
OR(AND('0. Installation'!$B$4&gt;DATE(2021,1,1),'1. Déclaration'!E127+'1. Déclaration'!E189&gt;0),'1. Déclaration'!$B$190&gt;0),
IF(AND('0. Installation'!$B$5=0,'0. Installation'!$B$6=0),"OUI","NON"),
"NON")</f>
        <v>NON</v>
      </c>
      <c r="C2" s="1" t="str">
        <f>IF(OR('0. Installation'!$B$4&gt;DATE(2021,1,1),'1. Déclaration'!$B$190&gt;0),
IF(AND('0. Installation'!$B$5=0,'0. Installation'!$B$6=0),"Il manque au moins un rendement énergétique renseigné dans l'onglet 1. Déclaration","Un rendement énergétique au moins a bien été renseigné"),
"")</f>
        <v/>
      </c>
    </row>
    <row r="3" spans="1:3">
      <c r="A3" s="1" t="s">
        <v>276</v>
      </c>
      <c r="B3" s="34" t="str">
        <f>IF(OR(AND('0. Installation'!$B$2="Cogénération",'0. Installation'!$B$7="",'0. Installation'!$B$4&gt;DATE(2021,1,1),'1. Déclaration'!E127+'1. Déclaration'!E189&gt;0,),AND('0. Installation'!$B$2="Cogénération",'0. Installation'!$B$7="",'1. Déclaration'!$B$190&gt;0)),
"OUI","NON")</f>
        <v>NON</v>
      </c>
      <c r="C3" s="1" t="str">
        <f>IF(OR(AND('0. Installation'!$B$2="Cogénération",'0. Installation'!$B$7="",'0. Installation'!$B$4&gt;DATE(2021,1,1),'1. Déclaration'!E127+'1. Déclaration'!E189&gt;0,),AND('0. Installation'!$B$2="Cogénération",'0. Installation'!$B$7="",'1. Déclaration'!$B$190&gt;0)),
"Votre installation de cogénération doit renseigner une température utile dans l'onglet 1. Déclaration",
"")</f>
        <v/>
      </c>
    </row>
    <row r="4" spans="1:3">
      <c r="A4" s="278" t="s">
        <v>360</v>
      </c>
      <c r="B4" s="34" t="str">
        <f>IF('0. Installation'!$B$4&lt;DATE(2021,1,1),
IF('1. Déclaration'!$C$190&gt;0,
"OUI","NON"),
IF('1. Déclaration'!B92+'1. Déclaration'!B127+'1. Déclaration'!B189&gt;0,"OUI",
"NON"))</f>
        <v>NON</v>
      </c>
      <c r="C4" s="1" t="str">
        <f>IF('0. Installation'!$B$4&lt;DATE(2021,1,1),
IF('1. Déclaration'!$C$190&gt;0,
"Sur "&amp;'1. Déclaration'!$B$190&amp;" lot(s) de bioliquides déclaré(s), "&amp;'1. Déclaration'!$C$190&amp;" lot(s) ne présente(nt) pas de calcul GES",""),
IF('1. Déclaration'!B127+'1. Déclaration'!B189&gt;0,"Sur les "&amp;60-COUNTBLANK('1. Déclaration'!C97:C126)-COUNTBLANK('1. Déclaration'!C132:C188)&amp;" lots déclarés dans l'onglet 1, "&amp;'1. Déclaration'!B127+'1. Déclaration'!B189&amp;" ne fait (font) pas l'objet d'un calcul GES réel approprié dans l'onglet 2",""))</f>
        <v/>
      </c>
    </row>
    <row r="5" spans="1:3">
      <c r="A5" s="279" t="s">
        <v>359</v>
      </c>
      <c r="B5" s="34" t="str">
        <f>IF('1. Déclaration'!$U$189&gt;0,"OUI","NON")</f>
        <v>NON</v>
      </c>
      <c r="C5" s="1" t="str">
        <f>IF('Contrôle global'!B5="OUI",'1. Déclaration'!U189&amp;" lignes comportent un problème sur l'atteinte des seuils de gaz à effet de serre compte-tenu de la nature de votre installation (électricité et/ou chaleur) déclarée dans l'onglet 0","")</f>
        <v/>
      </c>
    </row>
    <row r="6" spans="1:3" ht="28.8">
      <c r="A6" s="278" t="s">
        <v>361</v>
      </c>
      <c r="B6" s="34" t="str">
        <f>IF('2. Détail calcul GES'!D61&gt;0,"OUI","NON")</f>
        <v>NON</v>
      </c>
      <c r="C6" s="1" t="str">
        <f>IF(B6="OUI","Dans l'onglet 2, au moins "&amp;'2. Détail calcul GES'!D61&amp;" terme(s), contien(nen)t à la fois une valeur réel et une valeur par défaut. Vous devez choisir l'une ou l'autre.","")</f>
        <v/>
      </c>
    </row>
    <row r="7" spans="1:3">
      <c r="B7" s="34"/>
    </row>
  </sheetData>
  <conditionalFormatting sqref="B2">
    <cfRule type="cellIs" dxfId="12" priority="12" operator="equal">
      <formula>"OUI"</formula>
    </cfRule>
  </conditionalFormatting>
  <conditionalFormatting sqref="B2:B3 B8:B21">
    <cfRule type="cellIs" dxfId="11" priority="11" operator="equal">
      <formula>"NON"</formula>
    </cfRule>
  </conditionalFormatting>
  <conditionalFormatting sqref="B3">
    <cfRule type="cellIs" dxfId="10" priority="10" operator="equal">
      <formula>"OUI"</formula>
    </cfRule>
  </conditionalFormatting>
  <conditionalFormatting sqref="B4">
    <cfRule type="cellIs" dxfId="9" priority="9" operator="equal">
      <formula>"OUI"</formula>
    </cfRule>
  </conditionalFormatting>
  <conditionalFormatting sqref="B4">
    <cfRule type="cellIs" dxfId="8" priority="8" operator="equal">
      <formula>"NON"</formula>
    </cfRule>
  </conditionalFormatting>
  <conditionalFormatting sqref="B6">
    <cfRule type="cellIs" dxfId="7" priority="7" operator="equal">
      <formula>"OUI"</formula>
    </cfRule>
  </conditionalFormatting>
  <conditionalFormatting sqref="B6">
    <cfRule type="cellIs" dxfId="6" priority="6" operator="equal">
      <formula>"NON"</formula>
    </cfRule>
  </conditionalFormatting>
  <conditionalFormatting sqref="B5">
    <cfRule type="cellIs" dxfId="5" priority="5" operator="equal">
      <formula>"OUI"</formula>
    </cfRule>
  </conditionalFormatting>
  <conditionalFormatting sqref="B5">
    <cfRule type="cellIs" dxfId="4" priority="4" operator="equal">
      <formula>"NON"</formula>
    </cfRule>
  </conditionalFormatting>
  <conditionalFormatting sqref="B7">
    <cfRule type="cellIs" dxfId="3" priority="3" operator="equal">
      <formula>"NON"</formula>
    </cfRule>
  </conditionalFormatting>
  <conditionalFormatting sqref="B7">
    <cfRule type="containsText" dxfId="2" priority="1" operator="containsText" text="NON">
      <formula>NOT(ISERROR(SEARCH("NON",B7)))</formula>
    </cfRule>
    <cfRule type="containsText" dxfId="1" priority="2" operator="containsText" text="OUI">
      <formula>NOT(ISERROR(SEARCH("OUI",B7)))</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32C11-31E7-4D43-8D38-EE41B9FBDE9D}">
  <dimension ref="A1:Q184"/>
  <sheetViews>
    <sheetView zoomScale="70" zoomScaleNormal="70" workbookViewId="0">
      <selection activeCell="B178" sqref="B178:B183"/>
    </sheetView>
  </sheetViews>
  <sheetFormatPr baseColWidth="10" defaultRowHeight="14.4"/>
  <cols>
    <col min="1" max="1" width="57.33203125" customWidth="1"/>
    <col min="2" max="2" width="79.109375" customWidth="1"/>
    <col min="3" max="3" width="15.44140625" customWidth="1"/>
    <col min="4" max="4" width="19.109375" customWidth="1"/>
    <col min="5" max="5" width="41.5546875" customWidth="1"/>
    <col min="6" max="8" width="18" customWidth="1"/>
    <col min="9" max="10" width="7.88671875" customWidth="1"/>
    <col min="13" max="13" width="15" customWidth="1"/>
    <col min="14" max="14" width="19.88671875" customWidth="1"/>
    <col min="15" max="15" width="16.88671875" customWidth="1"/>
    <col min="16" max="16" width="22" customWidth="1"/>
    <col min="17" max="17" width="22.6640625" customWidth="1"/>
  </cols>
  <sheetData>
    <row r="1" spans="1:12">
      <c r="A1" s="52" t="s">
        <v>182</v>
      </c>
      <c r="B1" s="52" t="s">
        <v>183</v>
      </c>
      <c r="K1" s="53"/>
      <c r="L1" s="53"/>
    </row>
    <row r="2" spans="1:12" ht="43.2">
      <c r="A2" s="54" t="s">
        <v>184</v>
      </c>
      <c r="B2" s="54" t="s">
        <v>185</v>
      </c>
      <c r="K2" s="53"/>
      <c r="L2" s="53"/>
    </row>
    <row r="3" spans="1:12" ht="28.8">
      <c r="A3" s="54" t="s">
        <v>186</v>
      </c>
      <c r="B3" s="54" t="s">
        <v>187</v>
      </c>
      <c r="K3" s="53"/>
      <c r="L3" s="53"/>
    </row>
    <row r="4" spans="1:12">
      <c r="A4" s="54" t="s">
        <v>188</v>
      </c>
      <c r="B4" s="2"/>
      <c r="K4" s="53"/>
      <c r="L4" s="53"/>
    </row>
    <row r="5" spans="1:12">
      <c r="K5" s="53"/>
      <c r="L5" s="53"/>
    </row>
    <row r="6" spans="1:12">
      <c r="A6" s="55" t="s">
        <v>337</v>
      </c>
      <c r="B6" s="55" t="s">
        <v>183</v>
      </c>
      <c r="K6" s="53"/>
      <c r="L6" s="53"/>
    </row>
    <row r="7" spans="1:12">
      <c r="A7" s="16" t="s">
        <v>189</v>
      </c>
      <c r="B7" s="16" t="s">
        <v>190</v>
      </c>
      <c r="K7" s="53"/>
      <c r="L7" s="53"/>
    </row>
    <row r="8" spans="1:12">
      <c r="A8" s="16" t="s">
        <v>191</v>
      </c>
      <c r="B8" s="16" t="s">
        <v>190</v>
      </c>
      <c r="K8" s="53"/>
      <c r="L8" s="53"/>
    </row>
    <row r="9" spans="1:12">
      <c r="A9" s="16" t="s">
        <v>192</v>
      </c>
      <c r="B9" s="16" t="s">
        <v>190</v>
      </c>
      <c r="K9" s="53"/>
      <c r="L9" s="53"/>
    </row>
    <row r="10" spans="1:12">
      <c r="A10" s="16" t="s">
        <v>193</v>
      </c>
      <c r="B10" s="16" t="s">
        <v>194</v>
      </c>
      <c r="K10" s="53"/>
      <c r="L10" s="53"/>
    </row>
    <row r="11" spans="1:12">
      <c r="A11" s="16" t="s">
        <v>195</v>
      </c>
      <c r="B11" s="16" t="s">
        <v>194</v>
      </c>
      <c r="K11" s="53"/>
      <c r="L11" s="53"/>
    </row>
    <row r="12" spans="1:12" ht="15" thickBot="1">
      <c r="K12" s="53"/>
      <c r="L12" s="53"/>
    </row>
    <row r="13" spans="1:12">
      <c r="A13" s="56" t="s">
        <v>0</v>
      </c>
      <c r="B13" s="56" t="s">
        <v>196</v>
      </c>
      <c r="H13" s="57" t="s">
        <v>161</v>
      </c>
      <c r="I13" s="58"/>
      <c r="J13" s="58"/>
      <c r="K13" s="59"/>
      <c r="L13" s="60">
        <f>'0. Installation'!B5</f>
        <v>0</v>
      </c>
    </row>
    <row r="14" spans="1:12">
      <c r="A14" s="61" t="s">
        <v>197</v>
      </c>
      <c r="B14" s="62">
        <v>183</v>
      </c>
      <c r="H14" s="63" t="s">
        <v>162</v>
      </c>
      <c r="I14" s="64"/>
      <c r="J14" s="64"/>
      <c r="K14" s="65"/>
      <c r="L14" s="66">
        <f>'0. Installation'!B6</f>
        <v>0</v>
      </c>
    </row>
    <row r="15" spans="1:12">
      <c r="A15" s="61" t="s">
        <v>198</v>
      </c>
      <c r="B15" s="62">
        <v>80</v>
      </c>
      <c r="H15" s="63" t="s">
        <v>163</v>
      </c>
      <c r="I15" s="64"/>
      <c r="J15" s="64"/>
      <c r="K15" s="65"/>
      <c r="L15" s="102">
        <f>'0. Installation'!B7</f>
        <v>0</v>
      </c>
    </row>
    <row r="16" spans="1:12" ht="15" thickBot="1">
      <c r="A16" s="61" t="s">
        <v>199</v>
      </c>
      <c r="B16" s="62">
        <v>212</v>
      </c>
      <c r="H16" s="67" t="s">
        <v>200</v>
      </c>
      <c r="I16" s="68"/>
      <c r="J16" s="68"/>
      <c r="K16" s="69"/>
      <c r="L16" s="70">
        <f>'0. Installation'!B8</f>
        <v>0</v>
      </c>
    </row>
    <row r="17" spans="1:17" ht="15" thickBot="1">
      <c r="K17" s="53"/>
      <c r="L17" s="53"/>
    </row>
    <row r="18" spans="1:17" ht="45.75" customHeight="1" thickBot="1">
      <c r="A18" s="375" t="s">
        <v>264</v>
      </c>
      <c r="B18" s="376"/>
      <c r="C18" s="376"/>
      <c r="D18" s="376"/>
      <c r="E18" s="376"/>
      <c r="F18" s="376"/>
      <c r="G18" s="376"/>
      <c r="H18" s="376"/>
      <c r="I18" s="376"/>
      <c r="J18" s="376"/>
      <c r="K18" s="376"/>
      <c r="L18" s="376"/>
      <c r="M18" s="376"/>
      <c r="N18" s="376"/>
      <c r="O18" s="376"/>
      <c r="P18" s="376"/>
      <c r="Q18" s="377"/>
    </row>
    <row r="19" spans="1:17" ht="51" customHeight="1" thickBot="1">
      <c r="A19" s="189"/>
      <c r="B19" s="190"/>
      <c r="C19" s="152"/>
      <c r="D19" s="71"/>
      <c r="E19" s="72"/>
      <c r="F19" s="385" t="s">
        <v>281</v>
      </c>
      <c r="G19" s="386"/>
      <c r="H19" s="387" t="s">
        <v>282</v>
      </c>
      <c r="I19" s="388"/>
      <c r="J19" s="388"/>
      <c r="K19" s="388"/>
      <c r="L19" s="389"/>
      <c r="M19" s="378" t="s">
        <v>283</v>
      </c>
      <c r="N19" s="378"/>
      <c r="O19" s="378"/>
      <c r="P19" s="378"/>
      <c r="Q19" s="379"/>
    </row>
    <row r="20" spans="1:17" ht="42.75" customHeight="1" thickBot="1">
      <c r="A20" s="380" t="s">
        <v>201</v>
      </c>
      <c r="B20" s="381"/>
      <c r="C20" s="153"/>
      <c r="D20" s="127" t="s">
        <v>203</v>
      </c>
      <c r="E20" s="128" t="s">
        <v>204</v>
      </c>
      <c r="F20" s="129" t="s">
        <v>205</v>
      </c>
      <c r="G20" s="129" t="s">
        <v>206</v>
      </c>
      <c r="H20" s="130" t="s">
        <v>207</v>
      </c>
      <c r="I20" s="130" t="s">
        <v>208</v>
      </c>
      <c r="J20" s="130" t="s">
        <v>164</v>
      </c>
      <c r="K20" s="131" t="s">
        <v>205</v>
      </c>
      <c r="L20" s="131" t="s">
        <v>206</v>
      </c>
      <c r="M20" s="129" t="s">
        <v>209</v>
      </c>
      <c r="N20" s="129" t="s">
        <v>210</v>
      </c>
      <c r="O20" s="129" t="s">
        <v>211</v>
      </c>
      <c r="P20" s="129" t="s">
        <v>212</v>
      </c>
      <c r="Q20" s="129" t="s">
        <v>263</v>
      </c>
    </row>
    <row r="21" spans="1:17" ht="14.25" customHeight="1">
      <c r="A21" s="390" t="s">
        <v>31</v>
      </c>
      <c r="B21" s="391" t="s">
        <v>257</v>
      </c>
      <c r="C21" s="73" t="s">
        <v>32</v>
      </c>
      <c r="D21" s="74" t="s">
        <v>33</v>
      </c>
      <c r="E21" s="74" t="str">
        <f>C21&amp;D21</f>
        <v>1A_PFA0-500km</v>
      </c>
      <c r="F21" s="75">
        <v>0.91</v>
      </c>
      <c r="G21" s="75">
        <v>0.87</v>
      </c>
      <c r="H21" s="76"/>
      <c r="I21" s="76"/>
      <c r="J21" s="76"/>
      <c r="K21" s="77"/>
      <c r="L21" s="78"/>
      <c r="M21" s="79">
        <v>0</v>
      </c>
      <c r="N21" s="79">
        <v>1.9</v>
      </c>
      <c r="O21" s="79">
        <v>3.6</v>
      </c>
      <c r="P21" s="79">
        <v>0.5</v>
      </c>
      <c r="Q21" s="171"/>
    </row>
    <row r="22" spans="1:17">
      <c r="A22" s="359"/>
      <c r="B22" s="362"/>
      <c r="C22" s="73" t="s">
        <v>32</v>
      </c>
      <c r="D22" s="74" t="s">
        <v>34</v>
      </c>
      <c r="E22" s="74" t="str">
        <f t="shared" ref="E22:E24" si="0">C22&amp;D22</f>
        <v>1A_PFA500-2 500km</v>
      </c>
      <c r="F22" s="75">
        <v>0.87</v>
      </c>
      <c r="G22" s="75">
        <v>0.81</v>
      </c>
      <c r="H22" s="76"/>
      <c r="I22" s="76"/>
      <c r="J22" s="76"/>
      <c r="K22" s="77"/>
      <c r="L22" s="78"/>
      <c r="M22" s="79">
        <v>0</v>
      </c>
      <c r="N22" s="79">
        <v>1.9</v>
      </c>
      <c r="O22" s="79">
        <v>6.2</v>
      </c>
      <c r="P22" s="79">
        <v>0.5</v>
      </c>
      <c r="Q22" s="171"/>
    </row>
    <row r="23" spans="1:17">
      <c r="A23" s="359"/>
      <c r="B23" s="362"/>
      <c r="C23" s="73" t="s">
        <v>32</v>
      </c>
      <c r="D23" s="74" t="s">
        <v>35</v>
      </c>
      <c r="E23" s="74" t="str">
        <f t="shared" si="0"/>
        <v>1A_PFA2 500-10 000km</v>
      </c>
      <c r="F23" s="75">
        <v>0.78</v>
      </c>
      <c r="G23" s="75">
        <v>0.67</v>
      </c>
      <c r="H23" s="76"/>
      <c r="I23" s="76"/>
      <c r="J23" s="76"/>
      <c r="K23" s="77"/>
      <c r="L23" s="78"/>
      <c r="M23" s="79">
        <v>0</v>
      </c>
      <c r="N23" s="79">
        <v>1.9</v>
      </c>
      <c r="O23" s="79">
        <v>12.6</v>
      </c>
      <c r="P23" s="79">
        <v>0.5</v>
      </c>
      <c r="Q23" s="171"/>
    </row>
    <row r="24" spans="1:17" ht="15" thickBot="1">
      <c r="A24" s="360"/>
      <c r="B24" s="363"/>
      <c r="C24" s="132" t="s">
        <v>32</v>
      </c>
      <c r="D24" s="80" t="s">
        <v>36</v>
      </c>
      <c r="E24" s="80" t="str">
        <f t="shared" si="0"/>
        <v>1A_PFAplus de 10 000km</v>
      </c>
      <c r="F24" s="81">
        <v>0.6</v>
      </c>
      <c r="G24" s="81">
        <v>0.41</v>
      </c>
      <c r="H24" s="82"/>
      <c r="I24" s="82"/>
      <c r="J24" s="82"/>
      <c r="K24" s="83"/>
      <c r="L24" s="84"/>
      <c r="M24" s="133">
        <v>0</v>
      </c>
      <c r="N24" s="133">
        <v>1.9</v>
      </c>
      <c r="O24" s="133">
        <v>24.6</v>
      </c>
      <c r="P24" s="133">
        <v>0.5</v>
      </c>
      <c r="Q24" s="172"/>
    </row>
    <row r="25" spans="1:17" ht="15" thickTop="1">
      <c r="A25" s="383" t="s">
        <v>253</v>
      </c>
      <c r="B25" s="85" t="s">
        <v>38</v>
      </c>
      <c r="C25" s="73" t="s">
        <v>39</v>
      </c>
      <c r="D25" s="74" t="s">
        <v>33</v>
      </c>
      <c r="E25" s="74" t="str">
        <f>C25&amp;D25</f>
        <v>1B_PFA0-500km</v>
      </c>
      <c r="F25" s="86"/>
      <c r="G25" s="86"/>
      <c r="H25" s="217">
        <v>6.5</v>
      </c>
      <c r="I25" s="217">
        <f>IF($L$14=0,0,
IF('0. Installation'!$B$2="Cogénération",
H25*$L$15/($L$15+273.15)/($L$13+$L$14*$L$15/($L$15+273.15)),H25/$L$14))</f>
        <v>0</v>
      </c>
      <c r="J25" s="217">
        <f>IF($L$13=0,0,H25/$L$13*$L$13/($L$13+$L$14*$L$15/($L$15+273.15)))</f>
        <v>0</v>
      </c>
      <c r="K25" s="88">
        <f>IF(I25=0,0,(80-I25)/80)</f>
        <v>0</v>
      </c>
      <c r="L25" s="88">
        <f>IF(J25=0,0,IF($L$16="OUI",(212-J25)/212,(183-J25)/183))</f>
        <v>0</v>
      </c>
      <c r="M25" s="225">
        <v>0</v>
      </c>
      <c r="N25" s="225">
        <v>1.6</v>
      </c>
      <c r="O25" s="225">
        <v>4.4000000000000004</v>
      </c>
      <c r="P25" s="225">
        <v>0.5</v>
      </c>
      <c r="Q25" s="171"/>
    </row>
    <row r="26" spans="1:17">
      <c r="A26" s="383"/>
      <c r="B26" s="89"/>
      <c r="C26" s="73" t="s">
        <v>39</v>
      </c>
      <c r="D26" s="74" t="s">
        <v>34</v>
      </c>
      <c r="E26" s="74" t="str">
        <f t="shared" ref="E26:E80" si="1">C26&amp;D26</f>
        <v>1B_PFA500-2 500km</v>
      </c>
      <c r="F26" s="86"/>
      <c r="G26" s="86"/>
      <c r="H26" s="217">
        <v>9.3000000000000007</v>
      </c>
      <c r="I26" s="217">
        <f>IF($L$14=0,0,
IF('0. Installation'!$B$2="Cogénération",
H26*$L$15/($L$15+273.15)/($L$13+$L$14*$L$15/($L$15+273.15)),H26/$L$14))</f>
        <v>0</v>
      </c>
      <c r="J26" s="217">
        <f t="shared" ref="J26:J36" si="2">IF($L$13=0,0,H26/$L$13*$L$13/($L$13+$L$14*$L$15/($L$15+273.15)))</f>
        <v>0</v>
      </c>
      <c r="K26" s="88">
        <f t="shared" ref="K26:K36" si="3">IF(I26=0,0,(80-I26)/80)</f>
        <v>0</v>
      </c>
      <c r="L26" s="88">
        <f t="shared" ref="L26:L36" si="4">IF(J26=0,0,IF($L$16="OUI",(212-J26)/212,(183-J26)/183))</f>
        <v>0</v>
      </c>
      <c r="M26" s="225">
        <v>0</v>
      </c>
      <c r="N26" s="225">
        <v>1.6</v>
      </c>
      <c r="O26" s="225">
        <v>7.2</v>
      </c>
      <c r="P26" s="225">
        <v>0.5</v>
      </c>
      <c r="Q26" s="171"/>
    </row>
    <row r="27" spans="1:17">
      <c r="A27" s="383"/>
      <c r="B27" s="89"/>
      <c r="C27" s="73" t="s">
        <v>39</v>
      </c>
      <c r="D27" s="74" t="s">
        <v>35</v>
      </c>
      <c r="E27" s="74" t="str">
        <f t="shared" si="1"/>
        <v>1B_PFA2 500-10 000km</v>
      </c>
      <c r="F27" s="86"/>
      <c r="G27" s="86"/>
      <c r="H27" s="217">
        <v>16.399999999999999</v>
      </c>
      <c r="I27" s="217">
        <f>IF($L$14=0,0,
IF('0. Installation'!$B$2="Cogénération",
H27*$L$15/($L$15+273.15)/($L$13+$L$14*$L$15/($L$15+273.15)),H27/$L$14))</f>
        <v>0</v>
      </c>
      <c r="J27" s="217">
        <f t="shared" si="2"/>
        <v>0</v>
      </c>
      <c r="K27" s="88">
        <f t="shared" si="3"/>
        <v>0</v>
      </c>
      <c r="L27" s="88">
        <f t="shared" si="4"/>
        <v>0</v>
      </c>
      <c r="M27" s="225">
        <v>0</v>
      </c>
      <c r="N27" s="225">
        <v>1.6</v>
      </c>
      <c r="O27" s="225">
        <v>14.3</v>
      </c>
      <c r="P27" s="225">
        <v>0.5</v>
      </c>
      <c r="Q27" s="171"/>
    </row>
    <row r="28" spans="1:17" ht="15" thickBot="1">
      <c r="A28" s="383"/>
      <c r="B28" s="90"/>
      <c r="C28" s="132" t="s">
        <v>39</v>
      </c>
      <c r="D28" s="80" t="s">
        <v>36</v>
      </c>
      <c r="E28" s="80" t="str">
        <f t="shared" si="1"/>
        <v>1B_PFAplus de 10 000km</v>
      </c>
      <c r="F28" s="91"/>
      <c r="G28" s="91"/>
      <c r="H28" s="218">
        <v>29.8</v>
      </c>
      <c r="I28" s="218">
        <f>IF($L$14=0,0,
IF('0. Installation'!$B$2="Cogénération",
H28*$L$15/($L$15+273.15)/($L$13+$L$14*$L$15/($L$15+273.15)),H28/$L$14))</f>
        <v>0</v>
      </c>
      <c r="J28" s="218">
        <f t="shared" si="2"/>
        <v>0</v>
      </c>
      <c r="K28" s="136">
        <f t="shared" ref="K28:K32" si="5">IF(I28=0,0,(80-I28)/80)</f>
        <v>0</v>
      </c>
      <c r="L28" s="136">
        <f t="shared" ref="L28:L32" si="6">IF(J28=0,0,IF($L$16="OUI",(212-J28)/212,(183-J28)/183))</f>
        <v>0</v>
      </c>
      <c r="M28" s="226">
        <v>0</v>
      </c>
      <c r="N28" s="226">
        <v>1.6</v>
      </c>
      <c r="O28" s="226">
        <v>27.7</v>
      </c>
      <c r="P28" s="226">
        <v>0.5</v>
      </c>
      <c r="Q28" s="172"/>
    </row>
    <row r="29" spans="1:17" ht="15" thickTop="1">
      <c r="A29" s="383"/>
      <c r="B29" s="270" t="s">
        <v>341</v>
      </c>
      <c r="C29" s="271" t="s">
        <v>342</v>
      </c>
      <c r="D29" s="272" t="s">
        <v>33</v>
      </c>
      <c r="E29" s="272" t="str">
        <f>C29&amp;D29</f>
        <v>1B_PFA(V)0-500km</v>
      </c>
      <c r="F29" s="86"/>
      <c r="G29" s="86"/>
      <c r="H29" s="217">
        <f>SUM(M29:P29)</f>
        <v>5.5</v>
      </c>
      <c r="I29" s="219">
        <f>IF($L$14=0,0,
IF('0. Installation'!$B$2="Cogénération",
H29*$L$15/($L$15+273.15)/($L$13+$L$14*$L$15/($L$15+273.15)),H29/$L$14))</f>
        <v>0</v>
      </c>
      <c r="J29" s="219">
        <f>IF($L$13=0,0,H29/$L$13*$L$13/($L$13+$L$14*$L$15/($L$15+273.15)))</f>
        <v>0</v>
      </c>
      <c r="K29" s="135">
        <f t="shared" si="5"/>
        <v>0</v>
      </c>
      <c r="L29" s="135">
        <f t="shared" si="6"/>
        <v>0</v>
      </c>
      <c r="M29" s="269">
        <v>0</v>
      </c>
      <c r="N29" s="269">
        <v>0.6</v>
      </c>
      <c r="O29" s="269">
        <v>4.4000000000000004</v>
      </c>
      <c r="P29" s="269">
        <v>0.5</v>
      </c>
      <c r="Q29" s="175"/>
    </row>
    <row r="30" spans="1:17">
      <c r="A30" s="383"/>
      <c r="B30" s="273"/>
      <c r="C30" s="271" t="s">
        <v>342</v>
      </c>
      <c r="D30" s="272" t="s">
        <v>34</v>
      </c>
      <c r="E30" s="272" t="str">
        <f t="shared" ref="E30:E32" si="7">C30&amp;D30</f>
        <v>1B_PFA(V)500-2 500km</v>
      </c>
      <c r="F30" s="86"/>
      <c r="G30" s="86"/>
      <c r="H30" s="217">
        <f t="shared" ref="H30:H32" si="8">SUM(M30:P30)</f>
        <v>8.3000000000000007</v>
      </c>
      <c r="I30" s="217">
        <f>IF($L$14=0,0,
IF('0. Installation'!$B$2="Cogénération",
H30*$L$15/($L$15+273.15)/($L$13+$L$14*$L$15/($L$15+273.15)),H30/$L$14))</f>
        <v>0</v>
      </c>
      <c r="J30" s="217">
        <f t="shared" si="2"/>
        <v>0</v>
      </c>
      <c r="K30" s="88">
        <f t="shared" si="5"/>
        <v>0</v>
      </c>
      <c r="L30" s="88">
        <f t="shared" si="6"/>
        <v>0</v>
      </c>
      <c r="M30" s="269">
        <v>0</v>
      </c>
      <c r="N30" s="269">
        <v>0.6</v>
      </c>
      <c r="O30" s="269">
        <v>7.2</v>
      </c>
      <c r="P30" s="269">
        <v>0.5</v>
      </c>
      <c r="Q30" s="175"/>
    </row>
    <row r="31" spans="1:17">
      <c r="A31" s="383"/>
      <c r="B31" s="273"/>
      <c r="C31" s="271" t="s">
        <v>342</v>
      </c>
      <c r="D31" s="272" t="s">
        <v>35</v>
      </c>
      <c r="E31" s="272" t="str">
        <f t="shared" si="7"/>
        <v>1B_PFA(V)2 500-10 000km</v>
      </c>
      <c r="F31" s="86"/>
      <c r="G31" s="86"/>
      <c r="H31" s="217">
        <f t="shared" si="8"/>
        <v>15.4</v>
      </c>
      <c r="I31" s="217">
        <f>IF($L$14=0,0,
IF('0. Installation'!$B$2="Cogénération",
H31*$L$15/($L$15+273.15)/($L$13+$L$14*$L$15/($L$15+273.15)),H31/$L$14))</f>
        <v>0</v>
      </c>
      <c r="J31" s="217">
        <f t="shared" si="2"/>
        <v>0</v>
      </c>
      <c r="K31" s="88">
        <f t="shared" si="5"/>
        <v>0</v>
      </c>
      <c r="L31" s="88">
        <f t="shared" si="6"/>
        <v>0</v>
      </c>
      <c r="M31" s="269">
        <v>0</v>
      </c>
      <c r="N31" s="269">
        <v>0.6</v>
      </c>
      <c r="O31" s="269">
        <v>14.3</v>
      </c>
      <c r="P31" s="269">
        <v>0.5</v>
      </c>
      <c r="Q31" s="175"/>
    </row>
    <row r="32" spans="1:17" ht="15" thickBot="1">
      <c r="A32" s="383"/>
      <c r="B32" s="273"/>
      <c r="C32" s="271" t="s">
        <v>342</v>
      </c>
      <c r="D32" s="274" t="s">
        <v>36</v>
      </c>
      <c r="E32" s="274" t="str">
        <f t="shared" si="7"/>
        <v>1B_PFA(V)plus de 10 000km</v>
      </c>
      <c r="F32" s="91"/>
      <c r="G32" s="91"/>
      <c r="H32" s="218">
        <f t="shared" si="8"/>
        <v>28.8</v>
      </c>
      <c r="I32" s="218">
        <f>IF($L$14=0,0,
IF('0. Installation'!$B$2="Cogénération",
H32*$L$15/($L$15+273.15)/($L$13+$L$14*$L$15/($L$15+273.15)),H32/$L$14))</f>
        <v>0</v>
      </c>
      <c r="J32" s="218">
        <f t="shared" si="2"/>
        <v>0</v>
      </c>
      <c r="K32" s="136">
        <f t="shared" si="5"/>
        <v>0</v>
      </c>
      <c r="L32" s="136">
        <f t="shared" si="6"/>
        <v>0</v>
      </c>
      <c r="M32" s="226">
        <v>0</v>
      </c>
      <c r="N32" s="226">
        <v>0.6</v>
      </c>
      <c r="O32" s="226">
        <v>27.7</v>
      </c>
      <c r="P32" s="226">
        <v>0.5</v>
      </c>
      <c r="Q32" s="172"/>
    </row>
    <row r="33" spans="1:17" ht="15" thickTop="1">
      <c r="A33" s="383"/>
      <c r="B33" s="92" t="s">
        <v>284</v>
      </c>
      <c r="C33" s="73" t="s">
        <v>40</v>
      </c>
      <c r="D33" s="74" t="s">
        <v>33</v>
      </c>
      <c r="E33" s="74" t="str">
        <f t="shared" si="1"/>
        <v>1C_PFA0-500km</v>
      </c>
      <c r="F33" s="86"/>
      <c r="G33" s="86"/>
      <c r="H33" s="219">
        <v>5.3</v>
      </c>
      <c r="I33" s="219">
        <f>IF($L$14=0,0,
IF('0. Installation'!$B$2="Cogénération",
H33*$L$15/($L$15+273.15)/($L$13+$L$14*$L$15/($L$15+273.15)),H33/$L$14))</f>
        <v>0</v>
      </c>
      <c r="J33" s="219">
        <f t="shared" si="2"/>
        <v>0</v>
      </c>
      <c r="K33" s="135">
        <f t="shared" si="3"/>
        <v>0</v>
      </c>
      <c r="L33" s="135">
        <f t="shared" si="4"/>
        <v>0</v>
      </c>
      <c r="M33" s="225">
        <v>0</v>
      </c>
      <c r="N33" s="225">
        <v>0.4</v>
      </c>
      <c r="O33" s="225">
        <v>4.4000000000000004</v>
      </c>
      <c r="P33" s="225">
        <v>0.5</v>
      </c>
      <c r="Q33" s="171"/>
    </row>
    <row r="34" spans="1:17">
      <c r="A34" s="383"/>
      <c r="B34" s="94"/>
      <c r="C34" s="73" t="s">
        <v>40</v>
      </c>
      <c r="D34" s="74" t="s">
        <v>34</v>
      </c>
      <c r="E34" s="74" t="str">
        <f t="shared" si="1"/>
        <v>1C_PFA500-2 500km</v>
      </c>
      <c r="F34" s="86"/>
      <c r="G34" s="86"/>
      <c r="H34" s="217">
        <v>8.1</v>
      </c>
      <c r="I34" s="217">
        <f>IF($L$14=0,0,
IF('0. Installation'!$B$2="Cogénération",
H34*$L$15/($L$15+273.15)/($L$13+$L$14*$L$15/($L$15+273.15)),H34/$L$14))</f>
        <v>0</v>
      </c>
      <c r="J34" s="217">
        <f t="shared" si="2"/>
        <v>0</v>
      </c>
      <c r="K34" s="88">
        <f t="shared" si="3"/>
        <v>0</v>
      </c>
      <c r="L34" s="88">
        <f t="shared" si="4"/>
        <v>0</v>
      </c>
      <c r="M34" s="225">
        <v>0</v>
      </c>
      <c r="N34" s="225">
        <v>0.4</v>
      </c>
      <c r="O34" s="225">
        <v>7.2</v>
      </c>
      <c r="P34" s="225">
        <v>0.5</v>
      </c>
      <c r="Q34" s="171"/>
    </row>
    <row r="35" spans="1:17">
      <c r="A35" s="383"/>
      <c r="B35" s="94"/>
      <c r="C35" s="73" t="s">
        <v>40</v>
      </c>
      <c r="D35" s="74" t="s">
        <v>35</v>
      </c>
      <c r="E35" s="74" t="str">
        <f t="shared" si="1"/>
        <v>1C_PFA2 500-10 000km</v>
      </c>
      <c r="F35" s="86"/>
      <c r="G35" s="86"/>
      <c r="H35" s="217">
        <v>15.3</v>
      </c>
      <c r="I35" s="217">
        <f>IF($L$14=0,0,
IF('0. Installation'!$B$2="Cogénération",
H35*$L$15/($L$15+273.15)/($L$13+$L$14*$L$15/($L$15+273.15)),H35/$L$14))</f>
        <v>0</v>
      </c>
      <c r="J35" s="217">
        <f t="shared" si="2"/>
        <v>0</v>
      </c>
      <c r="K35" s="88">
        <f t="shared" si="3"/>
        <v>0</v>
      </c>
      <c r="L35" s="88">
        <f t="shared" si="4"/>
        <v>0</v>
      </c>
      <c r="M35" s="225">
        <v>0</v>
      </c>
      <c r="N35" s="225">
        <v>0.4</v>
      </c>
      <c r="O35" s="225">
        <v>14.4</v>
      </c>
      <c r="P35" s="225">
        <v>0.5</v>
      </c>
      <c r="Q35" s="171"/>
    </row>
    <row r="36" spans="1:17" ht="15" thickBot="1">
      <c r="A36" s="384"/>
      <c r="B36" s="95"/>
      <c r="C36" s="132" t="s">
        <v>40</v>
      </c>
      <c r="D36" s="80" t="s">
        <v>36</v>
      </c>
      <c r="E36" s="80" t="str">
        <f t="shared" si="1"/>
        <v>1C_PFAplus de 10 000km</v>
      </c>
      <c r="F36" s="91"/>
      <c r="G36" s="91"/>
      <c r="H36" s="218">
        <v>28.6</v>
      </c>
      <c r="I36" s="217">
        <f>IF($L$14=0,0,
IF('0. Installation'!$B$2="Cogénération",
H36*$L$15/($L$15+273.15)/($L$13+$L$14*$L$15/($L$15+273.15)),H36/$L$14))</f>
        <v>0</v>
      </c>
      <c r="J36" s="218">
        <f t="shared" si="2"/>
        <v>0</v>
      </c>
      <c r="K36" s="136">
        <f t="shared" si="3"/>
        <v>0</v>
      </c>
      <c r="L36" s="136">
        <f t="shared" si="4"/>
        <v>0</v>
      </c>
      <c r="M36" s="226">
        <v>0</v>
      </c>
      <c r="N36" s="226">
        <v>0.4</v>
      </c>
      <c r="O36" s="226">
        <v>27.7</v>
      </c>
      <c r="P36" s="226">
        <v>0.5</v>
      </c>
      <c r="Q36" s="172"/>
    </row>
    <row r="37" spans="1:17" ht="15" thickTop="1">
      <c r="A37" s="383" t="s">
        <v>236</v>
      </c>
      <c r="B37" s="89" t="s">
        <v>42</v>
      </c>
      <c r="C37" s="73" t="s">
        <v>43</v>
      </c>
      <c r="D37" s="74" t="s">
        <v>33</v>
      </c>
      <c r="E37" s="74" t="str">
        <f t="shared" si="1"/>
        <v>2A-CIB0-500km</v>
      </c>
      <c r="F37" s="75">
        <v>0.93</v>
      </c>
      <c r="G37" s="75">
        <v>0.9</v>
      </c>
      <c r="H37" s="76"/>
      <c r="I37" s="76"/>
      <c r="J37" s="76"/>
      <c r="K37" s="77"/>
      <c r="L37" s="96"/>
      <c r="M37" s="79">
        <v>0</v>
      </c>
      <c r="N37" s="79">
        <v>0.4</v>
      </c>
      <c r="O37" s="79">
        <v>3.6</v>
      </c>
      <c r="P37" s="79">
        <v>0.5</v>
      </c>
      <c r="Q37" s="171"/>
    </row>
    <row r="38" spans="1:17">
      <c r="A38" s="383"/>
      <c r="B38" s="89"/>
      <c r="C38" s="73" t="s">
        <v>43</v>
      </c>
      <c r="D38" s="74" t="s">
        <v>34</v>
      </c>
      <c r="E38" s="74" t="str">
        <f t="shared" si="1"/>
        <v>2A-CIB500-2 500km</v>
      </c>
      <c r="F38" s="75">
        <v>0.9</v>
      </c>
      <c r="G38" s="75">
        <v>0.85</v>
      </c>
      <c r="H38" s="76"/>
      <c r="I38" s="76"/>
      <c r="J38" s="76"/>
      <c r="K38" s="77"/>
      <c r="L38" s="96"/>
      <c r="M38" s="79">
        <v>0</v>
      </c>
      <c r="N38" s="79">
        <v>0.4</v>
      </c>
      <c r="O38" s="79">
        <v>6.2</v>
      </c>
      <c r="P38" s="79">
        <v>0.5</v>
      </c>
      <c r="Q38" s="171"/>
    </row>
    <row r="39" spans="1:17">
      <c r="A39" s="383"/>
      <c r="B39" s="89"/>
      <c r="C39" s="73" t="s">
        <v>43</v>
      </c>
      <c r="D39" s="74" t="s">
        <v>35</v>
      </c>
      <c r="E39" s="74" t="str">
        <f t="shared" si="1"/>
        <v>2A-CIB2 500-10 000km</v>
      </c>
      <c r="F39" s="75">
        <v>0.8</v>
      </c>
      <c r="G39" s="75">
        <v>0.71</v>
      </c>
      <c r="H39" s="76"/>
      <c r="I39" s="76"/>
      <c r="J39" s="76"/>
      <c r="K39" s="77"/>
      <c r="L39" s="96"/>
      <c r="M39" s="79">
        <v>0</v>
      </c>
      <c r="N39" s="79">
        <v>0.4</v>
      </c>
      <c r="O39" s="79">
        <v>12.6</v>
      </c>
      <c r="P39" s="79">
        <v>0.5</v>
      </c>
      <c r="Q39" s="171"/>
    </row>
    <row r="40" spans="1:17" ht="15" thickBot="1">
      <c r="A40" s="383"/>
      <c r="B40" s="90"/>
      <c r="C40" s="132" t="s">
        <v>43</v>
      </c>
      <c r="D40" s="80" t="s">
        <v>36</v>
      </c>
      <c r="E40" s="80" t="str">
        <f t="shared" si="1"/>
        <v>2A-CIBplus de 10 000km</v>
      </c>
      <c r="F40" s="81">
        <v>0.63</v>
      </c>
      <c r="G40" s="81">
        <v>0.44</v>
      </c>
      <c r="H40" s="82"/>
      <c r="I40" s="82"/>
      <c r="J40" s="82"/>
      <c r="K40" s="83"/>
      <c r="L40" s="97"/>
      <c r="M40" s="133">
        <v>0</v>
      </c>
      <c r="N40" s="133">
        <v>0.4</v>
      </c>
      <c r="O40" s="133">
        <v>24.6</v>
      </c>
      <c r="P40" s="133">
        <v>0.5</v>
      </c>
      <c r="Q40" s="172"/>
    </row>
    <row r="41" spans="1:17" ht="15" thickTop="1">
      <c r="A41" s="383"/>
      <c r="B41" s="94" t="s">
        <v>44</v>
      </c>
      <c r="C41" s="73" t="s">
        <v>45</v>
      </c>
      <c r="D41" s="74" t="s">
        <v>33</v>
      </c>
      <c r="E41" s="74" t="str">
        <f t="shared" si="1"/>
        <v>2B-CIB0-500km</v>
      </c>
      <c r="F41" s="75">
        <v>0.93</v>
      </c>
      <c r="G41" s="75">
        <v>0.9</v>
      </c>
      <c r="H41" s="76"/>
      <c r="I41" s="76"/>
      <c r="J41" s="76"/>
      <c r="K41" s="77"/>
      <c r="L41" s="96"/>
      <c r="M41" s="79">
        <v>0</v>
      </c>
      <c r="N41" s="79">
        <v>0.4</v>
      </c>
      <c r="O41" s="79">
        <v>3.6</v>
      </c>
      <c r="P41" s="79">
        <v>0.5</v>
      </c>
      <c r="Q41" s="171"/>
    </row>
    <row r="42" spans="1:17">
      <c r="A42" s="383"/>
      <c r="B42" s="94"/>
      <c r="C42" s="73" t="s">
        <v>45</v>
      </c>
      <c r="D42" s="74" t="s">
        <v>34</v>
      </c>
      <c r="E42" s="74" t="str">
        <f t="shared" si="1"/>
        <v>2B-CIB500-2 500km</v>
      </c>
      <c r="F42" s="75">
        <v>0.9</v>
      </c>
      <c r="G42" s="75">
        <v>0.85</v>
      </c>
      <c r="H42" s="76"/>
      <c r="I42" s="76"/>
      <c r="J42" s="76"/>
      <c r="K42" s="77"/>
      <c r="L42" s="96"/>
      <c r="M42" s="79">
        <v>0</v>
      </c>
      <c r="N42" s="79">
        <v>0.4</v>
      </c>
      <c r="O42" s="79">
        <v>6.2</v>
      </c>
      <c r="P42" s="79">
        <v>0.5</v>
      </c>
      <c r="Q42" s="171"/>
    </row>
    <row r="43" spans="1:17">
      <c r="A43" s="383"/>
      <c r="B43" s="94"/>
      <c r="C43" s="73" t="s">
        <v>45</v>
      </c>
      <c r="D43" s="74" t="s">
        <v>35</v>
      </c>
      <c r="E43" s="74" t="str">
        <f t="shared" si="1"/>
        <v>2B-CIB2 500-10 000km</v>
      </c>
      <c r="F43" s="75">
        <v>0.8</v>
      </c>
      <c r="G43" s="75">
        <v>0.71</v>
      </c>
      <c r="H43" s="76"/>
      <c r="I43" s="76"/>
      <c r="J43" s="76"/>
      <c r="K43" s="77"/>
      <c r="L43" s="96"/>
      <c r="M43" s="79">
        <v>0</v>
      </c>
      <c r="N43" s="79">
        <v>0.4</v>
      </c>
      <c r="O43" s="79">
        <v>12.6</v>
      </c>
      <c r="P43" s="79">
        <v>0.5</v>
      </c>
      <c r="Q43" s="171"/>
    </row>
    <row r="44" spans="1:17" ht="15" thickBot="1">
      <c r="A44" s="384"/>
      <c r="B44" s="95"/>
      <c r="C44" s="137" t="s">
        <v>45</v>
      </c>
      <c r="D44" s="80" t="s">
        <v>36</v>
      </c>
      <c r="E44" s="80" t="str">
        <f t="shared" si="1"/>
        <v>2B-CIBplus de 10 000km</v>
      </c>
      <c r="F44" s="81">
        <v>0.63</v>
      </c>
      <c r="G44" s="81">
        <v>0.44</v>
      </c>
      <c r="H44" s="82"/>
      <c r="I44" s="82"/>
      <c r="J44" s="82"/>
      <c r="K44" s="83"/>
      <c r="L44" s="97"/>
      <c r="M44" s="133">
        <v>0</v>
      </c>
      <c r="N44" s="133">
        <v>0.4</v>
      </c>
      <c r="O44" s="133">
        <v>24.6</v>
      </c>
      <c r="P44" s="133">
        <v>0.5</v>
      </c>
      <c r="Q44" s="172"/>
    </row>
    <row r="45" spans="1:17" ht="15" thickTop="1">
      <c r="A45" s="359" t="s">
        <v>237</v>
      </c>
      <c r="B45" s="85" t="s">
        <v>213</v>
      </c>
      <c r="C45" s="73" t="s">
        <v>48</v>
      </c>
      <c r="D45" s="74" t="s">
        <v>33</v>
      </c>
      <c r="E45" s="74" t="str">
        <f t="shared" si="1"/>
        <v>3A_BFVBD0-500km</v>
      </c>
      <c r="F45" s="86"/>
      <c r="G45" s="98"/>
      <c r="H45" s="217">
        <v>4.8</v>
      </c>
      <c r="I45" s="217">
        <f>IF($L$14=0,0,
IF('0. Installation'!$B$2="Cogénération",
H45*$L$15/($L$15+273.15)/($L$13+$L$14*$L$15/($L$15+273.15)),H45/$L$14))</f>
        <v>0</v>
      </c>
      <c r="J45" s="217">
        <f t="shared" ref="J45:J56" si="9">IF($L$13=0,0,H45/$L$13*$L$13/($L$13+$L$14*$L$15/($L$15+273.15)))</f>
        <v>0</v>
      </c>
      <c r="K45" s="88">
        <f>IF(I45=0,0,(80-I45)/80)</f>
        <v>0</v>
      </c>
      <c r="L45" s="88">
        <f t="shared" ref="L45:L56" si="10">IF(J45=0,0,IF($L$16="OUI",(212-J45)/212,(183-J45)/183))</f>
        <v>0</v>
      </c>
      <c r="M45" s="220">
        <v>0</v>
      </c>
      <c r="N45" s="220">
        <v>0.8</v>
      </c>
      <c r="O45" s="220">
        <v>3.5</v>
      </c>
      <c r="P45" s="220">
        <v>0.5</v>
      </c>
      <c r="Q45" s="171"/>
    </row>
    <row r="46" spans="1:17">
      <c r="A46" s="359"/>
      <c r="B46" s="89"/>
      <c r="C46" s="73" t="s">
        <v>48</v>
      </c>
      <c r="D46" s="74" t="s">
        <v>34</v>
      </c>
      <c r="E46" s="74" t="str">
        <f t="shared" si="1"/>
        <v>3A_BFVBD500-2 500km</v>
      </c>
      <c r="F46" s="86"/>
      <c r="G46" s="98"/>
      <c r="H46" s="217">
        <v>7.1</v>
      </c>
      <c r="I46" s="217">
        <f>IF($L$14=0,0,
IF('0. Installation'!$B$2="Cogénération",
H46*$L$15/($L$15+273.15)/($L$13+$L$14*$L$15/($L$15+273.15)),H46/$L$14))</f>
        <v>0</v>
      </c>
      <c r="J46" s="217">
        <f t="shared" si="9"/>
        <v>0</v>
      </c>
      <c r="K46" s="88">
        <f t="shared" ref="K46:K56" si="11">IF(I46=0,0,(80-I46)/80)</f>
        <v>0</v>
      </c>
      <c r="L46" s="88">
        <f t="shared" si="10"/>
        <v>0</v>
      </c>
      <c r="M46" s="220">
        <v>0</v>
      </c>
      <c r="N46" s="220">
        <v>0.8</v>
      </c>
      <c r="O46" s="220">
        <v>5.7</v>
      </c>
      <c r="P46" s="220">
        <v>0.5</v>
      </c>
      <c r="Q46" s="171"/>
    </row>
    <row r="47" spans="1:17">
      <c r="A47" s="359"/>
      <c r="B47" s="89"/>
      <c r="C47" s="73" t="s">
        <v>48</v>
      </c>
      <c r="D47" s="74" t="s">
        <v>35</v>
      </c>
      <c r="E47" s="74" t="str">
        <f t="shared" si="1"/>
        <v>3A_BFVBD2 500-10 000km</v>
      </c>
      <c r="F47" s="86"/>
      <c r="G47" s="98"/>
      <c r="H47" s="217">
        <v>12.7</v>
      </c>
      <c r="I47" s="217">
        <f>IF($L$14=0,0,
IF('0. Installation'!$B$2="Cogénération",
H47*$L$15/($L$15+273.15)/($L$13+$L$14*$L$15/($L$15+273.15)),H47/$L$14))</f>
        <v>0</v>
      </c>
      <c r="J47" s="217">
        <f t="shared" si="9"/>
        <v>0</v>
      </c>
      <c r="K47" s="88">
        <f t="shared" si="11"/>
        <v>0</v>
      </c>
      <c r="L47" s="88">
        <f t="shared" si="10"/>
        <v>0</v>
      </c>
      <c r="M47" s="220">
        <v>0</v>
      </c>
      <c r="N47" s="220">
        <v>0.8</v>
      </c>
      <c r="O47" s="220">
        <v>11.4</v>
      </c>
      <c r="P47" s="220">
        <v>0.5</v>
      </c>
      <c r="Q47" s="171"/>
    </row>
    <row r="48" spans="1:17" ht="15" thickBot="1">
      <c r="A48" s="359"/>
      <c r="B48" s="90"/>
      <c r="C48" s="73" t="s">
        <v>48</v>
      </c>
      <c r="D48" s="80" t="s">
        <v>36</v>
      </c>
      <c r="E48" s="80" t="str">
        <f t="shared" si="1"/>
        <v>3A_BFVBDplus de 10 000km</v>
      </c>
      <c r="F48" s="91"/>
      <c r="G48" s="99"/>
      <c r="H48" s="218">
        <v>23.2</v>
      </c>
      <c r="I48" s="217">
        <f>IF($L$14=0,0,
IF('0. Installation'!$B$2="Cogénération",
H48*$L$15/($L$15+273.15)/($L$13+$L$14*$L$15/($L$15+273.15)),H48/$L$14))</f>
        <v>0</v>
      </c>
      <c r="J48" s="218">
        <f t="shared" si="9"/>
        <v>0</v>
      </c>
      <c r="K48" s="136">
        <f t="shared" si="11"/>
        <v>0</v>
      </c>
      <c r="L48" s="136">
        <f t="shared" si="10"/>
        <v>0</v>
      </c>
      <c r="M48" s="221">
        <v>0</v>
      </c>
      <c r="N48" s="221">
        <v>0.8</v>
      </c>
      <c r="O48" s="221">
        <v>21.9</v>
      </c>
      <c r="P48" s="221">
        <v>0.5</v>
      </c>
      <c r="Q48" s="172"/>
    </row>
    <row r="49" spans="1:17" ht="43.8" thickTop="1">
      <c r="A49" s="359"/>
      <c r="B49" s="94" t="s">
        <v>214</v>
      </c>
      <c r="C49" s="138" t="s">
        <v>49</v>
      </c>
      <c r="D49" s="93" t="s">
        <v>33</v>
      </c>
      <c r="E49" s="74" t="str">
        <f t="shared" si="1"/>
        <v>3B_BFVBD0-500km</v>
      </c>
      <c r="F49" s="86"/>
      <c r="G49" s="98"/>
      <c r="H49" s="219">
        <v>5.2</v>
      </c>
      <c r="I49" s="217">
        <f>IF($L$14=0,0,
IF('0. Installation'!$B$2="Cogénération",
H49*$L$15/($L$15+273.15)/($L$13+$L$14*$L$15/($L$15+273.15)),H49/$L$14))</f>
        <v>0</v>
      </c>
      <c r="J49" s="219">
        <f t="shared" si="9"/>
        <v>0</v>
      </c>
      <c r="K49" s="135">
        <f t="shared" si="11"/>
        <v>0</v>
      </c>
      <c r="L49" s="135">
        <f t="shared" si="10"/>
        <v>0</v>
      </c>
      <c r="M49" s="220">
        <v>0</v>
      </c>
      <c r="N49" s="220">
        <v>0.8</v>
      </c>
      <c r="O49" s="220">
        <v>3.8</v>
      </c>
      <c r="P49" s="220">
        <v>0.5</v>
      </c>
      <c r="Q49" s="171"/>
    </row>
    <row r="50" spans="1:17">
      <c r="A50" s="359"/>
      <c r="B50" s="94"/>
      <c r="C50" s="73" t="s">
        <v>49</v>
      </c>
      <c r="D50" s="74" t="s">
        <v>34</v>
      </c>
      <c r="E50" s="74" t="str">
        <f t="shared" si="1"/>
        <v>3B_BFVBD500-2 500km</v>
      </c>
      <c r="F50" s="86"/>
      <c r="G50" s="98"/>
      <c r="H50" s="217">
        <v>7.4</v>
      </c>
      <c r="I50" s="217">
        <f>IF($L$14=0,0,
IF('0. Installation'!$B$2="Cogénération",
H50*$L$15/($L$15+273.15)/($L$13+$L$14*$L$15/($L$15+273.15)),H50/$L$14))</f>
        <v>0</v>
      </c>
      <c r="J50" s="217">
        <f t="shared" si="9"/>
        <v>0</v>
      </c>
      <c r="K50" s="88">
        <f t="shared" si="11"/>
        <v>0</v>
      </c>
      <c r="L50" s="88">
        <f t="shared" si="10"/>
        <v>0</v>
      </c>
      <c r="M50" s="220">
        <v>0</v>
      </c>
      <c r="N50" s="220">
        <v>0.8</v>
      </c>
      <c r="O50" s="220">
        <v>6.1</v>
      </c>
      <c r="P50" s="220">
        <v>0.5</v>
      </c>
      <c r="Q50" s="171"/>
    </row>
    <row r="51" spans="1:17">
      <c r="A51" s="359"/>
      <c r="B51" s="94"/>
      <c r="C51" s="73" t="s">
        <v>49</v>
      </c>
      <c r="D51" s="74" t="s">
        <v>35</v>
      </c>
      <c r="E51" s="74" t="str">
        <f t="shared" si="1"/>
        <v>3B_BFVBD2 500-10 000km</v>
      </c>
      <c r="F51" s="86"/>
      <c r="G51" s="98"/>
      <c r="H51" s="217">
        <v>13</v>
      </c>
      <c r="I51" s="217">
        <f>IF($L$14=0,0,
IF('0. Installation'!$B$2="Cogénération",
H51*$L$15/($L$15+273.15)/($L$13+$L$14*$L$15/($L$15+273.15)),H51/$L$14))</f>
        <v>0</v>
      </c>
      <c r="J51" s="217">
        <f t="shared" si="9"/>
        <v>0</v>
      </c>
      <c r="K51" s="88">
        <f t="shared" si="11"/>
        <v>0</v>
      </c>
      <c r="L51" s="88">
        <f t="shared" si="10"/>
        <v>0</v>
      </c>
      <c r="M51" s="220">
        <v>0</v>
      </c>
      <c r="N51" s="220">
        <v>0.8</v>
      </c>
      <c r="O51" s="220">
        <v>11.7</v>
      </c>
      <c r="P51" s="220">
        <v>0.5</v>
      </c>
      <c r="Q51" s="171"/>
    </row>
    <row r="52" spans="1:17" ht="15" thickBot="1">
      <c r="A52" s="359"/>
      <c r="B52" s="95"/>
      <c r="C52" s="137" t="s">
        <v>49</v>
      </c>
      <c r="D52" s="80" t="s">
        <v>36</v>
      </c>
      <c r="E52" s="80" t="str">
        <f t="shared" si="1"/>
        <v>3B_BFVBDplus de 10 000km</v>
      </c>
      <c r="F52" s="91"/>
      <c r="G52" s="99"/>
      <c r="H52" s="218">
        <v>23.5</v>
      </c>
      <c r="I52" s="217">
        <f>IF($L$14=0,0,
IF('0. Installation'!$B$2="Cogénération",
H52*$L$15/($L$15+273.15)/($L$13+$L$14*$L$15/($L$15+273.15)),H52/$L$14))</f>
        <v>0</v>
      </c>
      <c r="J52" s="218">
        <f t="shared" si="9"/>
        <v>0</v>
      </c>
      <c r="K52" s="136">
        <f t="shared" si="11"/>
        <v>0</v>
      </c>
      <c r="L52" s="136">
        <f t="shared" si="10"/>
        <v>0</v>
      </c>
      <c r="M52" s="221">
        <v>0</v>
      </c>
      <c r="N52" s="221">
        <v>0.8</v>
      </c>
      <c r="O52" s="221">
        <v>22.2</v>
      </c>
      <c r="P52" s="221">
        <v>0.5</v>
      </c>
      <c r="Q52" s="172"/>
    </row>
    <row r="53" spans="1:17" ht="43.8" thickTop="1">
      <c r="A53" s="359"/>
      <c r="B53" s="94" t="s">
        <v>215</v>
      </c>
      <c r="C53" s="73" t="s">
        <v>50</v>
      </c>
      <c r="D53" s="93" t="s">
        <v>33</v>
      </c>
      <c r="E53" s="74" t="str">
        <f t="shared" si="1"/>
        <v>3C_BFVBD0-500km</v>
      </c>
      <c r="F53" s="86"/>
      <c r="G53" s="98"/>
      <c r="H53" s="219">
        <v>5.2</v>
      </c>
      <c r="I53" s="217">
        <f>IF($L$14=0,0,
IF('0. Installation'!$B$2="Cogénération",
H53*$L$15/($L$15+273.15)/($L$13+$L$14*$L$15/($L$15+273.15)),H53/$L$14))</f>
        <v>0</v>
      </c>
      <c r="J53" s="219">
        <f t="shared" si="9"/>
        <v>0</v>
      </c>
      <c r="K53" s="135">
        <f t="shared" si="11"/>
        <v>0</v>
      </c>
      <c r="L53" s="135">
        <f t="shared" si="10"/>
        <v>0</v>
      </c>
      <c r="M53" s="220">
        <v>0</v>
      </c>
      <c r="N53" s="220">
        <v>0.8</v>
      </c>
      <c r="O53" s="220">
        <v>3.8</v>
      </c>
      <c r="P53" s="220">
        <v>0.5</v>
      </c>
      <c r="Q53" s="171"/>
    </row>
    <row r="54" spans="1:17">
      <c r="A54" s="359"/>
      <c r="B54" s="94"/>
      <c r="C54" s="73" t="s">
        <v>50</v>
      </c>
      <c r="D54" s="74" t="s">
        <v>34</v>
      </c>
      <c r="E54" s="74" t="str">
        <f t="shared" si="1"/>
        <v>3C_BFVBD500-2 500km</v>
      </c>
      <c r="F54" s="86"/>
      <c r="G54" s="98"/>
      <c r="H54" s="217">
        <v>7.4</v>
      </c>
      <c r="I54" s="217">
        <f>IF($L$14=0,0,
IF('0. Installation'!$B$2="Cogénération",
H54*$L$15/($L$15+273.15)/($L$13+$L$14*$L$15/($L$15+273.15)),H54/$L$14))</f>
        <v>0</v>
      </c>
      <c r="J54" s="217">
        <f t="shared" si="9"/>
        <v>0</v>
      </c>
      <c r="K54" s="88">
        <f t="shared" si="11"/>
        <v>0</v>
      </c>
      <c r="L54" s="88">
        <f t="shared" si="10"/>
        <v>0</v>
      </c>
      <c r="M54" s="220">
        <v>0</v>
      </c>
      <c r="N54" s="220">
        <v>0.8</v>
      </c>
      <c r="O54" s="220">
        <v>6.1</v>
      </c>
      <c r="P54" s="220">
        <v>0.5</v>
      </c>
      <c r="Q54" s="171"/>
    </row>
    <row r="55" spans="1:17">
      <c r="A55" s="359"/>
      <c r="B55" s="94"/>
      <c r="C55" s="73" t="s">
        <v>50</v>
      </c>
      <c r="D55" s="74" t="s">
        <v>35</v>
      </c>
      <c r="E55" s="74" t="str">
        <f t="shared" si="1"/>
        <v>3C_BFVBD2 500-10 000km</v>
      </c>
      <c r="F55" s="86"/>
      <c r="G55" s="98"/>
      <c r="H55" s="217">
        <v>13</v>
      </c>
      <c r="I55" s="217">
        <f>IF($L$14=0,0,
IF('0. Installation'!$B$2="Cogénération",
H55*$L$15/($L$15+273.15)/($L$13+$L$14*$L$15/($L$15+273.15)),H55/$L$14))</f>
        <v>0</v>
      </c>
      <c r="J55" s="217">
        <f t="shared" si="9"/>
        <v>0</v>
      </c>
      <c r="K55" s="88">
        <f t="shared" si="11"/>
        <v>0</v>
      </c>
      <c r="L55" s="88">
        <f t="shared" si="10"/>
        <v>0</v>
      </c>
      <c r="M55" s="220">
        <v>0</v>
      </c>
      <c r="N55" s="220">
        <v>0.8</v>
      </c>
      <c r="O55" s="220">
        <v>11.7</v>
      </c>
      <c r="P55" s="220">
        <v>0.5</v>
      </c>
      <c r="Q55" s="171"/>
    </row>
    <row r="56" spans="1:17" ht="15" thickBot="1">
      <c r="A56" s="359"/>
      <c r="B56" s="95"/>
      <c r="C56" s="73" t="s">
        <v>50</v>
      </c>
      <c r="D56" s="80" t="s">
        <v>36</v>
      </c>
      <c r="E56" s="80" t="str">
        <f t="shared" si="1"/>
        <v>3C_BFVBDplus de 10 000km</v>
      </c>
      <c r="F56" s="91"/>
      <c r="G56" s="99"/>
      <c r="H56" s="218">
        <v>23.5</v>
      </c>
      <c r="I56" s="217">
        <f>IF($L$14=0,0,
IF('0. Installation'!$B$2="Cogénération",
H56*$L$15/($L$15+273.15)/($L$13+$L$14*$L$15/($L$15+273.15)),H56/$L$14))</f>
        <v>0</v>
      </c>
      <c r="J56" s="218">
        <f t="shared" si="9"/>
        <v>0</v>
      </c>
      <c r="K56" s="136">
        <f t="shared" si="11"/>
        <v>0</v>
      </c>
      <c r="L56" s="136">
        <f t="shared" si="10"/>
        <v>0</v>
      </c>
      <c r="M56" s="221">
        <v>0</v>
      </c>
      <c r="N56" s="221">
        <v>0.8</v>
      </c>
      <c r="O56" s="221">
        <v>22.2</v>
      </c>
      <c r="P56" s="221">
        <v>0.5</v>
      </c>
      <c r="Q56" s="172"/>
    </row>
    <row r="57" spans="1:17" ht="15" thickTop="1">
      <c r="A57" s="355" t="s">
        <v>51</v>
      </c>
      <c r="B57" s="100" t="s">
        <v>216</v>
      </c>
      <c r="C57" s="138" t="s">
        <v>52</v>
      </c>
      <c r="D57" s="74" t="s">
        <v>33</v>
      </c>
      <c r="E57" s="74" t="str">
        <f t="shared" si="1"/>
        <v>4A_GR / C_10-500km</v>
      </c>
      <c r="F57" s="75">
        <v>0.69</v>
      </c>
      <c r="G57" s="75">
        <v>0.55000000000000004</v>
      </c>
      <c r="H57" s="76"/>
      <c r="I57" s="76"/>
      <c r="J57" s="76"/>
      <c r="K57" s="77"/>
      <c r="L57" s="96"/>
      <c r="M57" s="79">
        <v>0</v>
      </c>
      <c r="N57" s="79">
        <v>17.2</v>
      </c>
      <c r="O57" s="79">
        <v>3.3</v>
      </c>
      <c r="P57" s="79">
        <v>0.3</v>
      </c>
      <c r="Q57" s="171"/>
    </row>
    <row r="58" spans="1:17">
      <c r="A58" s="355"/>
      <c r="B58" s="356" t="s">
        <v>217</v>
      </c>
      <c r="C58" s="73" t="s">
        <v>52</v>
      </c>
      <c r="D58" s="74" t="s">
        <v>34</v>
      </c>
      <c r="E58" s="74" t="str">
        <f t="shared" si="1"/>
        <v>4A_GR / C_1500-2 500km</v>
      </c>
      <c r="F58" s="75">
        <v>0.7</v>
      </c>
      <c r="G58" s="75">
        <v>0.55000000000000004</v>
      </c>
      <c r="H58" s="76"/>
      <c r="I58" s="76"/>
      <c r="J58" s="76"/>
      <c r="K58" s="77"/>
      <c r="L58" s="96"/>
      <c r="M58" s="79">
        <v>0</v>
      </c>
      <c r="N58" s="79">
        <v>17.2</v>
      </c>
      <c r="O58" s="79">
        <v>3.2</v>
      </c>
      <c r="P58" s="79">
        <v>0.3</v>
      </c>
      <c r="Q58" s="171"/>
    </row>
    <row r="59" spans="1:17">
      <c r="A59" s="355"/>
      <c r="B59" s="356"/>
      <c r="C59" s="73" t="s">
        <v>52</v>
      </c>
      <c r="D59" s="74" t="s">
        <v>35</v>
      </c>
      <c r="E59" s="74" t="str">
        <f t="shared" si="1"/>
        <v>4A_GR / C_12 500-10 000km</v>
      </c>
      <c r="F59" s="75">
        <v>0.67</v>
      </c>
      <c r="G59" s="75">
        <v>0.51</v>
      </c>
      <c r="H59" s="76"/>
      <c r="I59" s="76"/>
      <c r="J59" s="76"/>
      <c r="K59" s="77"/>
      <c r="L59" s="96"/>
      <c r="M59" s="79">
        <v>0</v>
      </c>
      <c r="N59" s="79">
        <v>17.2</v>
      </c>
      <c r="O59" s="79">
        <v>5</v>
      </c>
      <c r="P59" s="79">
        <v>0.3</v>
      </c>
      <c r="Q59" s="171"/>
    </row>
    <row r="60" spans="1:17" ht="15" thickBot="1">
      <c r="A60" s="355"/>
      <c r="B60" s="357"/>
      <c r="C60" s="137" t="s">
        <v>52</v>
      </c>
      <c r="D60" s="80" t="s">
        <v>36</v>
      </c>
      <c r="E60" s="74" t="str">
        <f t="shared" si="1"/>
        <v>4A_GR / C_1plus de 10 000km</v>
      </c>
      <c r="F60" s="81">
        <v>0.61</v>
      </c>
      <c r="G60" s="81">
        <v>0.42</v>
      </c>
      <c r="H60" s="82"/>
      <c r="I60" s="82"/>
      <c r="J60" s="82"/>
      <c r="K60" s="83"/>
      <c r="L60" s="97"/>
      <c r="M60" s="133">
        <v>0</v>
      </c>
      <c r="N60" s="133">
        <v>17.2</v>
      </c>
      <c r="O60" s="133">
        <v>9.1999999999999993</v>
      </c>
      <c r="P60" s="133">
        <v>0.3</v>
      </c>
      <c r="Q60" s="172"/>
    </row>
    <row r="61" spans="1:17" ht="15" thickTop="1">
      <c r="A61" s="355"/>
      <c r="B61" s="100" t="s">
        <v>216</v>
      </c>
      <c r="C61" s="73" t="s">
        <v>54</v>
      </c>
      <c r="D61" s="74" t="s">
        <v>33</v>
      </c>
      <c r="E61" s="93" t="str">
        <f t="shared" si="1"/>
        <v>4A_GR / C_20-500km</v>
      </c>
      <c r="F61" s="75">
        <v>0.84</v>
      </c>
      <c r="G61" s="75">
        <v>0.76</v>
      </c>
      <c r="H61" s="76"/>
      <c r="I61" s="76"/>
      <c r="J61" s="76"/>
      <c r="K61" s="77"/>
      <c r="L61" s="96"/>
      <c r="M61" s="79">
        <v>0</v>
      </c>
      <c r="N61" s="79">
        <v>7.2</v>
      </c>
      <c r="O61" s="79">
        <v>3.4</v>
      </c>
      <c r="P61" s="79">
        <v>0.3</v>
      </c>
      <c r="Q61" s="171"/>
    </row>
    <row r="62" spans="1:17">
      <c r="A62" s="355"/>
      <c r="B62" s="356" t="s">
        <v>218</v>
      </c>
      <c r="C62" s="73" t="s">
        <v>54</v>
      </c>
      <c r="D62" s="74" t="s">
        <v>34</v>
      </c>
      <c r="E62" s="74" t="str">
        <f t="shared" si="1"/>
        <v>4A_GR / C_2500-2 500km</v>
      </c>
      <c r="F62" s="75">
        <v>0.84</v>
      </c>
      <c r="G62" s="75">
        <v>0.77</v>
      </c>
      <c r="H62" s="76"/>
      <c r="I62" s="76"/>
      <c r="J62" s="76"/>
      <c r="K62" s="77"/>
      <c r="L62" s="96"/>
      <c r="M62" s="79">
        <v>0</v>
      </c>
      <c r="N62" s="79">
        <v>7.2</v>
      </c>
      <c r="O62" s="79">
        <v>3.3</v>
      </c>
      <c r="P62" s="79">
        <v>0.3</v>
      </c>
      <c r="Q62" s="171"/>
    </row>
    <row r="63" spans="1:17">
      <c r="A63" s="355"/>
      <c r="B63" s="356"/>
      <c r="C63" s="73" t="s">
        <v>54</v>
      </c>
      <c r="D63" s="74" t="s">
        <v>35</v>
      </c>
      <c r="E63" s="74" t="str">
        <f t="shared" si="1"/>
        <v>4A_GR / C_22 500-10 000km</v>
      </c>
      <c r="F63" s="75">
        <v>0.82</v>
      </c>
      <c r="G63" s="75">
        <v>0.73</v>
      </c>
      <c r="H63" s="76"/>
      <c r="I63" s="76"/>
      <c r="J63" s="76"/>
      <c r="K63" s="77"/>
      <c r="L63" s="96"/>
      <c r="M63" s="79">
        <v>0</v>
      </c>
      <c r="N63" s="79">
        <v>7.2</v>
      </c>
      <c r="O63" s="79">
        <v>5.0999999999999996</v>
      </c>
      <c r="P63" s="79">
        <v>0.3</v>
      </c>
      <c r="Q63" s="171"/>
    </row>
    <row r="64" spans="1:17" ht="15" thickBot="1">
      <c r="A64" s="355"/>
      <c r="B64" s="357"/>
      <c r="C64" s="73" t="s">
        <v>54</v>
      </c>
      <c r="D64" s="80" t="s">
        <v>36</v>
      </c>
      <c r="E64" s="74" t="str">
        <f t="shared" si="1"/>
        <v>4A_GR / C_2plus de 10 000km</v>
      </c>
      <c r="F64" s="81">
        <v>0.75</v>
      </c>
      <c r="G64" s="81">
        <v>0.63</v>
      </c>
      <c r="H64" s="82"/>
      <c r="I64" s="82"/>
      <c r="J64" s="82"/>
      <c r="K64" s="83"/>
      <c r="L64" s="97"/>
      <c r="M64" s="133">
        <v>0</v>
      </c>
      <c r="N64" s="133">
        <v>7.2</v>
      </c>
      <c r="O64" s="133">
        <v>9.3000000000000007</v>
      </c>
      <c r="P64" s="133">
        <v>0.3</v>
      </c>
      <c r="Q64" s="172"/>
    </row>
    <row r="65" spans="1:17" ht="15" thickTop="1">
      <c r="A65" s="355"/>
      <c r="B65" s="100" t="s">
        <v>216</v>
      </c>
      <c r="C65" s="138" t="s">
        <v>56</v>
      </c>
      <c r="D65" s="74" t="s">
        <v>33</v>
      </c>
      <c r="E65" s="93" t="str">
        <f t="shared" si="1"/>
        <v>4A_GR / C_30-500km</v>
      </c>
      <c r="F65" s="75">
        <v>0.94</v>
      </c>
      <c r="G65" s="75">
        <v>0.91</v>
      </c>
      <c r="H65" s="76"/>
      <c r="I65" s="76"/>
      <c r="J65" s="76"/>
      <c r="K65" s="77"/>
      <c r="L65" s="96"/>
      <c r="M65" s="79">
        <v>0</v>
      </c>
      <c r="N65" s="79">
        <v>0.3</v>
      </c>
      <c r="O65" s="79">
        <v>3.4</v>
      </c>
      <c r="P65" s="79">
        <v>0.3</v>
      </c>
      <c r="Q65" s="171"/>
    </row>
    <row r="66" spans="1:17">
      <c r="A66" s="355"/>
      <c r="B66" s="356" t="s">
        <v>219</v>
      </c>
      <c r="C66" s="73" t="s">
        <v>56</v>
      </c>
      <c r="D66" s="74" t="s">
        <v>34</v>
      </c>
      <c r="E66" s="74" t="str">
        <f t="shared" si="1"/>
        <v>4A_GR / C_3500-2 500km</v>
      </c>
      <c r="F66" s="75">
        <v>0.94</v>
      </c>
      <c r="G66" s="75">
        <v>0.92</v>
      </c>
      <c r="H66" s="76"/>
      <c r="I66" s="76"/>
      <c r="J66" s="76"/>
      <c r="K66" s="77"/>
      <c r="L66" s="96"/>
      <c r="M66" s="79">
        <v>0</v>
      </c>
      <c r="N66" s="79">
        <v>0.3</v>
      </c>
      <c r="O66" s="79">
        <v>3.3</v>
      </c>
      <c r="P66" s="79">
        <v>0.3</v>
      </c>
      <c r="Q66" s="171"/>
    </row>
    <row r="67" spans="1:17">
      <c r="A67" s="355"/>
      <c r="B67" s="356"/>
      <c r="C67" s="73" t="s">
        <v>56</v>
      </c>
      <c r="D67" s="74" t="s">
        <v>35</v>
      </c>
      <c r="E67" s="74" t="str">
        <f t="shared" si="1"/>
        <v>4A_GR / C_32 500-10 000km</v>
      </c>
      <c r="F67" s="75">
        <v>0.92</v>
      </c>
      <c r="G67" s="75">
        <v>0.88</v>
      </c>
      <c r="H67" s="76"/>
      <c r="I67" s="76"/>
      <c r="J67" s="76"/>
      <c r="K67" s="77"/>
      <c r="L67" s="96"/>
      <c r="M67" s="79">
        <v>0</v>
      </c>
      <c r="N67" s="79">
        <v>0.3</v>
      </c>
      <c r="O67" s="79">
        <v>5.0999999999999996</v>
      </c>
      <c r="P67" s="79">
        <v>0.3</v>
      </c>
      <c r="Q67" s="171"/>
    </row>
    <row r="68" spans="1:17" ht="15" thickBot="1">
      <c r="A68" s="355"/>
      <c r="B68" s="357"/>
      <c r="C68" s="73" t="s">
        <v>56</v>
      </c>
      <c r="D68" s="80" t="s">
        <v>36</v>
      </c>
      <c r="E68" s="74" t="str">
        <f t="shared" si="1"/>
        <v>4A_GR / C_3plus de 10 000km</v>
      </c>
      <c r="F68" s="81">
        <v>0.88</v>
      </c>
      <c r="G68" s="81">
        <v>0.78</v>
      </c>
      <c r="H68" s="82"/>
      <c r="I68" s="82"/>
      <c r="J68" s="82"/>
      <c r="K68" s="83"/>
      <c r="L68" s="97"/>
      <c r="M68" s="133">
        <v>0</v>
      </c>
      <c r="N68" s="133">
        <v>0.3</v>
      </c>
      <c r="O68" s="133">
        <v>9.3000000000000007</v>
      </c>
      <c r="P68" s="133">
        <v>0.3</v>
      </c>
      <c r="Q68" s="172"/>
    </row>
    <row r="69" spans="1:17" ht="15" thickTop="1">
      <c r="A69" s="355"/>
      <c r="B69" s="100" t="s">
        <v>220</v>
      </c>
      <c r="C69" s="138" t="s">
        <v>57</v>
      </c>
      <c r="D69" s="74" t="s">
        <v>33</v>
      </c>
      <c r="E69" s="93" t="str">
        <f t="shared" si="1"/>
        <v>4A_GR / F_10-500km</v>
      </c>
      <c r="F69" s="75">
        <v>0.49</v>
      </c>
      <c r="G69" s="75">
        <v>0.24</v>
      </c>
      <c r="H69" s="76"/>
      <c r="I69" s="76"/>
      <c r="J69" s="76"/>
      <c r="K69" s="77"/>
      <c r="L69" s="96"/>
      <c r="M69" s="79">
        <v>0</v>
      </c>
      <c r="N69" s="79">
        <v>30.9</v>
      </c>
      <c r="O69" s="79">
        <v>3.5</v>
      </c>
      <c r="P69" s="79">
        <v>0.3</v>
      </c>
      <c r="Q69" s="171"/>
    </row>
    <row r="70" spans="1:17">
      <c r="A70" s="355"/>
      <c r="B70" s="356" t="s">
        <v>217</v>
      </c>
      <c r="C70" s="73" t="s">
        <v>57</v>
      </c>
      <c r="D70" s="74" t="s">
        <v>34</v>
      </c>
      <c r="E70" s="74" t="str">
        <f t="shared" si="1"/>
        <v>4A_GR / F_1500-2 500km</v>
      </c>
      <c r="F70" s="75">
        <v>0.49</v>
      </c>
      <c r="G70" s="75">
        <v>0.25</v>
      </c>
      <c r="H70" s="76"/>
      <c r="I70" s="76"/>
      <c r="J70" s="76"/>
      <c r="K70" s="77"/>
      <c r="L70" s="96"/>
      <c r="M70" s="79">
        <v>0</v>
      </c>
      <c r="N70" s="79">
        <v>30.9</v>
      </c>
      <c r="O70" s="79">
        <v>3.3</v>
      </c>
      <c r="P70" s="79">
        <v>0.3</v>
      </c>
      <c r="Q70" s="171"/>
    </row>
    <row r="71" spans="1:17">
      <c r="A71" s="355"/>
      <c r="B71" s="356"/>
      <c r="C71" s="73" t="s">
        <v>57</v>
      </c>
      <c r="D71" s="74" t="s">
        <v>35</v>
      </c>
      <c r="E71" s="74" t="str">
        <f t="shared" si="1"/>
        <v>4A_GR / F_12 500-10 000km</v>
      </c>
      <c r="F71" s="75">
        <v>0.47</v>
      </c>
      <c r="G71" s="75">
        <v>0.21</v>
      </c>
      <c r="H71" s="76"/>
      <c r="I71" s="76"/>
      <c r="J71" s="76"/>
      <c r="K71" s="77"/>
      <c r="L71" s="96"/>
      <c r="M71" s="79">
        <v>0</v>
      </c>
      <c r="N71" s="79">
        <v>30.9</v>
      </c>
      <c r="O71" s="79">
        <v>5.2</v>
      </c>
      <c r="P71" s="79">
        <v>0.3</v>
      </c>
      <c r="Q71" s="171"/>
    </row>
    <row r="72" spans="1:17" ht="15" thickBot="1">
      <c r="A72" s="355"/>
      <c r="B72" s="357"/>
      <c r="C72" s="73" t="s">
        <v>57</v>
      </c>
      <c r="D72" s="80" t="s">
        <v>36</v>
      </c>
      <c r="E72" s="74" t="str">
        <f t="shared" si="1"/>
        <v>4A_GR / F_1plus de 10 000km</v>
      </c>
      <c r="F72" s="81">
        <v>0.4</v>
      </c>
      <c r="G72" s="81">
        <v>0.11</v>
      </c>
      <c r="H72" s="82"/>
      <c r="I72" s="82"/>
      <c r="J72" s="82"/>
      <c r="K72" s="83"/>
      <c r="L72" s="97"/>
      <c r="M72" s="133">
        <v>0</v>
      </c>
      <c r="N72" s="133">
        <v>30.9</v>
      </c>
      <c r="O72" s="133">
        <v>9.5</v>
      </c>
      <c r="P72" s="133">
        <v>0.3</v>
      </c>
      <c r="Q72" s="172"/>
    </row>
    <row r="73" spans="1:17" ht="15" thickTop="1">
      <c r="A73" s="355"/>
      <c r="B73" s="100" t="s">
        <v>220</v>
      </c>
      <c r="C73" s="138" t="s">
        <v>59</v>
      </c>
      <c r="D73" s="74" t="s">
        <v>33</v>
      </c>
      <c r="E73" s="93" t="str">
        <f t="shared" si="1"/>
        <v>4A_GR / F_20-500km</v>
      </c>
      <c r="F73" s="75">
        <v>0.72</v>
      </c>
      <c r="G73" s="75">
        <v>0.59</v>
      </c>
      <c r="H73" s="76"/>
      <c r="I73" s="76"/>
      <c r="J73" s="76"/>
      <c r="K73" s="77"/>
      <c r="L73" s="96"/>
      <c r="M73" s="79">
        <v>0</v>
      </c>
      <c r="N73" s="79">
        <v>15</v>
      </c>
      <c r="O73" s="79">
        <v>3.6</v>
      </c>
      <c r="P73" s="79">
        <v>0.3</v>
      </c>
      <c r="Q73" s="171"/>
    </row>
    <row r="74" spans="1:17">
      <c r="A74" s="355"/>
      <c r="B74" s="356" t="s">
        <v>218</v>
      </c>
      <c r="C74" s="73" t="s">
        <v>59</v>
      </c>
      <c r="D74" s="74" t="s">
        <v>34</v>
      </c>
      <c r="E74" s="74" t="str">
        <f t="shared" si="1"/>
        <v>4A_GR / F_2500-2 500km</v>
      </c>
      <c r="F74" s="75">
        <v>0.72</v>
      </c>
      <c r="G74" s="75">
        <v>0.59</v>
      </c>
      <c r="H74" s="76"/>
      <c r="I74" s="76"/>
      <c r="J74" s="76"/>
      <c r="K74" s="77"/>
      <c r="L74" s="96"/>
      <c r="M74" s="79">
        <v>0</v>
      </c>
      <c r="N74" s="79">
        <v>15</v>
      </c>
      <c r="O74" s="79">
        <v>3.5</v>
      </c>
      <c r="P74" s="79">
        <v>0.3</v>
      </c>
      <c r="Q74" s="171"/>
    </row>
    <row r="75" spans="1:17">
      <c r="A75" s="355"/>
      <c r="B75" s="356"/>
      <c r="C75" s="73" t="s">
        <v>59</v>
      </c>
      <c r="D75" s="74" t="s">
        <v>35</v>
      </c>
      <c r="E75" s="74" t="str">
        <f t="shared" si="1"/>
        <v>4A_GR / F_22 500-10 000km</v>
      </c>
      <c r="F75" s="75">
        <v>0.7</v>
      </c>
      <c r="G75" s="75">
        <v>0.55000000000000004</v>
      </c>
      <c r="H75" s="76"/>
      <c r="I75" s="76"/>
      <c r="J75" s="76"/>
      <c r="K75" s="77"/>
      <c r="L75" s="96"/>
      <c r="M75" s="79">
        <v>0</v>
      </c>
      <c r="N75" s="79">
        <v>15</v>
      </c>
      <c r="O75" s="79">
        <v>5.3</v>
      </c>
      <c r="P75" s="79">
        <v>0.3</v>
      </c>
      <c r="Q75" s="171"/>
    </row>
    <row r="76" spans="1:17" ht="15" thickBot="1">
      <c r="A76" s="355"/>
      <c r="B76" s="357"/>
      <c r="C76" s="73" t="s">
        <v>59</v>
      </c>
      <c r="D76" s="80" t="s">
        <v>36</v>
      </c>
      <c r="E76" s="74" t="str">
        <f t="shared" si="1"/>
        <v>4A_GR / F_2plus de 10 000km</v>
      </c>
      <c r="F76" s="81">
        <v>0.63</v>
      </c>
      <c r="G76" s="81">
        <v>0.45</v>
      </c>
      <c r="H76" s="82"/>
      <c r="I76" s="82"/>
      <c r="J76" s="82"/>
      <c r="K76" s="83"/>
      <c r="L76" s="97"/>
      <c r="M76" s="133">
        <v>0</v>
      </c>
      <c r="N76" s="133">
        <v>15</v>
      </c>
      <c r="O76" s="133">
        <v>9.8000000000000007</v>
      </c>
      <c r="P76" s="133">
        <v>0.3</v>
      </c>
      <c r="Q76" s="172"/>
    </row>
    <row r="77" spans="1:17" ht="15" thickTop="1">
      <c r="A77" s="355"/>
      <c r="B77" s="100" t="s">
        <v>220</v>
      </c>
      <c r="C77" s="138" t="s">
        <v>61</v>
      </c>
      <c r="D77" s="74" t="s">
        <v>33</v>
      </c>
      <c r="E77" s="93" t="str">
        <f t="shared" si="1"/>
        <v>4A_GR / F_30-500km</v>
      </c>
      <c r="F77" s="75">
        <v>0.9</v>
      </c>
      <c r="G77" s="75">
        <v>0.85</v>
      </c>
      <c r="H77" s="76"/>
      <c r="I77" s="76"/>
      <c r="J77" s="76"/>
      <c r="K77" s="77"/>
      <c r="L77" s="96"/>
      <c r="M77" s="79">
        <v>0</v>
      </c>
      <c r="N77" s="79">
        <v>2.8</v>
      </c>
      <c r="O77" s="79">
        <v>3.6</v>
      </c>
      <c r="P77" s="79">
        <v>0.3</v>
      </c>
      <c r="Q77" s="171"/>
    </row>
    <row r="78" spans="1:17">
      <c r="A78" s="355"/>
      <c r="B78" s="356" t="s">
        <v>219</v>
      </c>
      <c r="C78" s="73" t="s">
        <v>61</v>
      </c>
      <c r="D78" s="74" t="s">
        <v>34</v>
      </c>
      <c r="E78" s="74" t="str">
        <f t="shared" si="1"/>
        <v>4A_GR / F_3500-2 500km</v>
      </c>
      <c r="F78" s="75">
        <v>0.9</v>
      </c>
      <c r="G78" s="75">
        <v>0.86</v>
      </c>
      <c r="H78" s="76"/>
      <c r="I78" s="76"/>
      <c r="J78" s="76"/>
      <c r="K78" s="77"/>
      <c r="L78" s="96"/>
      <c r="M78" s="79">
        <v>0</v>
      </c>
      <c r="N78" s="79">
        <v>2.8</v>
      </c>
      <c r="O78" s="79">
        <v>3.5</v>
      </c>
      <c r="P78" s="79">
        <v>0.3</v>
      </c>
      <c r="Q78" s="171"/>
    </row>
    <row r="79" spans="1:17">
      <c r="A79" s="355"/>
      <c r="B79" s="356"/>
      <c r="C79" s="73" t="s">
        <v>61</v>
      </c>
      <c r="D79" s="74" t="s">
        <v>35</v>
      </c>
      <c r="E79" s="74" t="str">
        <f t="shared" si="1"/>
        <v>4A_GR / F_32 500-10 000km</v>
      </c>
      <c r="F79" s="75">
        <v>0.88</v>
      </c>
      <c r="G79" s="75">
        <v>0.81</v>
      </c>
      <c r="H79" s="76"/>
      <c r="I79" s="76"/>
      <c r="J79" s="76"/>
      <c r="K79" s="77"/>
      <c r="L79" s="96"/>
      <c r="M79" s="79">
        <v>0</v>
      </c>
      <c r="N79" s="79">
        <v>2.8</v>
      </c>
      <c r="O79" s="79">
        <v>5.3</v>
      </c>
      <c r="P79" s="79">
        <v>0.3</v>
      </c>
      <c r="Q79" s="171"/>
    </row>
    <row r="80" spans="1:17" ht="15" thickBot="1">
      <c r="A80" s="355"/>
      <c r="B80" s="357"/>
      <c r="C80" s="137" t="s">
        <v>61</v>
      </c>
      <c r="D80" s="80" t="s">
        <v>36</v>
      </c>
      <c r="E80" s="74" t="str">
        <f t="shared" si="1"/>
        <v>4A_GR / F_3plus de 10 000km</v>
      </c>
      <c r="F80" s="81">
        <v>0.81</v>
      </c>
      <c r="G80" s="81">
        <v>0.72</v>
      </c>
      <c r="H80" s="82"/>
      <c r="I80" s="82"/>
      <c r="J80" s="82"/>
      <c r="K80" s="83"/>
      <c r="L80" s="97"/>
      <c r="M80" s="133">
        <v>0</v>
      </c>
      <c r="N80" s="133">
        <v>2.8</v>
      </c>
      <c r="O80" s="133">
        <v>9.8000000000000007</v>
      </c>
      <c r="P80" s="133">
        <v>0.3</v>
      </c>
      <c r="Q80" s="172"/>
    </row>
    <row r="81" spans="1:17" ht="15" thickTop="1">
      <c r="A81" s="364" t="s">
        <v>231</v>
      </c>
      <c r="B81" s="178" t="s">
        <v>62</v>
      </c>
      <c r="C81" s="124"/>
      <c r="D81" s="125" t="s">
        <v>63</v>
      </c>
      <c r="E81" s="125" t="str">
        <f>B81&amp;D81</f>
        <v>Liqueur noiresur site</v>
      </c>
      <c r="F81" s="126"/>
      <c r="G81" s="126"/>
      <c r="H81" s="87">
        <v>1.9</v>
      </c>
      <c r="I81" s="87">
        <f>IF($L$14=0,0,
IF('0. Installation'!$B$2="Cogénération",
H81*$L$15/($L$15+273.15)/($L$13+$L$14*$L$15/($L$15+273.15)),H81/$L$14))</f>
        <v>0</v>
      </c>
      <c r="J81" s="87">
        <f>IF($L$13=0,0,H81/$L$13*$L$13/($L$13+$L$14*$L$15/($L$15+273.15)))</f>
        <v>0</v>
      </c>
      <c r="K81" s="88">
        <f t="shared" ref="K81:K82" si="12">IF(I81=0,0,(80-I81)/80)</f>
        <v>0</v>
      </c>
      <c r="L81" s="88">
        <f>IF(J81=0,0,IF($L$16="OUI",(212-J81)/212,(183-J81)/183))</f>
        <v>0</v>
      </c>
      <c r="M81" s="222">
        <v>0</v>
      </c>
      <c r="N81" s="223">
        <v>1.1000000000000001</v>
      </c>
      <c r="O81" s="223">
        <v>0</v>
      </c>
      <c r="P81" s="223">
        <v>0.8</v>
      </c>
      <c r="Q81" s="173"/>
    </row>
    <row r="82" spans="1:17">
      <c r="A82" s="365"/>
      <c r="B82" s="179" t="s">
        <v>64</v>
      </c>
      <c r="C82" s="180"/>
      <c r="D82" s="181" t="s">
        <v>63</v>
      </c>
      <c r="E82" s="181" t="str">
        <f>B82&amp;D82</f>
        <v>Boue papetièresur site</v>
      </c>
      <c r="F82" s="182"/>
      <c r="G82" s="182"/>
      <c r="H82" s="87">
        <v>2.8</v>
      </c>
      <c r="I82" s="87">
        <f>IF($L$14=0,0,
IF('0. Installation'!$B$2="Cogénération",
H82*$L$15/($L$15+273.15)/($L$13+$L$14*$L$15/($L$15+273.15)),H82/$L$14))</f>
        <v>0</v>
      </c>
      <c r="J82" s="87">
        <f>IF($L$13=0,0,H82/$L$13*$L$13/($L$13+$L$14*$L$15/($L$15+273.15)))</f>
        <v>0</v>
      </c>
      <c r="K82" s="88">
        <f t="shared" si="12"/>
        <v>0</v>
      </c>
      <c r="L82" s="88">
        <f>IF(J82=0,0,IF($L$16="OUI",(212-J82)/212,(183-J82)/183))</f>
        <v>0</v>
      </c>
      <c r="M82" s="224">
        <v>0</v>
      </c>
      <c r="N82" s="224">
        <v>0.5</v>
      </c>
      <c r="O82" s="224">
        <v>0</v>
      </c>
      <c r="P82" s="224">
        <v>2.2999999999999998</v>
      </c>
      <c r="Q82" s="183"/>
    </row>
    <row r="83" spans="1:17" ht="15" thickBot="1">
      <c r="A83" s="119"/>
      <c r="B83" s="120"/>
      <c r="C83" s="121"/>
      <c r="D83" s="122"/>
      <c r="E83" s="122"/>
      <c r="F83" s="184"/>
      <c r="G83" s="184"/>
      <c r="H83" s="185"/>
      <c r="I83" s="185"/>
      <c r="J83" s="185"/>
      <c r="K83" s="186"/>
      <c r="L83" s="186"/>
      <c r="M83" s="175"/>
      <c r="N83" s="175"/>
      <c r="O83" s="175"/>
      <c r="P83" s="147"/>
      <c r="Q83" s="175"/>
    </row>
    <row r="84" spans="1:17" ht="52.5" customHeight="1" thickBot="1">
      <c r="A84" s="375" t="s">
        <v>265</v>
      </c>
      <c r="B84" s="376"/>
      <c r="C84" s="376"/>
      <c r="D84" s="376"/>
      <c r="E84" s="376"/>
      <c r="F84" s="376"/>
      <c r="G84" s="376"/>
      <c r="H84" s="376"/>
      <c r="I84" s="376"/>
      <c r="J84" s="376"/>
      <c r="K84" s="376"/>
      <c r="L84" s="376"/>
      <c r="M84" s="376"/>
      <c r="N84" s="376"/>
      <c r="O84" s="376"/>
      <c r="P84" s="376"/>
      <c r="Q84" s="377"/>
    </row>
    <row r="85" spans="1:17" ht="42.75" customHeight="1" thickBot="1">
      <c r="A85" s="191"/>
      <c r="B85" s="194"/>
      <c r="C85" s="195"/>
      <c r="D85" s="192"/>
      <c r="E85" s="200"/>
      <c r="F85" s="392" t="s">
        <v>202</v>
      </c>
      <c r="G85" s="393"/>
      <c r="H85" s="394"/>
      <c r="I85" s="394"/>
      <c r="J85" s="394"/>
      <c r="K85" s="394"/>
      <c r="L85" s="394"/>
      <c r="M85" s="392" t="s">
        <v>202</v>
      </c>
      <c r="N85" s="395"/>
      <c r="O85" s="395"/>
      <c r="P85" s="395"/>
      <c r="Q85" s="393"/>
    </row>
    <row r="86" spans="1:17" ht="51" customHeight="1" thickBot="1">
      <c r="A86" s="398" t="s">
        <v>201</v>
      </c>
      <c r="B86" s="399"/>
      <c r="C86" s="196" t="s">
        <v>266</v>
      </c>
      <c r="D86" s="197" t="s">
        <v>203</v>
      </c>
      <c r="E86" s="198" t="s">
        <v>204</v>
      </c>
      <c r="F86" s="193" t="s">
        <v>205</v>
      </c>
      <c r="G86" s="199" t="s">
        <v>206</v>
      </c>
      <c r="H86" s="396"/>
      <c r="I86" s="396"/>
      <c r="J86" s="396"/>
      <c r="K86" s="396"/>
      <c r="L86" s="397"/>
      <c r="M86" s="193" t="s">
        <v>209</v>
      </c>
      <c r="N86" s="193" t="s">
        <v>210</v>
      </c>
      <c r="O86" s="193" t="s">
        <v>211</v>
      </c>
      <c r="P86" s="193" t="s">
        <v>212</v>
      </c>
      <c r="Q86" s="193" t="s">
        <v>263</v>
      </c>
    </row>
    <row r="87" spans="1:17" ht="15" thickBot="1">
      <c r="A87" s="150" t="s">
        <v>254</v>
      </c>
      <c r="B87" s="151"/>
      <c r="C87" s="137"/>
      <c r="D87" s="80" t="s">
        <v>35</v>
      </c>
      <c r="E87" s="80"/>
      <c r="F87" s="81">
        <v>0.73</v>
      </c>
      <c r="G87" s="81">
        <v>0.6</v>
      </c>
      <c r="H87" s="82"/>
      <c r="I87" s="82"/>
      <c r="J87" s="82"/>
      <c r="K87" s="83"/>
      <c r="L87" s="97"/>
      <c r="M87" s="133">
        <v>4.4000000000000004</v>
      </c>
      <c r="N87" s="133">
        <v>0</v>
      </c>
      <c r="O87" s="133">
        <v>13.2</v>
      </c>
      <c r="P87" s="133">
        <v>0.5</v>
      </c>
      <c r="Q87" s="172"/>
    </row>
    <row r="88" spans="1:17" ht="30.75" customHeight="1" thickTop="1">
      <c r="A88" s="366" t="s">
        <v>255</v>
      </c>
      <c r="B88" s="148"/>
      <c r="C88" s="149"/>
      <c r="D88" s="74" t="s">
        <v>33</v>
      </c>
      <c r="E88" s="206" t="str">
        <f>A$87&amp;"/"&amp;D88</f>
        <v>Plaquette provenant de taillis à courte rotation (eucalyptus)/0-500km</v>
      </c>
      <c r="F88" s="75">
        <v>0.87</v>
      </c>
      <c r="G88" s="75">
        <v>0.81</v>
      </c>
      <c r="H88" s="76"/>
      <c r="I88" s="76"/>
      <c r="J88" s="76"/>
      <c r="K88" s="77"/>
      <c r="L88" s="96"/>
      <c r="M88" s="79">
        <v>3.9</v>
      </c>
      <c r="N88" s="79">
        <v>0</v>
      </c>
      <c r="O88" s="79">
        <v>4.2</v>
      </c>
      <c r="P88" s="79">
        <v>0.5</v>
      </c>
      <c r="Q88" s="171"/>
    </row>
    <row r="89" spans="1:17">
      <c r="A89" s="367"/>
      <c r="B89" s="356"/>
      <c r="C89" s="73"/>
      <c r="D89" s="74" t="s">
        <v>34</v>
      </c>
      <c r="E89" s="206" t="str">
        <f t="shared" ref="E89:E91" si="13">A$87&amp;"/"&amp;D89</f>
        <v>Plaquette provenant de taillis à courte rotation (eucalyptus)/500-2 500km</v>
      </c>
      <c r="F89" s="75">
        <v>0.84</v>
      </c>
      <c r="G89" s="75">
        <v>0.76</v>
      </c>
      <c r="H89" s="76"/>
      <c r="I89" s="76"/>
      <c r="J89" s="76"/>
      <c r="K89" s="77"/>
      <c r="L89" s="96"/>
      <c r="M89" s="79">
        <v>3.9</v>
      </c>
      <c r="N89" s="79">
        <v>0</v>
      </c>
      <c r="O89" s="79">
        <v>6.8</v>
      </c>
      <c r="P89" s="79">
        <v>0.5</v>
      </c>
      <c r="Q89" s="171"/>
    </row>
    <row r="90" spans="1:17">
      <c r="A90" s="367"/>
      <c r="B90" s="356"/>
      <c r="C90" s="73"/>
      <c r="D90" s="74" t="s">
        <v>35</v>
      </c>
      <c r="E90" s="206" t="str">
        <f t="shared" si="13"/>
        <v>Plaquette provenant de taillis à courte rotation (eucalyptus)/2 500-10 000km</v>
      </c>
      <c r="F90" s="75">
        <v>0.74</v>
      </c>
      <c r="G90" s="75">
        <v>0.62</v>
      </c>
      <c r="H90" s="76"/>
      <c r="I90" s="76"/>
      <c r="J90" s="76"/>
      <c r="K90" s="77"/>
      <c r="L90" s="96"/>
      <c r="M90" s="79">
        <v>3.9</v>
      </c>
      <c r="N90" s="79">
        <v>0</v>
      </c>
      <c r="O90" s="79">
        <v>13.2</v>
      </c>
      <c r="P90" s="79">
        <v>0.5</v>
      </c>
      <c r="Q90" s="171"/>
    </row>
    <row r="91" spans="1:17" ht="15" thickBot="1">
      <c r="A91" s="368"/>
      <c r="B91" s="357"/>
      <c r="C91" s="137"/>
      <c r="D91" s="80" t="s">
        <v>36</v>
      </c>
      <c r="E91" s="206" t="str">
        <f t="shared" si="13"/>
        <v>Plaquette provenant de taillis à courte rotation (eucalyptus)/plus de 10 000km</v>
      </c>
      <c r="F91" s="81">
        <v>0.56999999999999995</v>
      </c>
      <c r="G91" s="81">
        <v>0.35</v>
      </c>
      <c r="H91" s="82"/>
      <c r="I91" s="82"/>
      <c r="J91" s="82"/>
      <c r="K91" s="83"/>
      <c r="L91" s="97"/>
      <c r="M91" s="133">
        <v>3.9</v>
      </c>
      <c r="N91" s="133">
        <v>0</v>
      </c>
      <c r="O91" s="133">
        <v>25.2</v>
      </c>
      <c r="P91" s="133">
        <v>0.5</v>
      </c>
      <c r="Q91" s="172"/>
    </row>
    <row r="92" spans="1:17" ht="15" thickTop="1">
      <c r="A92" s="366" t="s">
        <v>256</v>
      </c>
      <c r="B92" s="148"/>
      <c r="C92" s="149"/>
      <c r="D92" s="74" t="s">
        <v>33</v>
      </c>
      <c r="E92" s="206" t="str">
        <f>A$92&amp;"/"&amp;D92</f>
        <v>Plaquettes forestières provenant de taillis à courte rotation (peuplier — pas de fertilisation)/0-500km</v>
      </c>
      <c r="F92" s="75">
        <v>0.9</v>
      </c>
      <c r="G92" s="75">
        <v>0.85</v>
      </c>
      <c r="H92" s="76"/>
      <c r="I92" s="76"/>
      <c r="J92" s="76"/>
      <c r="K92" s="77"/>
      <c r="L92" s="96"/>
      <c r="M92" s="79">
        <v>2.2000000000000002</v>
      </c>
      <c r="N92" s="79">
        <v>0</v>
      </c>
      <c r="O92" s="79">
        <v>4.2</v>
      </c>
      <c r="P92" s="79">
        <v>0.5</v>
      </c>
      <c r="Q92" s="171"/>
    </row>
    <row r="93" spans="1:17">
      <c r="A93" s="367"/>
      <c r="B93" s="356"/>
      <c r="C93" s="73"/>
      <c r="D93" s="74" t="s">
        <v>34</v>
      </c>
      <c r="E93" s="206" t="str">
        <f t="shared" ref="E93:E95" si="14">A$92&amp;"/"&amp;D93</f>
        <v>Plaquettes forestières provenant de taillis à courte rotation (peuplier — pas de fertilisation)/500-2 500km</v>
      </c>
      <c r="F93" s="75">
        <v>0.86</v>
      </c>
      <c r="G93" s="75">
        <v>0.79</v>
      </c>
      <c r="H93" s="76"/>
      <c r="I93" s="76"/>
      <c r="J93" s="76"/>
      <c r="K93" s="77"/>
      <c r="L93" s="96"/>
      <c r="M93" s="79">
        <v>2.2000000000000002</v>
      </c>
      <c r="N93" s="79">
        <v>0</v>
      </c>
      <c r="O93" s="79">
        <v>6.8</v>
      </c>
      <c r="P93" s="79">
        <v>0.5</v>
      </c>
      <c r="Q93" s="171"/>
    </row>
    <row r="94" spans="1:17">
      <c r="A94" s="367"/>
      <c r="B94" s="356"/>
      <c r="C94" s="73"/>
      <c r="D94" s="74" t="s">
        <v>35</v>
      </c>
      <c r="E94" s="206" t="str">
        <f t="shared" si="14"/>
        <v>Plaquettes forestières provenant de taillis à courte rotation (peuplier — pas de fertilisation)/2 500-10 000km</v>
      </c>
      <c r="F94" s="75">
        <v>0.77</v>
      </c>
      <c r="G94" s="75">
        <v>0.65</v>
      </c>
      <c r="H94" s="76"/>
      <c r="I94" s="76"/>
      <c r="J94" s="76"/>
      <c r="K94" s="77"/>
      <c r="L94" s="96"/>
      <c r="M94" s="79">
        <v>2.2000000000000002</v>
      </c>
      <c r="N94" s="79">
        <v>0</v>
      </c>
      <c r="O94" s="79">
        <v>13.2</v>
      </c>
      <c r="P94" s="79">
        <v>0.5</v>
      </c>
      <c r="Q94" s="171"/>
    </row>
    <row r="95" spans="1:17" ht="15" thickBot="1">
      <c r="A95" s="368"/>
      <c r="B95" s="357"/>
      <c r="C95" s="137"/>
      <c r="D95" s="80" t="s">
        <v>36</v>
      </c>
      <c r="E95" s="206" t="str">
        <f t="shared" si="14"/>
        <v>Plaquettes forestières provenant de taillis à courte rotation (peuplier — pas de fertilisation)/plus de 10 000km</v>
      </c>
      <c r="F95" s="81">
        <v>0.59</v>
      </c>
      <c r="G95" s="81">
        <v>0.39</v>
      </c>
      <c r="H95" s="82"/>
      <c r="I95" s="82"/>
      <c r="J95" s="82"/>
      <c r="K95" s="83"/>
      <c r="L95" s="97"/>
      <c r="M95" s="133">
        <v>2.2000000000000002</v>
      </c>
      <c r="N95" s="133">
        <v>0</v>
      </c>
      <c r="O95" s="133">
        <v>25.2</v>
      </c>
      <c r="P95" s="133">
        <v>0.5</v>
      </c>
      <c r="Q95" s="172"/>
    </row>
    <row r="96" spans="1:17" ht="15" thickTop="1">
      <c r="A96" s="366" t="s">
        <v>258</v>
      </c>
      <c r="B96" s="148"/>
      <c r="C96" s="149"/>
      <c r="D96" s="74" t="s">
        <v>33</v>
      </c>
      <c r="E96" s="206" t="str">
        <f>A$96&amp;"/"&amp;D96</f>
        <v>Plaquettes forestières issue de billons/0-500km</v>
      </c>
      <c r="F96" s="75">
        <v>0.92</v>
      </c>
      <c r="G96" s="75">
        <v>0.88</v>
      </c>
      <c r="H96" s="76"/>
      <c r="I96" s="76"/>
      <c r="J96" s="76"/>
      <c r="K96" s="77"/>
      <c r="L96" s="96"/>
      <c r="M96" s="79">
        <v>1.1000000000000001</v>
      </c>
      <c r="N96" s="79">
        <v>0.4</v>
      </c>
      <c r="O96" s="79">
        <v>3.6</v>
      </c>
      <c r="P96" s="79">
        <v>0.5</v>
      </c>
      <c r="Q96" s="171"/>
    </row>
    <row r="97" spans="1:17">
      <c r="A97" s="367"/>
      <c r="B97" s="356"/>
      <c r="C97" s="73"/>
      <c r="D97" s="74" t="s">
        <v>34</v>
      </c>
      <c r="E97" s="206" t="str">
        <f t="shared" ref="E97:E99" si="15">A$96&amp;"/"&amp;D97</f>
        <v>Plaquettes forestières issue de billons/500-2 500km</v>
      </c>
      <c r="F97" s="75">
        <v>0.88</v>
      </c>
      <c r="G97" s="75">
        <v>0.82</v>
      </c>
      <c r="H97" s="76"/>
      <c r="I97" s="76"/>
      <c r="J97" s="76"/>
      <c r="K97" s="77"/>
      <c r="L97" s="96"/>
      <c r="M97" s="79">
        <v>1.1000000000000001</v>
      </c>
      <c r="N97" s="79">
        <v>0.4</v>
      </c>
      <c r="O97" s="79">
        <v>6.2</v>
      </c>
      <c r="P97" s="79">
        <v>0.5</v>
      </c>
      <c r="Q97" s="171"/>
    </row>
    <row r="98" spans="1:17">
      <c r="A98" s="367"/>
      <c r="B98" s="356"/>
      <c r="C98" s="73"/>
      <c r="D98" s="74" t="s">
        <v>35</v>
      </c>
      <c r="E98" s="206" t="str">
        <f t="shared" si="15"/>
        <v>Plaquettes forestières issue de billons/2 500-10 000km</v>
      </c>
      <c r="F98" s="75">
        <v>0.79</v>
      </c>
      <c r="G98" s="75">
        <v>0.68</v>
      </c>
      <c r="H98" s="76"/>
      <c r="I98" s="76"/>
      <c r="J98" s="76"/>
      <c r="K98" s="77"/>
      <c r="L98" s="96"/>
      <c r="M98" s="79">
        <v>1.1000000000000001</v>
      </c>
      <c r="N98" s="79">
        <v>0.4</v>
      </c>
      <c r="O98" s="79">
        <v>12.6</v>
      </c>
      <c r="P98" s="79">
        <v>0.5</v>
      </c>
      <c r="Q98" s="171"/>
    </row>
    <row r="99" spans="1:17" ht="15" thickBot="1">
      <c r="A99" s="368"/>
      <c r="B99" s="357"/>
      <c r="C99" s="137"/>
      <c r="D99" s="80" t="s">
        <v>36</v>
      </c>
      <c r="E99" s="206" t="str">
        <f t="shared" si="15"/>
        <v>Plaquettes forestières issue de billons/plus de 10 000km</v>
      </c>
      <c r="F99" s="81">
        <v>0.61</v>
      </c>
      <c r="G99" s="81">
        <v>0.42</v>
      </c>
      <c r="H99" s="82"/>
      <c r="I99" s="82"/>
      <c r="J99" s="82"/>
      <c r="K99" s="83"/>
      <c r="L99" s="97"/>
      <c r="M99" s="133">
        <v>1.1000000000000001</v>
      </c>
      <c r="N99" s="133">
        <v>0.4</v>
      </c>
      <c r="O99" s="133">
        <v>24.6</v>
      </c>
      <c r="P99" s="133">
        <v>0.5</v>
      </c>
      <c r="Q99" s="172"/>
    </row>
    <row r="100" spans="1:17" ht="30" thickTop="1" thickBot="1">
      <c r="A100" s="366" t="s">
        <v>259</v>
      </c>
      <c r="B100" s="110" t="s">
        <v>217</v>
      </c>
      <c r="C100" s="138"/>
      <c r="D100" s="74" t="s">
        <v>35</v>
      </c>
      <c r="E100" s="206" t="str">
        <f>A$100&amp;"/"&amp;D100</f>
        <v>Briquettes ou granulés de bois provenant de taillis à courte rotation (eucalyptus)/2 500-10 000km</v>
      </c>
      <c r="F100" s="75">
        <v>0.43</v>
      </c>
      <c r="G100" s="75">
        <v>0.15</v>
      </c>
      <c r="H100" s="76"/>
      <c r="I100" s="76"/>
      <c r="J100" s="76"/>
      <c r="K100" s="77"/>
      <c r="L100" s="96"/>
      <c r="M100" s="79">
        <v>3.9</v>
      </c>
      <c r="N100" s="79">
        <v>29.4</v>
      </c>
      <c r="O100" s="79">
        <v>5.2</v>
      </c>
      <c r="P100" s="79">
        <v>0.3</v>
      </c>
      <c r="Q100" s="171"/>
    </row>
    <row r="101" spans="1:17" ht="58.8" thickTop="1" thickBot="1">
      <c r="A101" s="382"/>
      <c r="B101" s="170" t="s">
        <v>218</v>
      </c>
      <c r="C101" s="123"/>
      <c r="D101" s="160" t="s">
        <v>35</v>
      </c>
      <c r="E101" s="206" t="str">
        <f>A$100&amp;"/"&amp;D101</f>
        <v>Briquettes ou granulés de bois provenant de taillis à courte rotation (eucalyptus)/2 500-10 000km</v>
      </c>
      <c r="F101" s="161">
        <v>0.66</v>
      </c>
      <c r="G101" s="161">
        <v>0.49</v>
      </c>
      <c r="H101" s="162"/>
      <c r="I101" s="162"/>
      <c r="J101" s="162"/>
      <c r="K101" s="163"/>
      <c r="L101" s="164"/>
      <c r="M101" s="165">
        <v>5.0999999999999996</v>
      </c>
      <c r="N101" s="165">
        <v>12.7</v>
      </c>
      <c r="O101" s="165">
        <v>5.3</v>
      </c>
      <c r="P101" s="165">
        <v>0.3</v>
      </c>
      <c r="Q101" s="174"/>
    </row>
    <row r="102" spans="1:17" ht="44.4" thickTop="1" thickBot="1">
      <c r="A102" s="368"/>
      <c r="B102" s="111" t="s">
        <v>219</v>
      </c>
      <c r="C102" s="154"/>
      <c r="D102" s="80" t="s">
        <v>35</v>
      </c>
      <c r="E102" s="206" t="str">
        <f>A$100&amp;"/"&amp;D102</f>
        <v>Briquettes ou granulés de bois provenant de taillis à courte rotation (eucalyptus)/2 500-10 000km</v>
      </c>
      <c r="F102" s="81">
        <v>0.83</v>
      </c>
      <c r="G102" s="81">
        <v>0.75</v>
      </c>
      <c r="H102" s="82"/>
      <c r="I102" s="82"/>
      <c r="J102" s="82"/>
      <c r="K102" s="83"/>
      <c r="L102" s="97"/>
      <c r="M102" s="133">
        <v>5.3</v>
      </c>
      <c r="N102" s="133">
        <v>0.4</v>
      </c>
      <c r="O102" s="133">
        <v>5.3</v>
      </c>
      <c r="P102" s="133">
        <v>0.3</v>
      </c>
      <c r="Q102" s="172"/>
    </row>
    <row r="103" spans="1:17" ht="15.75" customHeight="1" thickTop="1">
      <c r="A103" s="366" t="s">
        <v>260</v>
      </c>
      <c r="B103" s="369" t="s">
        <v>218</v>
      </c>
      <c r="C103" s="73"/>
      <c r="D103" s="74" t="s">
        <v>33</v>
      </c>
      <c r="E103" s="206" t="str">
        <f>A$103&amp;"/"&amp;D103</f>
        <v>Briquettes ou granulés de bois provenant de taillis à courte rotation (peuplier — fertilisé)/0-500km</v>
      </c>
      <c r="F103" s="75">
        <v>0.46</v>
      </c>
      <c r="G103" s="75">
        <v>0.2</v>
      </c>
      <c r="H103" s="76"/>
      <c r="I103" s="76"/>
      <c r="J103" s="76"/>
      <c r="K103" s="77"/>
      <c r="L103" s="96"/>
      <c r="M103" s="79">
        <v>3.4</v>
      </c>
      <c r="N103" s="79">
        <v>29.4</v>
      </c>
      <c r="O103" s="79">
        <v>3.5</v>
      </c>
      <c r="P103" s="159">
        <v>0.3</v>
      </c>
      <c r="Q103" s="175"/>
    </row>
    <row r="104" spans="1:17">
      <c r="A104" s="367"/>
      <c r="B104" s="370"/>
      <c r="C104" s="73"/>
      <c r="D104" s="74" t="s">
        <v>238</v>
      </c>
      <c r="E104" s="206" t="str">
        <f t="shared" ref="E104:E105" si="16">A$103&amp;"/"&amp;D104</f>
        <v>Briquettes ou granulés de bois provenant de taillis à courte rotation (peuplier — fertilisé)/500-10 000km</v>
      </c>
      <c r="F104" s="75">
        <v>0.44</v>
      </c>
      <c r="G104" s="75">
        <v>0.16</v>
      </c>
      <c r="H104" s="76"/>
      <c r="I104" s="76"/>
      <c r="J104" s="76"/>
      <c r="K104" s="77"/>
      <c r="L104" s="96"/>
      <c r="M104" s="79">
        <v>3.4</v>
      </c>
      <c r="N104" s="79">
        <v>29.4</v>
      </c>
      <c r="O104" s="79">
        <v>5.2</v>
      </c>
      <c r="P104" s="159">
        <v>0.3</v>
      </c>
      <c r="Q104" s="175"/>
    </row>
    <row r="105" spans="1:17" ht="15" thickBot="1">
      <c r="A105" s="367"/>
      <c r="B105" s="370"/>
      <c r="C105" s="155"/>
      <c r="D105" s="74" t="s">
        <v>36</v>
      </c>
      <c r="E105" s="206" t="str">
        <f t="shared" si="16"/>
        <v>Briquettes ou granulés de bois provenant de taillis à courte rotation (peuplier — fertilisé)/plus de 10 000km</v>
      </c>
      <c r="F105" s="75">
        <v>0.37</v>
      </c>
      <c r="G105" s="75">
        <v>7.0000000000000007E-2</v>
      </c>
      <c r="H105" s="156"/>
      <c r="I105" s="156"/>
      <c r="J105" s="156"/>
      <c r="K105" s="157"/>
      <c r="L105" s="158"/>
      <c r="M105" s="133">
        <v>3.4</v>
      </c>
      <c r="N105" s="133">
        <v>29.4</v>
      </c>
      <c r="O105" s="133">
        <v>9.5</v>
      </c>
      <c r="P105" s="133">
        <v>0.3</v>
      </c>
      <c r="Q105" s="172"/>
    </row>
    <row r="106" spans="1:17" ht="15" customHeight="1" thickTop="1">
      <c r="A106" s="367"/>
      <c r="B106" s="369" t="s">
        <v>219</v>
      </c>
      <c r="C106" s="138"/>
      <c r="D106" s="93" t="s">
        <v>33</v>
      </c>
      <c r="E106" s="206" t="str">
        <f>A$103&amp;"/"&amp;D106</f>
        <v>Briquettes ou granulés de bois provenant de taillis à courte rotation (peuplier — fertilisé)/0-500km</v>
      </c>
      <c r="F106" s="141">
        <v>0.69</v>
      </c>
      <c r="G106" s="141">
        <v>0.54</v>
      </c>
      <c r="H106" s="166"/>
      <c r="I106" s="166"/>
      <c r="J106" s="166"/>
      <c r="K106" s="167"/>
      <c r="L106" s="168"/>
      <c r="M106" s="159">
        <v>4.4000000000000004</v>
      </c>
      <c r="N106" s="159">
        <v>12.7</v>
      </c>
      <c r="O106" s="159">
        <v>3.6</v>
      </c>
      <c r="P106" s="159">
        <v>0.3</v>
      </c>
      <c r="Q106" s="175"/>
    </row>
    <row r="107" spans="1:17">
      <c r="A107" s="367"/>
      <c r="B107" s="370"/>
      <c r="C107" s="155"/>
      <c r="D107" s="74" t="s">
        <v>238</v>
      </c>
      <c r="E107" s="206" t="str">
        <f t="shared" ref="E107:E111" si="17">A$103&amp;"/"&amp;D107</f>
        <v>Briquettes ou granulés de bois provenant de taillis à courte rotation (peuplier — fertilisé)/500-10 000km</v>
      </c>
      <c r="F107" s="75">
        <v>0.67</v>
      </c>
      <c r="G107" s="75">
        <v>0.5</v>
      </c>
      <c r="H107" s="156"/>
      <c r="I107" s="156"/>
      <c r="J107" s="156"/>
      <c r="K107" s="157"/>
      <c r="L107" s="158"/>
      <c r="M107" s="159">
        <v>4.4000000000000004</v>
      </c>
      <c r="N107" s="159">
        <v>12.7</v>
      </c>
      <c r="O107" s="159">
        <v>5.3</v>
      </c>
      <c r="P107" s="159">
        <v>0.3</v>
      </c>
      <c r="Q107" s="175"/>
    </row>
    <row r="108" spans="1:17" ht="15" thickBot="1">
      <c r="A108" s="367"/>
      <c r="B108" s="371"/>
      <c r="C108" s="132"/>
      <c r="D108" s="80" t="s">
        <v>36</v>
      </c>
      <c r="E108" s="206" t="str">
        <f t="shared" si="17"/>
        <v>Briquettes ou granulés de bois provenant de taillis à courte rotation (peuplier — fertilisé)/plus de 10 000km</v>
      </c>
      <c r="F108" s="81">
        <v>0.6</v>
      </c>
      <c r="G108" s="81">
        <v>0.41</v>
      </c>
      <c r="H108" s="82"/>
      <c r="I108" s="82"/>
      <c r="J108" s="82"/>
      <c r="K108" s="83"/>
      <c r="L108" s="97"/>
      <c r="M108" s="133">
        <v>4.4000000000000004</v>
      </c>
      <c r="N108" s="133">
        <v>12.7</v>
      </c>
      <c r="O108" s="133">
        <v>9.8000000000000007</v>
      </c>
      <c r="P108" s="133">
        <v>0.3</v>
      </c>
      <c r="Q108" s="172"/>
    </row>
    <row r="109" spans="1:17" ht="15" customHeight="1" thickTop="1">
      <c r="A109" s="367"/>
      <c r="B109" s="370" t="s">
        <v>217</v>
      </c>
      <c r="C109" s="149"/>
      <c r="D109" s="74" t="s">
        <v>33</v>
      </c>
      <c r="E109" s="206" t="str">
        <f t="shared" si="17"/>
        <v>Briquettes ou granulés de bois provenant de taillis à courte rotation (peuplier — fertilisé)/0-500km</v>
      </c>
      <c r="F109" s="75">
        <v>0.87</v>
      </c>
      <c r="G109" s="75">
        <v>0.81</v>
      </c>
      <c r="H109" s="76"/>
      <c r="I109" s="76"/>
      <c r="J109" s="76"/>
      <c r="K109" s="77"/>
      <c r="L109" s="96"/>
      <c r="M109" s="79">
        <v>4.5999999999999996</v>
      </c>
      <c r="N109" s="79">
        <v>0.4</v>
      </c>
      <c r="O109" s="79">
        <v>3.6</v>
      </c>
      <c r="P109" s="159">
        <v>0.3</v>
      </c>
      <c r="Q109" s="175"/>
    </row>
    <row r="110" spans="1:17">
      <c r="A110" s="367"/>
      <c r="B110" s="370"/>
      <c r="C110" s="73"/>
      <c r="D110" s="74" t="s">
        <v>238</v>
      </c>
      <c r="E110" s="206" t="str">
        <f t="shared" si="17"/>
        <v>Briquettes ou granulés de bois provenant de taillis à courte rotation (peuplier — fertilisé)/500-10 000km</v>
      </c>
      <c r="F110" s="75">
        <v>0.84</v>
      </c>
      <c r="G110" s="75">
        <v>0.77</v>
      </c>
      <c r="H110" s="76"/>
      <c r="I110" s="76"/>
      <c r="J110" s="76"/>
      <c r="K110" s="77"/>
      <c r="L110" s="96"/>
      <c r="M110" s="79">
        <v>4.5999999999999996</v>
      </c>
      <c r="N110" s="79">
        <v>0.4</v>
      </c>
      <c r="O110" s="79">
        <v>5.3</v>
      </c>
      <c r="P110" s="159">
        <v>0.3</v>
      </c>
      <c r="Q110" s="175"/>
    </row>
    <row r="111" spans="1:17" ht="15" thickBot="1">
      <c r="A111" s="368"/>
      <c r="B111" s="371"/>
      <c r="C111" s="132"/>
      <c r="D111" s="80" t="s">
        <v>36</v>
      </c>
      <c r="E111" s="206" t="str">
        <f t="shared" si="17"/>
        <v>Briquettes ou granulés de bois provenant de taillis à courte rotation (peuplier — fertilisé)/plus de 10 000km</v>
      </c>
      <c r="F111" s="81">
        <v>0.78</v>
      </c>
      <c r="G111" s="81">
        <v>0.67</v>
      </c>
      <c r="H111" s="82"/>
      <c r="I111" s="82"/>
      <c r="J111" s="82"/>
      <c r="K111" s="83"/>
      <c r="L111" s="97"/>
      <c r="M111" s="133">
        <v>4.5999999999999996</v>
      </c>
      <c r="N111" s="133">
        <v>0.4</v>
      </c>
      <c r="O111" s="133">
        <v>9.8000000000000007</v>
      </c>
      <c r="P111" s="133">
        <v>0.3</v>
      </c>
      <c r="Q111" s="172"/>
    </row>
    <row r="112" spans="1:17" ht="15" thickTop="1">
      <c r="A112" s="366" t="s">
        <v>261</v>
      </c>
      <c r="B112" s="369" t="s">
        <v>218</v>
      </c>
      <c r="C112" s="169"/>
      <c r="D112" s="93" t="s">
        <v>33</v>
      </c>
      <c r="E112" s="206" t="str">
        <f>A$112&amp;"/"&amp;D112</f>
        <v>Briquettes ou granulés de bois provenant de taillis à courte rotation (peuplier — pas de fertilisation)/0-500km</v>
      </c>
      <c r="F112" s="141">
        <v>0.48</v>
      </c>
      <c r="G112" s="141">
        <v>0.23</v>
      </c>
      <c r="H112" s="166"/>
      <c r="I112" s="166"/>
      <c r="J112" s="166"/>
      <c r="K112" s="167"/>
      <c r="L112" s="168"/>
      <c r="M112" s="159">
        <v>2</v>
      </c>
      <c r="N112" s="159">
        <v>29.4</v>
      </c>
      <c r="O112" s="159">
        <v>3.5</v>
      </c>
      <c r="P112" s="159">
        <v>0.3</v>
      </c>
      <c r="Q112" s="175"/>
    </row>
    <row r="113" spans="1:17">
      <c r="A113" s="367"/>
      <c r="B113" s="370"/>
      <c r="C113" s="155"/>
      <c r="D113" s="74" t="s">
        <v>238</v>
      </c>
      <c r="E113" s="206" t="str">
        <f t="shared" ref="E113:E120" si="18">A$112&amp;"/"&amp;D113</f>
        <v>Briquettes ou granulés de bois provenant de taillis à courte rotation (peuplier — pas de fertilisation)/500-10 000km</v>
      </c>
      <c r="F113" s="75">
        <v>0.46</v>
      </c>
      <c r="G113" s="75">
        <v>0.2</v>
      </c>
      <c r="H113" s="156"/>
      <c r="I113" s="156"/>
      <c r="J113" s="156"/>
      <c r="K113" s="157"/>
      <c r="L113" s="158"/>
      <c r="M113" s="159">
        <v>2</v>
      </c>
      <c r="N113" s="159">
        <v>29.4</v>
      </c>
      <c r="O113" s="159">
        <v>5.2</v>
      </c>
      <c r="P113" s="159">
        <v>0.3</v>
      </c>
      <c r="Q113" s="175"/>
    </row>
    <row r="114" spans="1:17" ht="15" thickBot="1">
      <c r="A114" s="367"/>
      <c r="B114" s="371"/>
      <c r="C114" s="132"/>
      <c r="D114" s="80" t="s">
        <v>36</v>
      </c>
      <c r="E114" s="206" t="str">
        <f t="shared" si="18"/>
        <v>Briquettes ou granulés de bois provenant de taillis à courte rotation (peuplier — pas de fertilisation)/plus de 10 000km</v>
      </c>
      <c r="F114" s="81">
        <v>0.4</v>
      </c>
      <c r="G114" s="81">
        <v>0.1</v>
      </c>
      <c r="H114" s="82"/>
      <c r="I114" s="82"/>
      <c r="J114" s="82"/>
      <c r="K114" s="83"/>
      <c r="L114" s="97"/>
      <c r="M114" s="133">
        <v>2</v>
      </c>
      <c r="N114" s="133">
        <v>29.4</v>
      </c>
      <c r="O114" s="133">
        <v>9.5</v>
      </c>
      <c r="P114" s="133">
        <v>0.3</v>
      </c>
      <c r="Q114" s="172"/>
    </row>
    <row r="115" spans="1:17" ht="15" thickTop="1">
      <c r="A115" s="367"/>
      <c r="B115" s="370" t="s">
        <v>219</v>
      </c>
      <c r="C115" s="149"/>
      <c r="D115" s="74" t="s">
        <v>33</v>
      </c>
      <c r="E115" s="206" t="str">
        <f t="shared" si="18"/>
        <v>Briquettes ou granulés de bois provenant de taillis à courte rotation (peuplier — pas de fertilisation)/0-500km</v>
      </c>
      <c r="F115" s="75">
        <v>0.72</v>
      </c>
      <c r="G115" s="75">
        <v>0.57999999999999996</v>
      </c>
      <c r="H115" s="156"/>
      <c r="I115" s="156"/>
      <c r="J115" s="156"/>
      <c r="K115" s="157"/>
      <c r="L115" s="158"/>
      <c r="M115" s="159">
        <v>2.5</v>
      </c>
      <c r="N115" s="159">
        <v>12.7</v>
      </c>
      <c r="O115" s="159">
        <v>3.6</v>
      </c>
      <c r="P115" s="159">
        <v>0.3</v>
      </c>
      <c r="Q115" s="175"/>
    </row>
    <row r="116" spans="1:17">
      <c r="A116" s="367"/>
      <c r="B116" s="370"/>
      <c r="C116" s="155"/>
      <c r="D116" s="74" t="s">
        <v>238</v>
      </c>
      <c r="E116" s="206" t="str">
        <f t="shared" si="18"/>
        <v>Briquettes ou granulés de bois provenant de taillis à courte rotation (peuplier — pas de fertilisation)/500-10 000km</v>
      </c>
      <c r="F116" s="75">
        <v>0.69</v>
      </c>
      <c r="G116" s="75">
        <v>0.54</v>
      </c>
      <c r="H116" s="156"/>
      <c r="I116" s="156"/>
      <c r="J116" s="156"/>
      <c r="K116" s="157"/>
      <c r="L116" s="158"/>
      <c r="M116" s="159">
        <v>2.5</v>
      </c>
      <c r="N116" s="159">
        <v>12.7</v>
      </c>
      <c r="O116" s="159">
        <v>5.3</v>
      </c>
      <c r="P116" s="159">
        <v>0.3</v>
      </c>
      <c r="Q116" s="175"/>
    </row>
    <row r="117" spans="1:17" ht="15" thickBot="1">
      <c r="A117" s="367"/>
      <c r="B117" s="371"/>
      <c r="C117" s="132"/>
      <c r="D117" s="80" t="s">
        <v>36</v>
      </c>
      <c r="E117" s="206" t="str">
        <f t="shared" si="18"/>
        <v>Briquettes ou granulés de bois provenant de taillis à courte rotation (peuplier — pas de fertilisation)/plus de 10 000km</v>
      </c>
      <c r="F117" s="81">
        <v>0.63</v>
      </c>
      <c r="G117" s="81">
        <v>0.45</v>
      </c>
      <c r="H117" s="82"/>
      <c r="I117" s="82"/>
      <c r="J117" s="82"/>
      <c r="K117" s="83"/>
      <c r="L117" s="97"/>
      <c r="M117" s="133">
        <v>2.5</v>
      </c>
      <c r="N117" s="133">
        <v>12.7</v>
      </c>
      <c r="O117" s="133">
        <v>9.8000000000000007</v>
      </c>
      <c r="P117" s="133">
        <v>0.3</v>
      </c>
      <c r="Q117" s="172"/>
    </row>
    <row r="118" spans="1:17" ht="15" thickTop="1">
      <c r="A118" s="367"/>
      <c r="B118" s="370" t="s">
        <v>217</v>
      </c>
      <c r="C118" s="149"/>
      <c r="D118" s="74" t="s">
        <v>33</v>
      </c>
      <c r="E118" s="206" t="str">
        <f t="shared" si="18"/>
        <v>Briquettes ou granulés de bois provenant de taillis à courte rotation (peuplier — pas de fertilisation)/0-500km</v>
      </c>
      <c r="F118" s="75">
        <v>0.9</v>
      </c>
      <c r="G118" s="75">
        <v>0.85</v>
      </c>
      <c r="H118" s="76"/>
      <c r="I118" s="76"/>
      <c r="J118" s="76"/>
      <c r="K118" s="77"/>
      <c r="L118" s="96"/>
      <c r="M118" s="79">
        <v>2.6</v>
      </c>
      <c r="N118" s="79">
        <v>0.4</v>
      </c>
      <c r="O118" s="159">
        <v>3.6</v>
      </c>
      <c r="P118" s="79">
        <v>0.3</v>
      </c>
      <c r="Q118" s="171"/>
    </row>
    <row r="119" spans="1:17">
      <c r="A119" s="367"/>
      <c r="B119" s="370"/>
      <c r="C119" s="73"/>
      <c r="D119" s="74" t="s">
        <v>238</v>
      </c>
      <c r="E119" s="206" t="str">
        <f t="shared" si="18"/>
        <v>Briquettes ou granulés de bois provenant de taillis à courte rotation (peuplier — pas de fertilisation)/500-10 000km</v>
      </c>
      <c r="F119" s="75">
        <v>0.87</v>
      </c>
      <c r="G119" s="75">
        <v>0.81</v>
      </c>
      <c r="H119" s="76"/>
      <c r="I119" s="76"/>
      <c r="J119" s="76"/>
      <c r="K119" s="77"/>
      <c r="L119" s="96"/>
      <c r="M119" s="79">
        <v>2.6</v>
      </c>
      <c r="N119" s="79">
        <v>0.4</v>
      </c>
      <c r="O119" s="159">
        <v>5.3</v>
      </c>
      <c r="P119" s="79">
        <v>0.3</v>
      </c>
      <c r="Q119" s="171"/>
    </row>
    <row r="120" spans="1:17" ht="15" thickBot="1">
      <c r="A120" s="368"/>
      <c r="B120" s="371"/>
      <c r="C120" s="132"/>
      <c r="D120" s="80" t="s">
        <v>36</v>
      </c>
      <c r="E120" s="206" t="str">
        <f t="shared" si="18"/>
        <v>Briquettes ou granulés de bois provenant de taillis à courte rotation (peuplier — pas de fertilisation)/plus de 10 000km</v>
      </c>
      <c r="F120" s="81">
        <v>0.81</v>
      </c>
      <c r="G120" s="81">
        <v>0.71</v>
      </c>
      <c r="H120" s="82"/>
      <c r="I120" s="82"/>
      <c r="J120" s="82"/>
      <c r="K120" s="83"/>
      <c r="L120" s="97"/>
      <c r="M120" s="133">
        <v>2.6</v>
      </c>
      <c r="N120" s="133">
        <v>0.4</v>
      </c>
      <c r="O120" s="133">
        <v>9.8000000000000007</v>
      </c>
      <c r="P120" s="133">
        <v>0.3</v>
      </c>
      <c r="Q120" s="172"/>
    </row>
    <row r="121" spans="1:17" ht="15" thickTop="1">
      <c r="A121" s="366" t="s">
        <v>262</v>
      </c>
      <c r="B121" s="372" t="s">
        <v>218</v>
      </c>
      <c r="C121" s="73"/>
      <c r="D121" s="74" t="s">
        <v>33</v>
      </c>
      <c r="E121" s="206" t="str">
        <f>A$121&amp;"/"&amp;D121</f>
        <v>Briquettes ou granulés de bois issus de billons/0-500km</v>
      </c>
      <c r="F121" s="75">
        <v>0.49</v>
      </c>
      <c r="G121" s="75">
        <v>0.24</v>
      </c>
      <c r="H121" s="76"/>
      <c r="I121" s="76"/>
      <c r="J121" s="76"/>
      <c r="K121" s="77"/>
      <c r="L121" s="96"/>
      <c r="M121" s="79">
        <v>1.1000000000000001</v>
      </c>
      <c r="N121" s="79">
        <v>29.8</v>
      </c>
      <c r="O121" s="79">
        <v>3.5</v>
      </c>
      <c r="P121" s="79">
        <v>0.3</v>
      </c>
      <c r="Q121" s="171"/>
    </row>
    <row r="122" spans="1:17">
      <c r="A122" s="367"/>
      <c r="B122" s="373"/>
      <c r="C122" s="73"/>
      <c r="D122" s="74" t="s">
        <v>34</v>
      </c>
      <c r="E122" s="206" t="str">
        <f t="shared" ref="E122:E132" si="19">A$121&amp;"/"&amp;D122</f>
        <v>Briquettes ou granulés de bois issus de billons/500-2 500km</v>
      </c>
      <c r="F122" s="75">
        <v>0.49</v>
      </c>
      <c r="G122" s="75">
        <v>0.25</v>
      </c>
      <c r="H122" s="76"/>
      <c r="I122" s="76"/>
      <c r="J122" s="76"/>
      <c r="K122" s="77"/>
      <c r="L122" s="96"/>
      <c r="M122" s="79">
        <v>1.1000000000000001</v>
      </c>
      <c r="N122" s="79">
        <v>29.8</v>
      </c>
      <c r="O122" s="79">
        <v>3.3</v>
      </c>
      <c r="P122" s="79">
        <v>0.3</v>
      </c>
      <c r="Q122" s="171"/>
    </row>
    <row r="123" spans="1:17">
      <c r="A123" s="367"/>
      <c r="B123" s="373"/>
      <c r="C123" s="73"/>
      <c r="D123" s="74" t="s">
        <v>35</v>
      </c>
      <c r="E123" s="206" t="str">
        <f t="shared" si="19"/>
        <v>Briquettes ou granulés de bois issus de billons/2 500-10 000km</v>
      </c>
      <c r="F123" s="75">
        <v>0.47</v>
      </c>
      <c r="G123" s="75">
        <v>0.21</v>
      </c>
      <c r="H123" s="76"/>
      <c r="I123" s="76"/>
      <c r="J123" s="76"/>
      <c r="K123" s="77"/>
      <c r="L123" s="96"/>
      <c r="M123" s="79">
        <v>1.1000000000000001</v>
      </c>
      <c r="N123" s="79">
        <v>29.8</v>
      </c>
      <c r="O123" s="79">
        <v>5.2</v>
      </c>
      <c r="P123" s="79">
        <v>0.3</v>
      </c>
      <c r="Q123" s="171"/>
    </row>
    <row r="124" spans="1:17" ht="15" thickBot="1">
      <c r="A124" s="367"/>
      <c r="B124" s="374"/>
      <c r="C124" s="132"/>
      <c r="D124" s="80" t="s">
        <v>36</v>
      </c>
      <c r="E124" s="206" t="str">
        <f t="shared" si="19"/>
        <v>Briquettes ou granulés de bois issus de billons/plus de 10 000km</v>
      </c>
      <c r="F124" s="81">
        <v>0.4</v>
      </c>
      <c r="G124" s="81">
        <v>0.11</v>
      </c>
      <c r="H124" s="82"/>
      <c r="I124" s="82"/>
      <c r="J124" s="82"/>
      <c r="K124" s="83"/>
      <c r="L124" s="97"/>
      <c r="M124" s="133">
        <v>1.1000000000000001</v>
      </c>
      <c r="N124" s="133">
        <v>29.8</v>
      </c>
      <c r="O124" s="133">
        <v>9.5</v>
      </c>
      <c r="P124" s="133">
        <v>0.3</v>
      </c>
      <c r="Q124" s="172"/>
    </row>
    <row r="125" spans="1:17" ht="15" thickTop="1">
      <c r="A125" s="367"/>
      <c r="B125" s="373" t="s">
        <v>219</v>
      </c>
      <c r="C125" s="149"/>
      <c r="D125" s="74" t="s">
        <v>33</v>
      </c>
      <c r="E125" s="206" t="str">
        <f t="shared" si="19"/>
        <v>Briquettes ou granulés de bois issus de billons/0-500km</v>
      </c>
      <c r="F125" s="75">
        <v>0.73</v>
      </c>
      <c r="G125" s="75">
        <v>0.6</v>
      </c>
      <c r="H125" s="76"/>
      <c r="I125" s="76"/>
      <c r="J125" s="76"/>
      <c r="K125" s="77"/>
      <c r="L125" s="96"/>
      <c r="M125" s="79">
        <v>1.4</v>
      </c>
      <c r="N125" s="79">
        <v>13.2</v>
      </c>
      <c r="O125" s="79">
        <v>3.6</v>
      </c>
      <c r="P125" s="79">
        <v>0.3</v>
      </c>
      <c r="Q125" s="171"/>
    </row>
    <row r="126" spans="1:17">
      <c r="A126" s="367"/>
      <c r="B126" s="373"/>
      <c r="C126" s="73"/>
      <c r="D126" s="74" t="s">
        <v>34</v>
      </c>
      <c r="E126" s="206" t="str">
        <f t="shared" si="19"/>
        <v>Briquettes ou granulés de bois issus de billons/500-2 500km</v>
      </c>
      <c r="F126" s="75">
        <v>0.73</v>
      </c>
      <c r="G126" s="75">
        <v>0.6</v>
      </c>
      <c r="H126" s="76"/>
      <c r="I126" s="76"/>
      <c r="J126" s="76"/>
      <c r="K126" s="77"/>
      <c r="L126" s="96"/>
      <c r="M126" s="79">
        <v>1.4</v>
      </c>
      <c r="N126" s="79">
        <v>13.2</v>
      </c>
      <c r="O126" s="79">
        <v>3.5</v>
      </c>
      <c r="P126" s="79">
        <v>0.3</v>
      </c>
      <c r="Q126" s="171"/>
    </row>
    <row r="127" spans="1:17">
      <c r="A127" s="367"/>
      <c r="B127" s="373"/>
      <c r="C127" s="73"/>
      <c r="D127" s="74" t="s">
        <v>35</v>
      </c>
      <c r="E127" s="206" t="str">
        <f t="shared" si="19"/>
        <v>Briquettes ou granulés de bois issus de billons/2 500-10 000km</v>
      </c>
      <c r="F127" s="75">
        <v>0.7</v>
      </c>
      <c r="G127" s="75">
        <v>0.56000000000000005</v>
      </c>
      <c r="H127" s="76"/>
      <c r="I127" s="76"/>
      <c r="J127" s="76"/>
      <c r="K127" s="77"/>
      <c r="L127" s="96"/>
      <c r="M127" s="79">
        <v>1.4</v>
      </c>
      <c r="N127" s="79">
        <v>13.2</v>
      </c>
      <c r="O127" s="79">
        <v>5.3</v>
      </c>
      <c r="P127" s="79">
        <v>0.3</v>
      </c>
      <c r="Q127" s="171"/>
    </row>
    <row r="128" spans="1:17" ht="15" thickBot="1">
      <c r="A128" s="367"/>
      <c r="B128" s="374"/>
      <c r="C128" s="132"/>
      <c r="D128" s="80" t="s">
        <v>36</v>
      </c>
      <c r="E128" s="206" t="str">
        <f t="shared" si="19"/>
        <v>Briquettes ou granulés de bois issus de billons/plus de 10 000km</v>
      </c>
      <c r="F128" s="81">
        <v>0.64</v>
      </c>
      <c r="G128" s="81">
        <v>0.46</v>
      </c>
      <c r="H128" s="82"/>
      <c r="I128" s="82"/>
      <c r="J128" s="82"/>
      <c r="K128" s="83"/>
      <c r="L128" s="97"/>
      <c r="M128" s="133">
        <v>1.4</v>
      </c>
      <c r="N128" s="133">
        <v>13.2</v>
      </c>
      <c r="O128" s="133">
        <v>9.8000000000000007</v>
      </c>
      <c r="P128" s="133">
        <v>0.3</v>
      </c>
      <c r="Q128" s="172"/>
    </row>
    <row r="129" spans="1:17" ht="15" thickTop="1">
      <c r="A129" s="367"/>
      <c r="B129" s="373" t="s">
        <v>217</v>
      </c>
      <c r="C129" s="149"/>
      <c r="D129" s="74" t="s">
        <v>33</v>
      </c>
      <c r="E129" s="206" t="str">
        <f t="shared" si="19"/>
        <v>Briquettes ou granulés de bois issus de billons/0-500km</v>
      </c>
      <c r="F129" s="75">
        <v>0.91</v>
      </c>
      <c r="G129" s="75">
        <v>0.91</v>
      </c>
      <c r="H129" s="76"/>
      <c r="I129" s="76"/>
      <c r="J129" s="76"/>
      <c r="K129" s="77"/>
      <c r="L129" s="96"/>
      <c r="M129" s="79">
        <v>1.4</v>
      </c>
      <c r="N129" s="79">
        <v>0.9</v>
      </c>
      <c r="O129" s="79">
        <v>3.6</v>
      </c>
      <c r="P129" s="79">
        <v>0.3</v>
      </c>
      <c r="Q129" s="171"/>
    </row>
    <row r="130" spans="1:17">
      <c r="A130" s="367"/>
      <c r="B130" s="373"/>
      <c r="C130" s="73"/>
      <c r="D130" s="74" t="s">
        <v>34</v>
      </c>
      <c r="E130" s="206" t="str">
        <f t="shared" si="19"/>
        <v>Briquettes ou granulés de bois issus de billons/500-2 500km</v>
      </c>
      <c r="F130" s="75">
        <v>0.91</v>
      </c>
      <c r="G130" s="75">
        <v>0.87</v>
      </c>
      <c r="H130" s="76"/>
      <c r="I130" s="76"/>
      <c r="J130" s="76"/>
      <c r="K130" s="77"/>
      <c r="L130" s="96"/>
      <c r="M130" s="79">
        <v>1.4</v>
      </c>
      <c r="N130" s="79">
        <v>0.9</v>
      </c>
      <c r="O130" s="79">
        <v>3.5</v>
      </c>
      <c r="P130" s="79">
        <v>0.3</v>
      </c>
      <c r="Q130" s="171"/>
    </row>
    <row r="131" spans="1:17">
      <c r="A131" s="367"/>
      <c r="B131" s="373"/>
      <c r="C131" s="73"/>
      <c r="D131" s="74" t="s">
        <v>35</v>
      </c>
      <c r="E131" s="206" t="str">
        <f t="shared" si="19"/>
        <v>Briquettes ou granulés de bois issus de billons/2 500-10 000km</v>
      </c>
      <c r="F131" s="75">
        <v>0.88</v>
      </c>
      <c r="G131" s="75">
        <v>0.83</v>
      </c>
      <c r="H131" s="76"/>
      <c r="I131" s="76"/>
      <c r="J131" s="76"/>
      <c r="K131" s="77"/>
      <c r="L131" s="96"/>
      <c r="M131" s="79">
        <v>1.4</v>
      </c>
      <c r="N131" s="79">
        <v>0.9</v>
      </c>
      <c r="O131" s="79">
        <v>5.3</v>
      </c>
      <c r="P131" s="79">
        <v>0.3</v>
      </c>
      <c r="Q131" s="171"/>
    </row>
    <row r="132" spans="1:17" ht="15" thickBot="1">
      <c r="A132" s="368"/>
      <c r="B132" s="374"/>
      <c r="C132" s="132"/>
      <c r="D132" s="80" t="s">
        <v>36</v>
      </c>
      <c r="E132" s="206" t="str">
        <f t="shared" si="19"/>
        <v>Briquettes ou granulés de bois issus de billons/plus de 10 000km</v>
      </c>
      <c r="F132" s="81">
        <v>0.82</v>
      </c>
      <c r="G132" s="81">
        <v>0.73</v>
      </c>
      <c r="H132" s="82"/>
      <c r="I132" s="82"/>
      <c r="J132" s="82"/>
      <c r="K132" s="83"/>
      <c r="L132" s="97"/>
      <c r="M132" s="133">
        <v>1.4</v>
      </c>
      <c r="N132" s="133">
        <v>0.9</v>
      </c>
      <c r="O132" s="133">
        <v>9.8000000000000007</v>
      </c>
      <c r="P132" s="133">
        <v>0.3</v>
      </c>
      <c r="Q132" s="172"/>
    </row>
    <row r="133" spans="1:17" ht="15" thickTop="1">
      <c r="A133" s="358" t="s">
        <v>232</v>
      </c>
      <c r="B133" s="361" t="s">
        <v>278</v>
      </c>
      <c r="C133" s="73"/>
      <c r="D133" s="20" t="s">
        <v>33</v>
      </c>
      <c r="E133" s="206" t="str">
        <f>A$133&amp;"/"&amp;D133</f>
        <v>Résidus agricoles d'une densité &lt; 0,2 t/m 3 (*)/0-500km</v>
      </c>
      <c r="F133" s="75">
        <v>0.93</v>
      </c>
      <c r="G133" s="75">
        <v>0.9</v>
      </c>
      <c r="H133" s="76"/>
      <c r="I133" s="76"/>
      <c r="J133" s="76"/>
      <c r="K133" s="167"/>
      <c r="L133" s="187"/>
      <c r="M133" s="79">
        <v>0</v>
      </c>
      <c r="N133" s="79">
        <v>1.1000000000000001</v>
      </c>
      <c r="O133" s="79">
        <v>3.1</v>
      </c>
      <c r="P133" s="79">
        <v>0.3</v>
      </c>
      <c r="Q133" s="171"/>
    </row>
    <row r="134" spans="1:17">
      <c r="A134" s="359"/>
      <c r="B134" s="362"/>
      <c r="C134" s="73"/>
      <c r="D134" s="74" t="s">
        <v>34</v>
      </c>
      <c r="E134" s="206" t="str">
        <f t="shared" ref="E134:E136" si="20">A$133&amp;"/"&amp;D134</f>
        <v>Résidus agricoles d'une densité &lt; 0,2 t/m 3 (*)/500-2 500km</v>
      </c>
      <c r="F134" s="75">
        <v>0.86</v>
      </c>
      <c r="G134" s="75">
        <v>0.8</v>
      </c>
      <c r="H134" s="76"/>
      <c r="I134" s="76"/>
      <c r="J134" s="76"/>
      <c r="K134" s="157"/>
      <c r="L134" s="187"/>
      <c r="M134" s="79">
        <v>0</v>
      </c>
      <c r="N134" s="79">
        <v>1.1000000000000001</v>
      </c>
      <c r="O134" s="79">
        <v>7.8</v>
      </c>
      <c r="P134" s="79">
        <v>0.3</v>
      </c>
      <c r="Q134" s="171"/>
    </row>
    <row r="135" spans="1:17">
      <c r="A135" s="359"/>
      <c r="B135" s="362"/>
      <c r="C135" s="73"/>
      <c r="D135" s="74" t="s">
        <v>35</v>
      </c>
      <c r="E135" s="206" t="str">
        <f t="shared" si="20"/>
        <v>Résidus agricoles d'une densité &lt; 0,2 t/m 3 (*)/2 500-10 000km</v>
      </c>
      <c r="F135" s="75">
        <v>0.73</v>
      </c>
      <c r="G135" s="75">
        <v>0.6</v>
      </c>
      <c r="H135" s="76"/>
      <c r="I135" s="76"/>
      <c r="J135" s="76"/>
      <c r="K135" s="157"/>
      <c r="L135" s="187"/>
      <c r="M135" s="79">
        <v>0</v>
      </c>
      <c r="N135" s="79">
        <v>1.1000000000000001</v>
      </c>
      <c r="O135" s="79">
        <v>17</v>
      </c>
      <c r="P135" s="79">
        <v>0.3</v>
      </c>
      <c r="Q135" s="171"/>
    </row>
    <row r="136" spans="1:17" ht="15" thickBot="1">
      <c r="A136" s="360"/>
      <c r="B136" s="363"/>
      <c r="C136" s="132"/>
      <c r="D136" s="80" t="s">
        <v>36</v>
      </c>
      <c r="E136" s="206" t="str">
        <f t="shared" si="20"/>
        <v>Résidus agricoles d'une densité &lt; 0,2 t/m 3 (*)/plus de 10 000km</v>
      </c>
      <c r="F136" s="81">
        <v>0.48</v>
      </c>
      <c r="G136" s="81">
        <v>0.23</v>
      </c>
      <c r="H136" s="82"/>
      <c r="I136" s="82"/>
      <c r="J136" s="82"/>
      <c r="K136" s="83"/>
      <c r="L136" s="188"/>
      <c r="M136" s="177">
        <v>0</v>
      </c>
      <c r="N136" s="133">
        <v>1.1000000000000001</v>
      </c>
      <c r="O136" s="133">
        <v>34</v>
      </c>
      <c r="P136" s="133">
        <v>0.3</v>
      </c>
      <c r="Q136" s="172"/>
    </row>
    <row r="137" spans="1:17" ht="15" thickTop="1">
      <c r="A137" s="358" t="s">
        <v>234</v>
      </c>
      <c r="B137" s="361" t="s">
        <v>279</v>
      </c>
      <c r="C137" s="73"/>
      <c r="D137" s="20" t="s">
        <v>33</v>
      </c>
      <c r="E137" s="206" t="str">
        <f>A$137&amp;"/"&amp;D137</f>
        <v>Résidus agricoles d'une densité &gt; 0,2 t/m 3 (**)/0-500km</v>
      </c>
      <c r="F137" s="75">
        <v>0.93</v>
      </c>
      <c r="G137" s="75">
        <v>0.9</v>
      </c>
      <c r="H137" s="76"/>
      <c r="I137" s="76"/>
      <c r="J137" s="76"/>
      <c r="K137" s="157"/>
      <c r="L137" s="187"/>
      <c r="M137" s="79">
        <v>0</v>
      </c>
      <c r="N137" s="79">
        <v>1.1000000000000001</v>
      </c>
      <c r="O137" s="79">
        <v>3.1</v>
      </c>
      <c r="P137" s="79">
        <v>0.3</v>
      </c>
      <c r="Q137" s="171"/>
    </row>
    <row r="138" spans="1:17">
      <c r="A138" s="359"/>
      <c r="B138" s="362"/>
      <c r="C138" s="73"/>
      <c r="D138" s="74" t="s">
        <v>34</v>
      </c>
      <c r="E138" s="206" t="str">
        <f t="shared" ref="E138:E140" si="21">A$137&amp;"/"&amp;D138</f>
        <v>Résidus agricoles d'une densité &gt; 0,2 t/m 3 (**)/500-2 500km</v>
      </c>
      <c r="F138" s="75">
        <v>0.92</v>
      </c>
      <c r="G138" s="75">
        <v>0.87</v>
      </c>
      <c r="H138" s="76"/>
      <c r="I138" s="76"/>
      <c r="J138" s="76"/>
      <c r="K138" s="157"/>
      <c r="L138" s="187"/>
      <c r="M138" s="79">
        <v>0</v>
      </c>
      <c r="N138" s="79">
        <v>1.1000000000000001</v>
      </c>
      <c r="O138" s="79">
        <v>4.4000000000000004</v>
      </c>
      <c r="P138" s="79">
        <v>0.3</v>
      </c>
      <c r="Q138" s="171"/>
    </row>
    <row r="139" spans="1:17">
      <c r="A139" s="359"/>
      <c r="B139" s="362"/>
      <c r="C139" s="73"/>
      <c r="D139" s="74" t="s">
        <v>35</v>
      </c>
      <c r="E139" s="206" t="str">
        <f t="shared" si="21"/>
        <v>Résidus agricoles d'une densité &gt; 0,2 t/m 3 (**)/2 500-10 000km</v>
      </c>
      <c r="F139" s="75">
        <v>0.85</v>
      </c>
      <c r="G139" s="75">
        <v>0.78</v>
      </c>
      <c r="H139" s="76"/>
      <c r="I139" s="76"/>
      <c r="J139" s="76"/>
      <c r="K139" s="157"/>
      <c r="L139" s="187"/>
      <c r="M139" s="79">
        <v>0</v>
      </c>
      <c r="N139" s="79">
        <v>1.1000000000000001</v>
      </c>
      <c r="O139" s="79">
        <v>8.5</v>
      </c>
      <c r="P139" s="79">
        <v>0.3</v>
      </c>
      <c r="Q139" s="171"/>
    </row>
    <row r="140" spans="1:17" ht="15" thickBot="1">
      <c r="A140" s="360"/>
      <c r="B140" s="363"/>
      <c r="C140" s="132"/>
      <c r="D140" s="80" t="s">
        <v>36</v>
      </c>
      <c r="E140" s="206" t="str">
        <f t="shared" si="21"/>
        <v>Résidus agricoles d'une densité &gt; 0,2 t/m 3 (**)/plus de 10 000km</v>
      </c>
      <c r="F140" s="81">
        <v>0.74</v>
      </c>
      <c r="G140" s="81">
        <v>0.61</v>
      </c>
      <c r="H140" s="82"/>
      <c r="I140" s="82"/>
      <c r="J140" s="82"/>
      <c r="K140" s="83"/>
      <c r="L140" s="188"/>
      <c r="M140" s="177">
        <v>0</v>
      </c>
      <c r="N140" s="133">
        <v>1.1000000000000001</v>
      </c>
      <c r="O140" s="133">
        <v>16.3</v>
      </c>
      <c r="P140" s="133">
        <v>0.3</v>
      </c>
      <c r="Q140" s="172"/>
    </row>
    <row r="141" spans="1:17" ht="15" thickTop="1">
      <c r="A141" s="358" t="s">
        <v>235</v>
      </c>
      <c r="B141" s="361"/>
      <c r="C141" s="73"/>
      <c r="D141" s="20" t="s">
        <v>33</v>
      </c>
      <c r="E141" s="206" t="str">
        <f>A$141&amp;"/"&amp;D141</f>
        <v>Paille granulée/0-500km</v>
      </c>
      <c r="F141" s="75">
        <v>0.85</v>
      </c>
      <c r="G141" s="75">
        <v>0.78</v>
      </c>
      <c r="H141" s="76"/>
      <c r="I141" s="76"/>
      <c r="J141" s="76"/>
      <c r="K141" s="157"/>
      <c r="L141" s="187"/>
      <c r="M141" s="79">
        <v>0</v>
      </c>
      <c r="N141" s="79">
        <v>6</v>
      </c>
      <c r="O141" s="79">
        <v>3.6</v>
      </c>
      <c r="P141" s="79">
        <v>0.3</v>
      </c>
      <c r="Q141" s="171"/>
    </row>
    <row r="142" spans="1:17">
      <c r="A142" s="359"/>
      <c r="B142" s="362"/>
      <c r="C142" s="73"/>
      <c r="D142" s="74" t="s">
        <v>238</v>
      </c>
      <c r="E142" s="206" t="str">
        <f t="shared" ref="E142:E143" si="22">A$141&amp;"/"&amp;D142</f>
        <v>Paille granulée/500-10 000km</v>
      </c>
      <c r="F142" s="75">
        <v>0.83</v>
      </c>
      <c r="G142" s="75">
        <v>0.74</v>
      </c>
      <c r="H142" s="76"/>
      <c r="I142" s="76"/>
      <c r="J142" s="76"/>
      <c r="K142" s="157"/>
      <c r="L142" s="187"/>
      <c r="M142" s="79">
        <v>0</v>
      </c>
      <c r="N142" s="79">
        <v>6</v>
      </c>
      <c r="O142" s="79">
        <v>5.5</v>
      </c>
      <c r="P142" s="79">
        <v>0.3</v>
      </c>
      <c r="Q142" s="171"/>
    </row>
    <row r="143" spans="1:17" ht="15" thickBot="1">
      <c r="A143" s="360"/>
      <c r="B143" s="363"/>
      <c r="C143" s="132"/>
      <c r="D143" s="80" t="s">
        <v>36</v>
      </c>
      <c r="E143" s="206" t="str">
        <f t="shared" si="22"/>
        <v>Paille granulée/plus de 10 000km</v>
      </c>
      <c r="F143" s="81">
        <v>0.76</v>
      </c>
      <c r="G143" s="81">
        <v>0.64</v>
      </c>
      <c r="H143" s="82"/>
      <c r="I143" s="82"/>
      <c r="J143" s="82"/>
      <c r="K143" s="83"/>
      <c r="L143" s="188"/>
      <c r="M143" s="177">
        <v>0</v>
      </c>
      <c r="N143" s="133">
        <v>6</v>
      </c>
      <c r="O143" s="133">
        <v>10</v>
      </c>
      <c r="P143" s="133">
        <v>0.3</v>
      </c>
      <c r="Q143" s="172"/>
    </row>
    <row r="144" spans="1:17" ht="15" thickTop="1">
      <c r="A144" s="359" t="s">
        <v>239</v>
      </c>
      <c r="B144" s="362"/>
      <c r="C144" s="73"/>
      <c r="D144" s="74" t="s">
        <v>238</v>
      </c>
      <c r="E144" s="206" t="str">
        <f>A$144&amp;"/"&amp;D144</f>
        <v>Briquettes de bagasse/500-10 000km</v>
      </c>
      <c r="F144" s="75">
        <v>0.91</v>
      </c>
      <c r="G144" s="75">
        <v>0.87</v>
      </c>
      <c r="H144" s="76"/>
      <c r="I144" s="76"/>
      <c r="J144" s="76"/>
      <c r="K144" s="157"/>
      <c r="L144" s="187"/>
      <c r="M144" s="79">
        <v>0</v>
      </c>
      <c r="N144" s="79">
        <v>0.4</v>
      </c>
      <c r="O144" s="79">
        <v>5.2</v>
      </c>
      <c r="P144" s="79">
        <v>0.5</v>
      </c>
      <c r="Q144" s="171"/>
    </row>
    <row r="145" spans="1:17" ht="15" thickBot="1">
      <c r="A145" s="360"/>
      <c r="B145" s="363"/>
      <c r="C145" s="132"/>
      <c r="D145" s="80" t="s">
        <v>36</v>
      </c>
      <c r="E145" s="206" t="str">
        <f>A$144&amp;"/"&amp;D145</f>
        <v>Briquettes de bagasse/plus de 10 000km</v>
      </c>
      <c r="F145" s="81">
        <v>0.85</v>
      </c>
      <c r="G145" s="81">
        <v>0.77</v>
      </c>
      <c r="H145" s="82"/>
      <c r="I145" s="82"/>
      <c r="J145" s="82"/>
      <c r="K145" s="83"/>
      <c r="L145" s="188"/>
      <c r="M145" s="133">
        <v>0</v>
      </c>
      <c r="N145" s="133">
        <v>0.4</v>
      </c>
      <c r="O145" s="133">
        <v>9.5</v>
      </c>
      <c r="P145" s="133">
        <v>0.5</v>
      </c>
      <c r="Q145" s="172"/>
    </row>
    <row r="146" spans="1:17" ht="15.6" thickTop="1" thickBot="1">
      <c r="A146" s="139" t="s">
        <v>240</v>
      </c>
      <c r="B146" s="134"/>
      <c r="C146" s="132"/>
      <c r="D146" s="80" t="s">
        <v>36</v>
      </c>
      <c r="E146" s="206" t="str">
        <f>A$146&amp;"/"&amp;D146</f>
        <v>Tourteau de palmiste/plus de 10 000km</v>
      </c>
      <c r="F146" s="81">
        <v>0.11</v>
      </c>
      <c r="G146" s="81">
        <v>-0.33</v>
      </c>
      <c r="H146" s="82"/>
      <c r="I146" s="82"/>
      <c r="J146" s="82"/>
      <c r="K146" s="83"/>
      <c r="L146" s="188"/>
      <c r="M146" s="133">
        <v>21.6</v>
      </c>
      <c r="N146" s="133">
        <v>25.4</v>
      </c>
      <c r="O146" s="133">
        <v>13.5</v>
      </c>
      <c r="P146" s="133">
        <v>0.3</v>
      </c>
      <c r="Q146" s="172"/>
    </row>
    <row r="147" spans="1:17" ht="30" thickTop="1" thickBot="1">
      <c r="A147" s="139" t="s">
        <v>241</v>
      </c>
      <c r="B147" s="134"/>
      <c r="C147" s="132"/>
      <c r="D147" s="80" t="s">
        <v>36</v>
      </c>
      <c r="E147" s="206" t="str">
        <f>A$147&amp;"/"&amp;D147</f>
        <v>Tourteau de palmiste (pas d'émissions de CH 4 provenant de l'huilerie)/plus de 10 000km</v>
      </c>
      <c r="F147" s="81">
        <v>0.42</v>
      </c>
      <c r="G147" s="81">
        <v>0.14000000000000001</v>
      </c>
      <c r="H147" s="82"/>
      <c r="I147" s="82"/>
      <c r="J147" s="82"/>
      <c r="K147" s="83"/>
      <c r="L147" s="188"/>
      <c r="M147" s="133">
        <v>21.6</v>
      </c>
      <c r="N147" s="133">
        <v>4.2</v>
      </c>
      <c r="O147" s="133">
        <v>13.5</v>
      </c>
      <c r="P147" s="133">
        <v>0.3</v>
      </c>
      <c r="Q147" s="172"/>
    </row>
    <row r="148" spans="1:17" ht="15" thickTop="1">
      <c r="A148" s="358" t="s">
        <v>243</v>
      </c>
      <c r="B148" s="361" t="s">
        <v>244</v>
      </c>
      <c r="C148" s="145" t="s">
        <v>16</v>
      </c>
      <c r="D148" s="203" t="s">
        <v>245</v>
      </c>
      <c r="E148" s="11" t="str">
        <f t="shared" ref="E148:E153" si="23">A$148&amp;"/"&amp;C148&amp;"/"&amp;D148</f>
        <v>Fumier humide/Cas 1/Digestat ouvert</v>
      </c>
      <c r="F148" s="144">
        <v>0</v>
      </c>
      <c r="G148" s="75">
        <v>0.94</v>
      </c>
      <c r="H148" s="76"/>
      <c r="I148" s="76"/>
      <c r="J148" s="76"/>
      <c r="K148" s="157"/>
      <c r="L148" s="187"/>
      <c r="M148" s="79">
        <v>0</v>
      </c>
      <c r="N148" s="79">
        <v>97.4</v>
      </c>
      <c r="O148" s="79">
        <v>0.8</v>
      </c>
      <c r="P148" s="79">
        <v>12.5</v>
      </c>
      <c r="Q148" s="79">
        <v>-107.3</v>
      </c>
    </row>
    <row r="149" spans="1:17">
      <c r="A149" s="359"/>
      <c r="B149" s="362"/>
      <c r="C149" s="146" t="s">
        <v>16</v>
      </c>
      <c r="D149" s="142" t="s">
        <v>246</v>
      </c>
      <c r="E149" s="11" t="str">
        <f t="shared" si="23"/>
        <v>Fumier humide/Cas 1/Digestat fermé</v>
      </c>
      <c r="F149" s="144">
        <v>0</v>
      </c>
      <c r="G149" s="143">
        <v>2.4</v>
      </c>
      <c r="H149" s="76"/>
      <c r="I149" s="76"/>
      <c r="J149" s="76"/>
      <c r="K149" s="157"/>
      <c r="L149" s="187"/>
      <c r="M149" s="79">
        <v>0</v>
      </c>
      <c r="N149" s="79">
        <v>0</v>
      </c>
      <c r="O149" s="79">
        <v>0.8</v>
      </c>
      <c r="P149" s="79">
        <v>12.5</v>
      </c>
      <c r="Q149" s="79">
        <v>-97.6</v>
      </c>
    </row>
    <row r="150" spans="1:17">
      <c r="A150" s="359"/>
      <c r="B150" s="362"/>
      <c r="C150" s="146" t="s">
        <v>91</v>
      </c>
      <c r="D150" s="203" t="s">
        <v>245</v>
      </c>
      <c r="E150" s="11" t="str">
        <f t="shared" si="23"/>
        <v>Fumier humide/Cas 2/Digestat ouvert</v>
      </c>
      <c r="F150" s="144">
        <v>0</v>
      </c>
      <c r="G150" s="143">
        <v>0.85</v>
      </c>
      <c r="H150" s="76"/>
      <c r="I150" s="76"/>
      <c r="J150" s="76"/>
      <c r="K150" s="157"/>
      <c r="L150" s="187"/>
      <c r="M150" s="79">
        <v>0</v>
      </c>
      <c r="N150" s="79">
        <v>103.7</v>
      </c>
      <c r="O150" s="79">
        <v>0.8</v>
      </c>
      <c r="P150" s="79">
        <v>12.5</v>
      </c>
      <c r="Q150" s="79">
        <v>-107.3</v>
      </c>
    </row>
    <row r="151" spans="1:17">
      <c r="A151" s="359"/>
      <c r="B151" s="362"/>
      <c r="C151" s="146" t="s">
        <v>91</v>
      </c>
      <c r="D151" s="142" t="s">
        <v>246</v>
      </c>
      <c r="E151" s="11" t="str">
        <f t="shared" si="23"/>
        <v>Fumier humide/Cas 2/Digestat fermé</v>
      </c>
      <c r="F151" s="144">
        <v>0</v>
      </c>
      <c r="G151" s="143">
        <v>2.19</v>
      </c>
      <c r="H151" s="76"/>
      <c r="I151" s="76"/>
      <c r="J151" s="76"/>
      <c r="K151" s="157"/>
      <c r="L151" s="187"/>
      <c r="M151" s="79">
        <v>0</v>
      </c>
      <c r="N151" s="79">
        <v>5.9</v>
      </c>
      <c r="O151" s="79">
        <v>0.8</v>
      </c>
      <c r="P151" s="79">
        <v>12.5</v>
      </c>
      <c r="Q151" s="79">
        <v>-97.6</v>
      </c>
    </row>
    <row r="152" spans="1:17">
      <c r="A152" s="359"/>
      <c r="B152" s="362"/>
      <c r="C152" s="146" t="s">
        <v>93</v>
      </c>
      <c r="D152" s="203" t="s">
        <v>245</v>
      </c>
      <c r="E152" s="11" t="str">
        <f t="shared" si="23"/>
        <v>Fumier humide/Cas 3/Digestat ouvert</v>
      </c>
      <c r="F152" s="144">
        <v>0</v>
      </c>
      <c r="G152" s="143">
        <v>0.86</v>
      </c>
      <c r="H152" s="76"/>
      <c r="I152" s="76"/>
      <c r="J152" s="76"/>
      <c r="K152" s="157"/>
      <c r="L152" s="187"/>
      <c r="M152" s="79">
        <v>0</v>
      </c>
      <c r="N152" s="79">
        <v>116.4</v>
      </c>
      <c r="O152" s="79">
        <v>0.8</v>
      </c>
      <c r="P152" s="79">
        <v>12.5</v>
      </c>
      <c r="Q152" s="79">
        <v>-120.7</v>
      </c>
    </row>
    <row r="153" spans="1:17" ht="15" thickBot="1">
      <c r="A153" s="360"/>
      <c r="B153" s="363"/>
      <c r="C153" s="146" t="s">
        <v>93</v>
      </c>
      <c r="D153" s="142" t="s">
        <v>246</v>
      </c>
      <c r="E153" s="11" t="str">
        <f t="shared" si="23"/>
        <v>Fumier humide/Cas 3/Digestat fermé</v>
      </c>
      <c r="F153" s="144">
        <v>0</v>
      </c>
      <c r="G153" s="81">
        <v>2.35</v>
      </c>
      <c r="H153" s="82"/>
      <c r="I153" s="82"/>
      <c r="J153" s="82"/>
      <c r="K153" s="83"/>
      <c r="L153" s="188"/>
      <c r="M153" s="133">
        <v>0</v>
      </c>
      <c r="N153" s="133">
        <v>6.4</v>
      </c>
      <c r="O153" s="133">
        <v>0.8</v>
      </c>
      <c r="P153" s="133">
        <v>12.5</v>
      </c>
      <c r="Q153" s="79">
        <v>-108.5</v>
      </c>
    </row>
    <row r="154" spans="1:17" ht="15" thickTop="1">
      <c r="A154" s="358" t="s">
        <v>248</v>
      </c>
      <c r="B154" s="361" t="s">
        <v>247</v>
      </c>
      <c r="C154" s="145" t="s">
        <v>16</v>
      </c>
      <c r="D154" s="204" t="s">
        <v>245</v>
      </c>
      <c r="E154" s="11" t="str">
        <f t="shared" ref="E154:E159" si="24">A$154&amp;"/"&amp;C154&amp;"/"&amp;D154</f>
        <v>Plant de maïs entier/Cas 1/Digestat ouvert</v>
      </c>
      <c r="F154" s="144">
        <v>0</v>
      </c>
      <c r="G154" s="75">
        <v>0.21</v>
      </c>
      <c r="H154" s="76"/>
      <c r="I154" s="76"/>
      <c r="J154" s="76"/>
      <c r="K154" s="157"/>
      <c r="L154" s="187"/>
      <c r="M154" s="79">
        <v>15.6</v>
      </c>
      <c r="N154" s="79">
        <v>18.899999999999999</v>
      </c>
      <c r="O154" s="79">
        <v>0</v>
      </c>
      <c r="P154" s="79">
        <v>12.5</v>
      </c>
      <c r="Q154" s="176"/>
    </row>
    <row r="155" spans="1:17">
      <c r="A155" s="359"/>
      <c r="B155" s="362"/>
      <c r="C155" s="146" t="s">
        <v>16</v>
      </c>
      <c r="D155" s="142" t="s">
        <v>246</v>
      </c>
      <c r="E155" s="11" t="str">
        <f t="shared" si="24"/>
        <v>Plant de maïs entier/Cas 1/Digestat fermé</v>
      </c>
      <c r="F155" s="144">
        <v>0</v>
      </c>
      <c r="G155" s="75">
        <v>0.53</v>
      </c>
      <c r="H155" s="76"/>
      <c r="I155" s="76"/>
      <c r="J155" s="76"/>
      <c r="K155" s="157"/>
      <c r="L155" s="187"/>
      <c r="M155" s="79">
        <v>15.2</v>
      </c>
      <c r="N155" s="79">
        <v>0</v>
      </c>
      <c r="O155" s="79">
        <v>0</v>
      </c>
      <c r="P155" s="79">
        <v>12.5</v>
      </c>
      <c r="Q155" s="171"/>
    </row>
    <row r="156" spans="1:17">
      <c r="A156" s="359"/>
      <c r="B156" s="362"/>
      <c r="C156" s="146" t="s">
        <v>91</v>
      </c>
      <c r="D156" s="203" t="s">
        <v>245</v>
      </c>
      <c r="E156" s="11" t="str">
        <f t="shared" si="24"/>
        <v>Plant de maïs entier/Cas 2/Digestat ouvert</v>
      </c>
      <c r="F156" s="144">
        <v>0</v>
      </c>
      <c r="G156" s="75">
        <v>0.18</v>
      </c>
      <c r="H156" s="76"/>
      <c r="I156" s="76"/>
      <c r="J156" s="76"/>
      <c r="K156" s="157"/>
      <c r="L156" s="187"/>
      <c r="M156" s="79">
        <v>15.6</v>
      </c>
      <c r="N156" s="79">
        <v>26.3</v>
      </c>
      <c r="O156" s="79">
        <v>0</v>
      </c>
      <c r="P156" s="79">
        <v>12.5</v>
      </c>
      <c r="Q156" s="171"/>
    </row>
    <row r="157" spans="1:17">
      <c r="A157" s="359"/>
      <c r="B157" s="362"/>
      <c r="C157" s="146" t="s">
        <v>91</v>
      </c>
      <c r="D157" s="142" t="s">
        <v>246</v>
      </c>
      <c r="E157" s="11" t="str">
        <f t="shared" si="24"/>
        <v>Plant de maïs entier/Cas 2/Digestat fermé</v>
      </c>
      <c r="F157" s="144">
        <v>0</v>
      </c>
      <c r="G157" s="75">
        <v>0.47</v>
      </c>
      <c r="H157" s="76"/>
      <c r="I157" s="76"/>
      <c r="J157" s="76"/>
      <c r="K157" s="157"/>
      <c r="L157" s="187"/>
      <c r="M157" s="79">
        <v>15.2</v>
      </c>
      <c r="N157" s="79">
        <v>7.2</v>
      </c>
      <c r="O157" s="79">
        <v>0</v>
      </c>
      <c r="P157" s="79">
        <v>12.5</v>
      </c>
      <c r="Q157" s="171"/>
    </row>
    <row r="158" spans="1:17">
      <c r="A158" s="359"/>
      <c r="B158" s="362"/>
      <c r="C158" s="146" t="s">
        <v>93</v>
      </c>
      <c r="D158" s="203" t="s">
        <v>245</v>
      </c>
      <c r="E158" s="11" t="str">
        <f t="shared" si="24"/>
        <v>Plant de maïs entier/Cas 3/Digestat ouvert</v>
      </c>
      <c r="F158" s="144">
        <v>0</v>
      </c>
      <c r="G158" s="75">
        <v>0.1</v>
      </c>
      <c r="H158" s="76"/>
      <c r="I158" s="76"/>
      <c r="J158" s="76"/>
      <c r="K158" s="157"/>
      <c r="L158" s="187"/>
      <c r="M158" s="79">
        <v>17.5</v>
      </c>
      <c r="N158" s="79">
        <v>29.3</v>
      </c>
      <c r="O158" s="79">
        <v>0</v>
      </c>
      <c r="P158" s="79">
        <v>12.5</v>
      </c>
      <c r="Q158" s="171"/>
    </row>
    <row r="159" spans="1:17" ht="15" thickBot="1">
      <c r="A159" s="360"/>
      <c r="B159" s="363"/>
      <c r="C159" s="146" t="s">
        <v>93</v>
      </c>
      <c r="D159" s="142" t="s">
        <v>246</v>
      </c>
      <c r="E159" s="11" t="str">
        <f t="shared" si="24"/>
        <v>Plant de maïs entier/Cas 3/Digestat fermé</v>
      </c>
      <c r="F159" s="144">
        <v>0</v>
      </c>
      <c r="G159" s="81">
        <v>0.43</v>
      </c>
      <c r="H159" s="82"/>
      <c r="I159" s="82"/>
      <c r="J159" s="82"/>
      <c r="K159" s="83"/>
      <c r="L159" s="188"/>
      <c r="M159" s="133">
        <v>17.100000000000001</v>
      </c>
      <c r="N159" s="133">
        <v>7.9</v>
      </c>
      <c r="O159" s="133">
        <v>0</v>
      </c>
      <c r="P159" s="133">
        <v>12.5</v>
      </c>
      <c r="Q159" s="172"/>
    </row>
    <row r="160" spans="1:17" ht="15" thickTop="1">
      <c r="A160" s="358" t="s">
        <v>249</v>
      </c>
      <c r="B160" s="361" t="s">
        <v>233</v>
      </c>
      <c r="C160" s="145" t="s">
        <v>16</v>
      </c>
      <c r="D160" s="204" t="s">
        <v>245</v>
      </c>
      <c r="E160" s="11" t="str">
        <f t="shared" ref="E160:E165" si="25">A$160&amp;"/"&amp;C160&amp;"/"&amp;D160</f>
        <v>Biodéchets/Cas 1/Digestat ouvert</v>
      </c>
      <c r="F160" s="144">
        <v>0</v>
      </c>
      <c r="G160" s="75">
        <v>0.26</v>
      </c>
      <c r="H160" s="76"/>
      <c r="I160" s="76"/>
      <c r="J160" s="76"/>
      <c r="K160" s="157"/>
      <c r="L160" s="187"/>
      <c r="M160" s="79">
        <v>0</v>
      </c>
      <c r="N160" s="79">
        <v>30.6</v>
      </c>
      <c r="O160" s="79">
        <v>0.5</v>
      </c>
      <c r="P160" s="79">
        <v>12.5</v>
      </c>
      <c r="Q160" s="171"/>
    </row>
    <row r="161" spans="1:17">
      <c r="A161" s="359"/>
      <c r="B161" s="362"/>
      <c r="C161" s="146" t="s">
        <v>16</v>
      </c>
      <c r="D161" s="142" t="s">
        <v>246</v>
      </c>
      <c r="E161" s="11" t="str">
        <f t="shared" si="25"/>
        <v>Biodéchets/Cas 1/Digestat fermé</v>
      </c>
      <c r="F161" s="144">
        <v>0</v>
      </c>
      <c r="G161" s="75">
        <v>0.78</v>
      </c>
      <c r="H161" s="76"/>
      <c r="I161" s="76"/>
      <c r="J161" s="76"/>
      <c r="K161" s="157"/>
      <c r="L161" s="187"/>
      <c r="M161" s="79">
        <v>0</v>
      </c>
      <c r="N161" s="79">
        <v>0</v>
      </c>
      <c r="O161" s="79">
        <v>0.5</v>
      </c>
      <c r="P161" s="79">
        <v>12.5</v>
      </c>
      <c r="Q161" s="171"/>
    </row>
    <row r="162" spans="1:17">
      <c r="A162" s="359"/>
      <c r="B162" s="362"/>
      <c r="C162" s="146" t="s">
        <v>91</v>
      </c>
      <c r="D162" s="203" t="s">
        <v>245</v>
      </c>
      <c r="E162" s="11" t="str">
        <f t="shared" si="25"/>
        <v>Biodéchets/Cas 2/Digestat ouvert</v>
      </c>
      <c r="F162" s="144">
        <v>0</v>
      </c>
      <c r="G162" s="75">
        <v>0.21</v>
      </c>
      <c r="H162" s="76"/>
      <c r="I162" s="76"/>
      <c r="J162" s="76"/>
      <c r="K162" s="157"/>
      <c r="L162" s="187"/>
      <c r="M162" s="79">
        <v>0</v>
      </c>
      <c r="N162" s="79">
        <v>39</v>
      </c>
      <c r="O162" s="79">
        <v>0.5</v>
      </c>
      <c r="P162" s="79">
        <v>12.5</v>
      </c>
      <c r="Q162" s="171"/>
    </row>
    <row r="163" spans="1:17">
      <c r="A163" s="359"/>
      <c r="B163" s="362"/>
      <c r="C163" s="146" t="s">
        <v>91</v>
      </c>
      <c r="D163" s="142" t="s">
        <v>246</v>
      </c>
      <c r="E163" s="11" t="str">
        <f t="shared" si="25"/>
        <v>Biodéchets/Cas 2/Digestat fermé</v>
      </c>
      <c r="F163" s="144">
        <v>0</v>
      </c>
      <c r="G163" s="75">
        <v>0.68</v>
      </c>
      <c r="H163" s="76"/>
      <c r="I163" s="76"/>
      <c r="J163" s="76"/>
      <c r="K163" s="157"/>
      <c r="L163" s="187"/>
      <c r="M163" s="79">
        <v>0</v>
      </c>
      <c r="N163" s="79">
        <v>8.3000000000000007</v>
      </c>
      <c r="O163" s="79">
        <v>0.5</v>
      </c>
      <c r="P163" s="79">
        <v>12.5</v>
      </c>
      <c r="Q163" s="171"/>
    </row>
    <row r="164" spans="1:17">
      <c r="A164" s="359"/>
      <c r="B164" s="362"/>
      <c r="C164" s="146" t="s">
        <v>93</v>
      </c>
      <c r="D164" s="203" t="s">
        <v>245</v>
      </c>
      <c r="E164" s="11" t="str">
        <f t="shared" si="25"/>
        <v>Biodéchets/Cas 3/Digestat ouvert</v>
      </c>
      <c r="F164" s="144">
        <v>0</v>
      </c>
      <c r="G164" s="75">
        <v>0.14000000000000001</v>
      </c>
      <c r="H164" s="76"/>
      <c r="I164" s="76"/>
      <c r="J164" s="76"/>
      <c r="K164" s="157"/>
      <c r="L164" s="187"/>
      <c r="M164" s="79">
        <v>0</v>
      </c>
      <c r="N164" s="79">
        <v>43.7</v>
      </c>
      <c r="O164" s="79">
        <v>0.5</v>
      </c>
      <c r="P164" s="79">
        <v>12.5</v>
      </c>
      <c r="Q164" s="171"/>
    </row>
    <row r="165" spans="1:17" ht="15" thickBot="1">
      <c r="A165" s="360"/>
      <c r="B165" s="363"/>
      <c r="C165" s="146" t="s">
        <v>93</v>
      </c>
      <c r="D165" s="205" t="s">
        <v>246</v>
      </c>
      <c r="E165" s="11" t="str">
        <f t="shared" si="25"/>
        <v>Biodéchets/Cas 3/Digestat fermé</v>
      </c>
      <c r="F165" s="144">
        <v>0</v>
      </c>
      <c r="G165" s="81">
        <v>0.66</v>
      </c>
      <c r="H165" s="82"/>
      <c r="I165" s="82"/>
      <c r="J165" s="82"/>
      <c r="K165" s="83"/>
      <c r="L165" s="188"/>
      <c r="M165" s="133">
        <v>0</v>
      </c>
      <c r="N165" s="79">
        <v>9.1</v>
      </c>
      <c r="O165" s="79">
        <v>0.5</v>
      </c>
      <c r="P165" s="79">
        <v>12.5</v>
      </c>
      <c r="Q165" s="172"/>
    </row>
    <row r="166" spans="1:17" ht="15" thickTop="1">
      <c r="A166" s="358" t="s">
        <v>251</v>
      </c>
      <c r="B166" s="361"/>
      <c r="C166" s="145" t="s">
        <v>16</v>
      </c>
      <c r="D166" s="20" t="s">
        <v>245</v>
      </c>
      <c r="E166" s="206" t="str">
        <f t="shared" ref="E166:E171" si="26">A$166&amp;"/"&amp;C166&amp;"/"&amp;D166</f>
        <v>Fumier - maïs 80% - 20%/Cas 1/Digestat ouvert</v>
      </c>
      <c r="F166" s="144">
        <v>0</v>
      </c>
      <c r="G166" s="75">
        <v>0.45</v>
      </c>
      <c r="H166" s="76"/>
      <c r="I166" s="76"/>
      <c r="J166" s="76"/>
      <c r="K166" s="157"/>
      <c r="L166" s="187"/>
      <c r="M166" s="14"/>
      <c r="N166" s="14"/>
      <c r="O166" s="14"/>
      <c r="P166" s="14"/>
      <c r="Q166" s="171"/>
    </row>
    <row r="167" spans="1:17">
      <c r="A167" s="359"/>
      <c r="B167" s="362"/>
      <c r="C167" s="146" t="s">
        <v>16</v>
      </c>
      <c r="D167" s="74" t="s">
        <v>246</v>
      </c>
      <c r="E167" s="206" t="str">
        <f t="shared" si="26"/>
        <v>Fumier - maïs 80% - 20%/Cas 1/Digestat fermé</v>
      </c>
      <c r="F167" s="144">
        <v>0</v>
      </c>
      <c r="G167" s="143">
        <v>1.1399999999999999</v>
      </c>
      <c r="H167" s="76"/>
      <c r="I167" s="76"/>
      <c r="J167" s="76"/>
      <c r="K167" s="157"/>
      <c r="L167" s="187"/>
      <c r="M167" s="14"/>
      <c r="N167" s="14"/>
      <c r="O167" s="14"/>
      <c r="P167" s="14"/>
      <c r="Q167" s="171"/>
    </row>
    <row r="168" spans="1:17">
      <c r="A168" s="359"/>
      <c r="B168" s="362"/>
      <c r="C168" s="146" t="s">
        <v>91</v>
      </c>
      <c r="D168" s="20" t="s">
        <v>245</v>
      </c>
      <c r="E168" s="206" t="str">
        <f t="shared" si="26"/>
        <v>Fumier - maïs 80% - 20%/Cas 2/Digestat ouvert</v>
      </c>
      <c r="F168" s="144">
        <v>0</v>
      </c>
      <c r="G168" s="143">
        <v>0.4</v>
      </c>
      <c r="H168" s="76"/>
      <c r="I168" s="76"/>
      <c r="J168" s="76"/>
      <c r="K168" s="157"/>
      <c r="L168" s="187"/>
      <c r="M168" s="14"/>
      <c r="N168" s="14"/>
      <c r="O168" s="14"/>
      <c r="P168" s="14"/>
      <c r="Q168" s="171"/>
    </row>
    <row r="169" spans="1:17">
      <c r="A169" s="359"/>
      <c r="B169" s="362"/>
      <c r="C169" s="146" t="s">
        <v>91</v>
      </c>
      <c r="D169" s="74" t="s">
        <v>246</v>
      </c>
      <c r="E169" s="206" t="str">
        <f t="shared" si="26"/>
        <v>Fumier - maïs 80% - 20%/Cas 2/Digestat fermé</v>
      </c>
      <c r="F169" s="144">
        <v>0</v>
      </c>
      <c r="G169" s="143">
        <v>1.03</v>
      </c>
      <c r="H169" s="76"/>
      <c r="I169" s="76"/>
      <c r="J169" s="76"/>
      <c r="K169" s="157"/>
      <c r="L169" s="187"/>
      <c r="M169" s="14"/>
      <c r="N169" s="14"/>
      <c r="O169" s="14"/>
      <c r="P169" s="14"/>
      <c r="Q169" s="171"/>
    </row>
    <row r="170" spans="1:17">
      <c r="A170" s="359"/>
      <c r="B170" s="362"/>
      <c r="C170" s="146" t="s">
        <v>93</v>
      </c>
      <c r="D170" s="20" t="s">
        <v>245</v>
      </c>
      <c r="E170" s="206" t="str">
        <f t="shared" si="26"/>
        <v>Fumier - maïs 80% - 20%/Cas 3/Digestat ouvert</v>
      </c>
      <c r="F170" s="144">
        <v>0</v>
      </c>
      <c r="G170" s="143">
        <v>0.35</v>
      </c>
      <c r="H170" s="76"/>
      <c r="I170" s="76"/>
      <c r="J170" s="76"/>
      <c r="K170" s="157"/>
      <c r="L170" s="187"/>
      <c r="M170" s="14"/>
      <c r="N170" s="14"/>
      <c r="O170" s="14"/>
      <c r="P170" s="14"/>
      <c r="Q170" s="171"/>
    </row>
    <row r="171" spans="1:17" ht="15" thickBot="1">
      <c r="A171" s="360"/>
      <c r="B171" s="363"/>
      <c r="C171" s="146" t="s">
        <v>93</v>
      </c>
      <c r="D171" s="74" t="s">
        <v>246</v>
      </c>
      <c r="E171" s="206" t="str">
        <f t="shared" si="26"/>
        <v>Fumier - maïs 80% - 20%/Cas 3/Digestat fermé</v>
      </c>
      <c r="F171" s="144">
        <v>0</v>
      </c>
      <c r="G171" s="81">
        <v>1.06</v>
      </c>
      <c r="H171" s="82"/>
      <c r="I171" s="82"/>
      <c r="J171" s="82"/>
      <c r="K171" s="83"/>
      <c r="L171" s="188"/>
      <c r="M171" s="14"/>
      <c r="N171" s="14"/>
      <c r="O171" s="14"/>
      <c r="P171" s="14"/>
      <c r="Q171" s="172"/>
    </row>
    <row r="172" spans="1:17" ht="15" thickTop="1">
      <c r="A172" s="358" t="s">
        <v>252</v>
      </c>
      <c r="B172" s="361"/>
      <c r="C172" s="145" t="s">
        <v>16</v>
      </c>
      <c r="D172" s="20" t="s">
        <v>245</v>
      </c>
      <c r="E172" s="206" t="str">
        <f t="shared" ref="E172:E177" si="27">A$172&amp;"/"&amp;C172&amp;"/"&amp;D172</f>
        <v>Fumier - maïs 70% - 30%/Cas 1/Digestat ouvert</v>
      </c>
      <c r="F172" s="144">
        <v>0</v>
      </c>
      <c r="G172" s="75">
        <v>0.37</v>
      </c>
      <c r="H172" s="76"/>
      <c r="I172" s="76"/>
      <c r="J172" s="76"/>
      <c r="K172" s="157"/>
      <c r="L172" s="187"/>
      <c r="M172" s="14"/>
      <c r="N172" s="14"/>
      <c r="O172" s="14"/>
      <c r="P172" s="14"/>
      <c r="Q172" s="171"/>
    </row>
    <row r="173" spans="1:17">
      <c r="A173" s="359"/>
      <c r="B173" s="362"/>
      <c r="C173" s="146" t="s">
        <v>16</v>
      </c>
      <c r="D173" s="74" t="s">
        <v>246</v>
      </c>
      <c r="E173" s="206" t="str">
        <f t="shared" si="27"/>
        <v>Fumier - maïs 70% - 30%/Cas 1/Digestat fermé</v>
      </c>
      <c r="F173" s="144">
        <v>0</v>
      </c>
      <c r="G173" s="143">
        <v>0.94</v>
      </c>
      <c r="H173" s="76"/>
      <c r="I173" s="76"/>
      <c r="J173" s="76"/>
      <c r="K173" s="157"/>
      <c r="L173" s="187"/>
      <c r="M173" s="14"/>
      <c r="N173" s="14"/>
      <c r="O173" s="14"/>
      <c r="P173" s="14"/>
      <c r="Q173" s="171"/>
    </row>
    <row r="174" spans="1:17">
      <c r="A174" s="359"/>
      <c r="B174" s="362"/>
      <c r="C174" s="146" t="s">
        <v>91</v>
      </c>
      <c r="D174" s="20" t="s">
        <v>245</v>
      </c>
      <c r="E174" s="206" t="str">
        <f t="shared" si="27"/>
        <v>Fumier - maïs 70% - 30%/Cas 2/Digestat ouvert</v>
      </c>
      <c r="F174" s="144">
        <v>0</v>
      </c>
      <c r="G174" s="143">
        <v>0.32</v>
      </c>
      <c r="H174" s="76"/>
      <c r="I174" s="76"/>
      <c r="J174" s="76"/>
      <c r="K174" s="157"/>
      <c r="L174" s="187"/>
      <c r="M174" s="14"/>
      <c r="N174" s="14"/>
      <c r="O174" s="14"/>
      <c r="P174" s="14"/>
      <c r="Q174" s="171"/>
    </row>
    <row r="175" spans="1:17">
      <c r="A175" s="359"/>
      <c r="B175" s="362"/>
      <c r="C175" s="146" t="s">
        <v>91</v>
      </c>
      <c r="D175" s="74" t="s">
        <v>246</v>
      </c>
      <c r="E175" s="206" t="str">
        <f t="shared" si="27"/>
        <v>Fumier - maïs 70% - 30%/Cas 2/Digestat fermé</v>
      </c>
      <c r="F175" s="144">
        <v>0</v>
      </c>
      <c r="G175" s="143">
        <v>0.85</v>
      </c>
      <c r="H175" s="76"/>
      <c r="I175" s="76"/>
      <c r="J175" s="76"/>
      <c r="K175" s="157"/>
      <c r="L175" s="187"/>
      <c r="M175" s="14"/>
      <c r="N175" s="14"/>
      <c r="O175" s="14"/>
      <c r="P175" s="14"/>
      <c r="Q175" s="171"/>
    </row>
    <row r="176" spans="1:17">
      <c r="A176" s="359"/>
      <c r="B176" s="362"/>
      <c r="C176" s="146" t="s">
        <v>93</v>
      </c>
      <c r="D176" s="20" t="s">
        <v>245</v>
      </c>
      <c r="E176" s="206" t="str">
        <f t="shared" si="27"/>
        <v>Fumier - maïs 70% - 30%/Cas 3/Digestat ouvert</v>
      </c>
      <c r="F176" s="144">
        <v>0</v>
      </c>
      <c r="G176" s="143">
        <v>0.27</v>
      </c>
      <c r="H176" s="76"/>
      <c r="I176" s="76"/>
      <c r="J176" s="76"/>
      <c r="K176" s="157"/>
      <c r="L176" s="187"/>
      <c r="M176" s="14"/>
      <c r="N176" s="14"/>
      <c r="O176" s="14"/>
      <c r="P176" s="14"/>
      <c r="Q176" s="171"/>
    </row>
    <row r="177" spans="1:17" ht="15" thickBot="1">
      <c r="A177" s="360"/>
      <c r="B177" s="363"/>
      <c r="C177" s="146" t="s">
        <v>93</v>
      </c>
      <c r="D177" s="74" t="s">
        <v>246</v>
      </c>
      <c r="E177" s="206" t="str">
        <f t="shared" si="27"/>
        <v>Fumier - maïs 70% - 30%/Cas 3/Digestat fermé</v>
      </c>
      <c r="F177" s="144">
        <v>0</v>
      </c>
      <c r="G177" s="81">
        <v>0.85</v>
      </c>
      <c r="H177" s="82"/>
      <c r="I177" s="82"/>
      <c r="J177" s="82"/>
      <c r="K177" s="83"/>
      <c r="L177" s="188"/>
      <c r="M177" s="14"/>
      <c r="N177" s="14"/>
      <c r="O177" s="14"/>
      <c r="P177" s="14"/>
      <c r="Q177" s="172"/>
    </row>
    <row r="178" spans="1:17" ht="15" thickTop="1">
      <c r="A178" s="358" t="s">
        <v>250</v>
      </c>
      <c r="B178" s="361"/>
      <c r="C178" s="145" t="s">
        <v>16</v>
      </c>
      <c r="D178" s="20" t="s">
        <v>245</v>
      </c>
      <c r="E178" s="206" t="str">
        <f t="shared" ref="E178:E183" si="28">A$178&amp;"/"&amp;C178&amp;"/"&amp;D178</f>
        <v>Fumier - maïs 60% - 40%/Cas 1/Digestat ouvert</v>
      </c>
      <c r="F178" s="144">
        <v>0</v>
      </c>
      <c r="G178" s="75">
        <v>0.32</v>
      </c>
      <c r="H178" s="76"/>
      <c r="I178" s="76"/>
      <c r="J178" s="76"/>
      <c r="K178" s="157"/>
      <c r="L178" s="187"/>
      <c r="M178" s="14"/>
      <c r="N178" s="14"/>
      <c r="O178" s="14"/>
      <c r="P178" s="14"/>
      <c r="Q178" s="171"/>
    </row>
    <row r="179" spans="1:17">
      <c r="A179" s="359"/>
      <c r="B179" s="362"/>
      <c r="C179" s="146" t="s">
        <v>16</v>
      </c>
      <c r="D179" s="74" t="s">
        <v>246</v>
      </c>
      <c r="E179" s="206" t="str">
        <f t="shared" si="28"/>
        <v>Fumier - maïs 60% - 40%/Cas 1/Digestat fermé</v>
      </c>
      <c r="F179" s="144">
        <v>0</v>
      </c>
      <c r="G179" s="143">
        <v>0.82</v>
      </c>
      <c r="H179" s="76"/>
      <c r="I179" s="76"/>
      <c r="J179" s="76"/>
      <c r="K179" s="157"/>
      <c r="L179" s="187"/>
      <c r="M179" s="14"/>
      <c r="N179" s="14"/>
      <c r="O179" s="14"/>
      <c r="P179" s="14"/>
      <c r="Q179" s="171"/>
    </row>
    <row r="180" spans="1:17">
      <c r="A180" s="359"/>
      <c r="B180" s="362"/>
      <c r="C180" s="146" t="s">
        <v>91</v>
      </c>
      <c r="D180" s="20" t="s">
        <v>245</v>
      </c>
      <c r="E180" s="206" t="str">
        <f t="shared" si="28"/>
        <v>Fumier - maïs 60% - 40%/Cas 2/Digestat ouvert</v>
      </c>
      <c r="F180" s="144">
        <v>0</v>
      </c>
      <c r="G180" s="143">
        <v>0.28000000000000003</v>
      </c>
      <c r="H180" s="76"/>
      <c r="I180" s="76"/>
      <c r="J180" s="76"/>
      <c r="K180" s="157"/>
      <c r="L180" s="187"/>
      <c r="M180" s="14"/>
      <c r="N180" s="14"/>
      <c r="O180" s="14"/>
      <c r="P180" s="14"/>
      <c r="Q180" s="171"/>
    </row>
    <row r="181" spans="1:17">
      <c r="A181" s="359"/>
      <c r="B181" s="362"/>
      <c r="C181" s="146" t="s">
        <v>91</v>
      </c>
      <c r="D181" s="74" t="s">
        <v>246</v>
      </c>
      <c r="E181" s="206" t="str">
        <f t="shared" si="28"/>
        <v>Fumier - maïs 60% - 40%/Cas 2/Digestat fermé</v>
      </c>
      <c r="F181" s="144">
        <v>0</v>
      </c>
      <c r="G181" s="143">
        <v>0.73</v>
      </c>
      <c r="H181" s="76"/>
      <c r="I181" s="76"/>
      <c r="J181" s="76"/>
      <c r="K181" s="157"/>
      <c r="L181" s="187"/>
      <c r="M181" s="14"/>
      <c r="N181" s="14"/>
      <c r="O181" s="14"/>
      <c r="P181" s="14"/>
      <c r="Q181" s="171"/>
    </row>
    <row r="182" spans="1:17">
      <c r="A182" s="359"/>
      <c r="B182" s="362"/>
      <c r="C182" s="146" t="s">
        <v>93</v>
      </c>
      <c r="D182" s="20" t="s">
        <v>245</v>
      </c>
      <c r="E182" s="206" t="str">
        <f t="shared" si="28"/>
        <v>Fumier - maïs 60% - 40%/Cas 3/Digestat ouvert</v>
      </c>
      <c r="F182" s="144">
        <v>0</v>
      </c>
      <c r="G182" s="143">
        <v>0.22</v>
      </c>
      <c r="H182" s="76"/>
      <c r="I182" s="76"/>
      <c r="J182" s="76"/>
      <c r="K182" s="157"/>
      <c r="L182" s="187"/>
      <c r="M182" s="14"/>
      <c r="N182" s="14"/>
      <c r="O182" s="14"/>
      <c r="P182" s="14"/>
      <c r="Q182" s="171"/>
    </row>
    <row r="183" spans="1:17" ht="15" thickBot="1">
      <c r="A183" s="360"/>
      <c r="B183" s="363"/>
      <c r="C183" s="146" t="s">
        <v>93</v>
      </c>
      <c r="D183" s="74" t="s">
        <v>246</v>
      </c>
      <c r="E183" s="206" t="str">
        <f t="shared" si="28"/>
        <v>Fumier - maïs 60% - 40%/Cas 3/Digestat fermé</v>
      </c>
      <c r="F183" s="144">
        <v>0</v>
      </c>
      <c r="G183" s="81">
        <v>0.72</v>
      </c>
      <c r="H183" s="82"/>
      <c r="I183" s="82"/>
      <c r="J183" s="82"/>
      <c r="K183" s="83"/>
      <c r="L183" s="188"/>
      <c r="M183" s="14"/>
      <c r="N183" s="14"/>
      <c r="O183" s="14"/>
      <c r="P183" s="14"/>
      <c r="Q183" s="172"/>
    </row>
    <row r="184" spans="1:17" ht="15" thickTop="1"/>
  </sheetData>
  <mergeCells count="63">
    <mergeCell ref="F85:G85"/>
    <mergeCell ref="H85:L85"/>
    <mergeCell ref="M85:Q85"/>
    <mergeCell ref="H86:L86"/>
    <mergeCell ref="A86:B86"/>
    <mergeCell ref="A18:Q18"/>
    <mergeCell ref="A84:Q84"/>
    <mergeCell ref="M19:Q19"/>
    <mergeCell ref="A20:B20"/>
    <mergeCell ref="B112:B114"/>
    <mergeCell ref="A100:A102"/>
    <mergeCell ref="A103:A111"/>
    <mergeCell ref="B103:B105"/>
    <mergeCell ref="B109:B111"/>
    <mergeCell ref="A25:A36"/>
    <mergeCell ref="F19:G19"/>
    <mergeCell ref="H19:L19"/>
    <mergeCell ref="A21:A24"/>
    <mergeCell ref="B21:B24"/>
    <mergeCell ref="A37:A44"/>
    <mergeCell ref="A45:A56"/>
    <mergeCell ref="B115:B117"/>
    <mergeCell ref="B118:B120"/>
    <mergeCell ref="A121:A132"/>
    <mergeCell ref="B121:B124"/>
    <mergeCell ref="B125:B128"/>
    <mergeCell ref="B129:B132"/>
    <mergeCell ref="A112:A120"/>
    <mergeCell ref="A178:A183"/>
    <mergeCell ref="B178:B183"/>
    <mergeCell ref="A172:A177"/>
    <mergeCell ref="B172:B177"/>
    <mergeCell ref="A166:A171"/>
    <mergeCell ref="B166:B171"/>
    <mergeCell ref="A160:A165"/>
    <mergeCell ref="B160:B165"/>
    <mergeCell ref="A148:A153"/>
    <mergeCell ref="B148:B153"/>
    <mergeCell ref="A154:A159"/>
    <mergeCell ref="B154:B159"/>
    <mergeCell ref="A141:A143"/>
    <mergeCell ref="B141:B143"/>
    <mergeCell ref="A144:A145"/>
    <mergeCell ref="B144:B145"/>
    <mergeCell ref="A81:A82"/>
    <mergeCell ref="A133:A136"/>
    <mergeCell ref="B133:B136"/>
    <mergeCell ref="A137:A140"/>
    <mergeCell ref="B137:B140"/>
    <mergeCell ref="B89:B91"/>
    <mergeCell ref="A88:A91"/>
    <mergeCell ref="A92:A95"/>
    <mergeCell ref="B93:B95"/>
    <mergeCell ref="A96:A99"/>
    <mergeCell ref="B97:B99"/>
    <mergeCell ref="B106:B108"/>
    <mergeCell ref="A57:A80"/>
    <mergeCell ref="B58:B60"/>
    <mergeCell ref="B62:B64"/>
    <mergeCell ref="B66:B68"/>
    <mergeCell ref="B70:B72"/>
    <mergeCell ref="B74:B76"/>
    <mergeCell ref="B78:B80"/>
  </mergeCells>
  <conditionalFormatting sqref="F87:G183">
    <cfRule type="cellIs" dxfId="0" priority="1" operator="lessThan">
      <formula>0.7</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0817-A3A5-4940-A878-3EFD717DFF67}">
  <dimension ref="A1:O94"/>
  <sheetViews>
    <sheetView workbookViewId="0">
      <selection activeCell="A17" sqref="A17"/>
    </sheetView>
  </sheetViews>
  <sheetFormatPr baseColWidth="10" defaultRowHeight="14.4"/>
  <sheetData>
    <row r="1" spans="1:15">
      <c r="A1" s="32" t="s">
        <v>0</v>
      </c>
      <c r="I1" s="32" t="s">
        <v>76</v>
      </c>
      <c r="O1" s="32" t="s">
        <v>12</v>
      </c>
    </row>
    <row r="2" spans="1:15">
      <c r="A2" t="s">
        <v>77</v>
      </c>
      <c r="I2" t="s">
        <v>78</v>
      </c>
      <c r="O2" t="s">
        <v>82</v>
      </c>
    </row>
    <row r="3" spans="1:15">
      <c r="A3" t="s">
        <v>79</v>
      </c>
      <c r="I3" t="s">
        <v>80</v>
      </c>
      <c r="O3" t="s">
        <v>13</v>
      </c>
    </row>
    <row r="4" spans="1:15">
      <c r="A4" t="s">
        <v>1</v>
      </c>
      <c r="I4" t="s">
        <v>81</v>
      </c>
      <c r="O4" t="s">
        <v>84</v>
      </c>
    </row>
    <row r="5" spans="1:15">
      <c r="I5" t="s">
        <v>83</v>
      </c>
    </row>
    <row r="6" spans="1:15">
      <c r="A6" s="32" t="s">
        <v>2</v>
      </c>
      <c r="O6" s="32" t="s">
        <v>15</v>
      </c>
    </row>
    <row r="7" spans="1:15">
      <c r="A7" t="s">
        <v>85</v>
      </c>
      <c r="I7" s="32" t="s">
        <v>340</v>
      </c>
      <c r="O7" t="s">
        <v>16</v>
      </c>
    </row>
    <row r="8" spans="1:15">
      <c r="A8" t="s">
        <v>3</v>
      </c>
      <c r="I8" t="s">
        <v>86</v>
      </c>
      <c r="O8" t="s">
        <v>91</v>
      </c>
    </row>
    <row r="9" spans="1:15">
      <c r="A9" t="s">
        <v>87</v>
      </c>
      <c r="I9" t="s">
        <v>88</v>
      </c>
      <c r="O9" t="s">
        <v>93</v>
      </c>
    </row>
    <row r="10" spans="1:15">
      <c r="A10" t="s">
        <v>89</v>
      </c>
      <c r="I10" t="s">
        <v>90</v>
      </c>
    </row>
    <row r="11" spans="1:15">
      <c r="I11" t="s">
        <v>92</v>
      </c>
      <c r="O11" s="32" t="s">
        <v>9</v>
      </c>
    </row>
    <row r="12" spans="1:15">
      <c r="A12" s="101" t="s">
        <v>94</v>
      </c>
      <c r="I12" t="s">
        <v>95</v>
      </c>
      <c r="O12" t="s">
        <v>10</v>
      </c>
    </row>
    <row r="13" spans="1:15">
      <c r="A13" t="s">
        <v>96</v>
      </c>
      <c r="I13" t="s">
        <v>97</v>
      </c>
      <c r="O13" t="s">
        <v>101</v>
      </c>
    </row>
    <row r="14" spans="1:15">
      <c r="A14" t="s">
        <v>98</v>
      </c>
      <c r="I14" t="s">
        <v>99</v>
      </c>
      <c r="O14" t="s">
        <v>103</v>
      </c>
    </row>
    <row r="15" spans="1:15">
      <c r="I15" t="s">
        <v>100</v>
      </c>
      <c r="O15" t="s">
        <v>84</v>
      </c>
    </row>
    <row r="16" spans="1:15">
      <c r="A16" s="32" t="s">
        <v>242</v>
      </c>
      <c r="I16" t="s">
        <v>102</v>
      </c>
      <c r="O16" t="s">
        <v>106</v>
      </c>
    </row>
    <row r="17" spans="1:15">
      <c r="A17" t="s">
        <v>254</v>
      </c>
      <c r="I17" t="s">
        <v>104</v>
      </c>
    </row>
    <row r="18" spans="1:15">
      <c r="A18" t="s">
        <v>255</v>
      </c>
      <c r="I18" t="s">
        <v>105</v>
      </c>
      <c r="O18" s="32" t="s">
        <v>110</v>
      </c>
    </row>
    <row r="19" spans="1:15">
      <c r="A19" t="s">
        <v>256</v>
      </c>
      <c r="I19" t="s">
        <v>108</v>
      </c>
      <c r="O19" t="s">
        <v>371</v>
      </c>
    </row>
    <row r="20" spans="1:15">
      <c r="A20" t="s">
        <v>258</v>
      </c>
      <c r="I20" t="s">
        <v>109</v>
      </c>
      <c r="O20" t="s">
        <v>228</v>
      </c>
    </row>
    <row r="21" spans="1:15">
      <c r="A21" t="s">
        <v>259</v>
      </c>
      <c r="I21" t="s">
        <v>112</v>
      </c>
    </row>
    <row r="22" spans="1:15">
      <c r="A22" t="s">
        <v>260</v>
      </c>
      <c r="I22" t="s">
        <v>114</v>
      </c>
    </row>
    <row r="23" spans="1:15">
      <c r="A23" t="s">
        <v>261</v>
      </c>
      <c r="I23" t="s">
        <v>116</v>
      </c>
    </row>
    <row r="24" spans="1:15">
      <c r="A24" t="s">
        <v>262</v>
      </c>
      <c r="I24" t="s">
        <v>118</v>
      </c>
    </row>
    <row r="25" spans="1:15">
      <c r="A25" t="s">
        <v>232</v>
      </c>
    </row>
    <row r="26" spans="1:15">
      <c r="A26" t="s">
        <v>234</v>
      </c>
    </row>
    <row r="27" spans="1:15">
      <c r="A27" t="s">
        <v>235</v>
      </c>
      <c r="I27" s="32" t="s">
        <v>122</v>
      </c>
    </row>
    <row r="28" spans="1:15">
      <c r="A28" t="s">
        <v>239</v>
      </c>
      <c r="I28" t="s">
        <v>124</v>
      </c>
    </row>
    <row r="29" spans="1:15">
      <c r="A29" t="s">
        <v>240</v>
      </c>
      <c r="I29" t="s">
        <v>126</v>
      </c>
    </row>
    <row r="30" spans="1:15">
      <c r="A30" t="s">
        <v>241</v>
      </c>
      <c r="I30" t="s">
        <v>127</v>
      </c>
    </row>
    <row r="31" spans="1:15">
      <c r="A31" t="s">
        <v>243</v>
      </c>
      <c r="I31" t="s">
        <v>128</v>
      </c>
    </row>
    <row r="32" spans="1:15">
      <c r="A32" t="s">
        <v>248</v>
      </c>
    </row>
    <row r="33" spans="1:9">
      <c r="A33" t="s">
        <v>249</v>
      </c>
      <c r="I33" s="32" t="s">
        <v>268</v>
      </c>
    </row>
    <row r="34" spans="1:9">
      <c r="A34" t="s">
        <v>251</v>
      </c>
      <c r="I34" t="s">
        <v>269</v>
      </c>
    </row>
    <row r="35" spans="1:9">
      <c r="A35" t="s">
        <v>252</v>
      </c>
      <c r="I35" t="s">
        <v>270</v>
      </c>
    </row>
    <row r="36" spans="1:9">
      <c r="A36" t="s">
        <v>250</v>
      </c>
      <c r="I36" t="s">
        <v>271</v>
      </c>
    </row>
    <row r="37" spans="1:9">
      <c r="I37" t="s">
        <v>272</v>
      </c>
    </row>
    <row r="38" spans="1:9">
      <c r="A38" s="32" t="s">
        <v>339</v>
      </c>
      <c r="I38" t="s">
        <v>273</v>
      </c>
    </row>
    <row r="39" spans="1:9">
      <c r="A39" t="s">
        <v>226</v>
      </c>
      <c r="I39" t="s">
        <v>274</v>
      </c>
    </row>
    <row r="40" spans="1:9">
      <c r="A40" t="s">
        <v>372</v>
      </c>
    </row>
    <row r="41" spans="1:9">
      <c r="A41" t="s">
        <v>107</v>
      </c>
      <c r="I41" s="32" t="s">
        <v>203</v>
      </c>
    </row>
    <row r="42" spans="1:9">
      <c r="A42" t="s">
        <v>350</v>
      </c>
      <c r="I42" t="s">
        <v>33</v>
      </c>
    </row>
    <row r="43" spans="1:9">
      <c r="A43" t="s">
        <v>373</v>
      </c>
      <c r="I43" t="s">
        <v>34</v>
      </c>
    </row>
    <row r="44" spans="1:9">
      <c r="A44" t="s">
        <v>111</v>
      </c>
      <c r="I44" t="s">
        <v>238</v>
      </c>
    </row>
    <row r="45" spans="1:9">
      <c r="A45" t="s">
        <v>113</v>
      </c>
      <c r="I45" t="s">
        <v>35</v>
      </c>
    </row>
    <row r="46" spans="1:9">
      <c r="A46" t="s">
        <v>115</v>
      </c>
      <c r="I46" t="s">
        <v>36</v>
      </c>
    </row>
    <row r="47" spans="1:9">
      <c r="A47" t="s">
        <v>117</v>
      </c>
    </row>
    <row r="48" spans="1:9">
      <c r="A48" t="s">
        <v>119</v>
      </c>
    </row>
    <row r="49" spans="1:1">
      <c r="A49" t="s">
        <v>120</v>
      </c>
    </row>
    <row r="50" spans="1:1">
      <c r="A50" t="s">
        <v>121</v>
      </c>
    </row>
    <row r="51" spans="1:1">
      <c r="A51" t="s">
        <v>123</v>
      </c>
    </row>
    <row r="52" spans="1:1">
      <c r="A52" t="s">
        <v>125</v>
      </c>
    </row>
    <row r="53" spans="1:1">
      <c r="A53" t="s">
        <v>62</v>
      </c>
    </row>
    <row r="54" spans="1:1">
      <c r="A54" t="s">
        <v>64</v>
      </c>
    </row>
    <row r="55" spans="1:1">
      <c r="A55" t="s">
        <v>254</v>
      </c>
    </row>
    <row r="56" spans="1:1">
      <c r="A56" t="s">
        <v>255</v>
      </c>
    </row>
    <row r="57" spans="1:1">
      <c r="A57" t="s">
        <v>256</v>
      </c>
    </row>
    <row r="58" spans="1:1">
      <c r="A58" t="s">
        <v>258</v>
      </c>
    </row>
    <row r="59" spans="1:1">
      <c r="A59" t="s">
        <v>259</v>
      </c>
    </row>
    <row r="60" spans="1:1">
      <c r="A60" t="s">
        <v>260</v>
      </c>
    </row>
    <row r="61" spans="1:1">
      <c r="A61" t="s">
        <v>261</v>
      </c>
    </row>
    <row r="62" spans="1:1">
      <c r="A62" t="s">
        <v>262</v>
      </c>
    </row>
    <row r="63" spans="1:1">
      <c r="A63" t="s">
        <v>232</v>
      </c>
    </row>
    <row r="64" spans="1:1">
      <c r="A64" t="s">
        <v>234</v>
      </c>
    </row>
    <row r="65" spans="1:1">
      <c r="A65" t="s">
        <v>235</v>
      </c>
    </row>
    <row r="66" spans="1:1">
      <c r="A66" t="s">
        <v>239</v>
      </c>
    </row>
    <row r="67" spans="1:1">
      <c r="A67" t="s">
        <v>240</v>
      </c>
    </row>
    <row r="68" spans="1:1">
      <c r="A68" t="s">
        <v>241</v>
      </c>
    </row>
    <row r="70" spans="1:1">
      <c r="A70" s="32" t="s">
        <v>275</v>
      </c>
    </row>
    <row r="71" spans="1:1">
      <c r="A71" t="s">
        <v>129</v>
      </c>
    </row>
    <row r="72" spans="1:1">
      <c r="A72" t="s">
        <v>130</v>
      </c>
    </row>
    <row r="73" spans="1:1">
      <c r="A73" t="s">
        <v>131</v>
      </c>
    </row>
    <row r="74" spans="1:1">
      <c r="A74" t="s">
        <v>132</v>
      </c>
    </row>
    <row r="75" spans="1:1">
      <c r="A75" t="s">
        <v>133</v>
      </c>
    </row>
    <row r="76" spans="1:1">
      <c r="A76" t="s">
        <v>134</v>
      </c>
    </row>
    <row r="77" spans="1:1">
      <c r="A77" t="s">
        <v>135</v>
      </c>
    </row>
    <row r="78" spans="1:1">
      <c r="A78" t="s">
        <v>136</v>
      </c>
    </row>
    <row r="79" spans="1:1">
      <c r="A79" t="s">
        <v>137</v>
      </c>
    </row>
    <row r="80" spans="1:1">
      <c r="A80" t="s">
        <v>138</v>
      </c>
    </row>
    <row r="81" spans="1:1">
      <c r="A81" t="s">
        <v>73</v>
      </c>
    </row>
    <row r="82" spans="1:1">
      <c r="A82" t="s">
        <v>139</v>
      </c>
    </row>
    <row r="83" spans="1:1">
      <c r="A83" t="s">
        <v>140</v>
      </c>
    </row>
    <row r="84" spans="1:1">
      <c r="A84" t="s">
        <v>141</v>
      </c>
    </row>
    <row r="85" spans="1:1">
      <c r="A85" t="s">
        <v>142</v>
      </c>
    </row>
    <row r="86" spans="1:1">
      <c r="A86" t="s">
        <v>143</v>
      </c>
    </row>
    <row r="87" spans="1:1">
      <c r="A87" t="s">
        <v>144</v>
      </c>
    </row>
    <row r="88" spans="1:1">
      <c r="A88" t="s">
        <v>145</v>
      </c>
    </row>
    <row r="89" spans="1:1">
      <c r="A89" t="s">
        <v>74</v>
      </c>
    </row>
    <row r="90" spans="1:1">
      <c r="A90" t="s">
        <v>146</v>
      </c>
    </row>
    <row r="91" spans="1:1">
      <c r="A91" t="s">
        <v>147</v>
      </c>
    </row>
    <row r="92" spans="1:1">
      <c r="A92" t="s">
        <v>150</v>
      </c>
    </row>
    <row r="93" spans="1:1">
      <c r="A93" s="268" t="s">
        <v>148</v>
      </c>
    </row>
    <row r="94" spans="1:1">
      <c r="A94" s="268" t="s">
        <v>149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0. Installation</vt:lpstr>
      <vt:lpstr>1. Déclaration</vt:lpstr>
      <vt:lpstr>2. Détail calcul GES</vt:lpstr>
      <vt:lpstr>3. Attestation durabilité</vt:lpstr>
      <vt:lpstr>4. Attestations GES</vt:lpstr>
      <vt:lpstr>5. Effic. éner.</vt:lpstr>
      <vt:lpstr>Contrôle global</vt:lpstr>
      <vt:lpstr>Références GES</vt:lpstr>
      <vt:lpstr>Listes</vt: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DUHALDE Michel</dc:creator>
  <cp:lastModifiedBy>IZZO Luca</cp:lastModifiedBy>
  <dcterms:created xsi:type="dcterms:W3CDTF">2015-06-05T18:19:34Z</dcterms:created>
  <dcterms:modified xsi:type="dcterms:W3CDTF">2025-12-18T15:05:12Z</dcterms:modified>
</cp:coreProperties>
</file>