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hidePivotFieldList="1"/>
  <bookViews>
    <workbookView xWindow="-28920" yWindow="-120" windowWidth="20730" windowHeight="11760" tabRatio="688"/>
  </bookViews>
  <sheets>
    <sheet name="A LIRE_mode d'emploi" sheetId="12" r:id="rId1"/>
    <sheet name="Réferentiel_Engrais_Min" sheetId="2" r:id="rId2"/>
    <sheet name="Corres Engr min &gt;&gt; ref génériqu" sheetId="8" r:id="rId3"/>
    <sheet name="FE_VN" sheetId="7" r:id="rId4"/>
    <sheet name="FA_materiel-delais" sheetId="6" r:id="rId5"/>
    <sheet name="Referentiel_PRO_entrée AMG" sheetId="10" r:id="rId6"/>
    <sheet name="Referentiel_PRO_long_agribalyse" sheetId="13" r:id="rId7"/>
    <sheet name="Referentiel_PRO_générique" sheetId="11" r:id="rId8"/>
    <sheet name="PRO data" sheetId="4" r:id="rId9"/>
  </sheets>
  <definedNames>
    <definedName name="_xlnm._FilterDatabase" localSheetId="8" hidden="1">'PRO data'!$A$3:$BB$81</definedName>
    <definedName name="_xlnm._FilterDatabase" localSheetId="5" hidden="1">'Referentiel_PRO_entrée AMG'!$A$5:$O$34</definedName>
    <definedName name="_xlnm._FilterDatabase" localSheetId="7" hidden="1">Referentiel_PRO_générique!$A$5:$P$27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11" l="1"/>
  <c r="L10" i="10" l="1"/>
  <c r="L9" i="10"/>
  <c r="J6" i="10"/>
  <c r="F112" i="4" l="1"/>
  <c r="L110" i="4"/>
  <c r="G105" i="4"/>
  <c r="G104" i="4"/>
  <c r="G101" i="4"/>
  <c r="I100" i="4"/>
  <c r="H100" i="4"/>
  <c r="P50" i="4"/>
  <c r="M50" i="4" s="1"/>
  <c r="I92" i="4"/>
  <c r="H92" i="4"/>
  <c r="I91" i="4"/>
  <c r="H91" i="4"/>
  <c r="I90" i="4"/>
  <c r="H90" i="4"/>
  <c r="G90" i="4"/>
  <c r="I88" i="4"/>
  <c r="H88" i="4"/>
  <c r="G88" i="4"/>
  <c r="I87" i="4"/>
  <c r="H87" i="4"/>
  <c r="G87" i="4"/>
  <c r="AJ79" i="4"/>
  <c r="AI79" i="4"/>
  <c r="AD79" i="4"/>
  <c r="AB79" i="4"/>
  <c r="AA79" i="4"/>
  <c r="X79" i="4"/>
  <c r="W79" i="4"/>
  <c r="L79" i="4" s="1"/>
  <c r="I79" i="4" s="1"/>
  <c r="S79" i="4" s="1"/>
  <c r="U79" i="4"/>
  <c r="M79" i="4"/>
  <c r="J79" i="4" s="1"/>
  <c r="T79" i="4" s="1"/>
  <c r="K79" i="4"/>
  <c r="H79" i="4" s="1"/>
  <c r="R79" i="4" s="1"/>
  <c r="G79" i="4"/>
  <c r="F79" i="4"/>
  <c r="AH78" i="4"/>
  <c r="K78" i="4" s="1"/>
  <c r="H78" i="4" s="1"/>
  <c r="R78" i="4" s="1"/>
  <c r="AD78" i="4"/>
  <c r="AB78" i="4"/>
  <c r="AA78" i="4"/>
  <c r="X78" i="4"/>
  <c r="W78" i="4"/>
  <c r="U78" i="4"/>
  <c r="G78" i="4"/>
  <c r="F78" i="4"/>
  <c r="AQ77" i="4"/>
  <c r="AN77" i="4"/>
  <c r="AJ77" i="4"/>
  <c r="AI77" i="4"/>
  <c r="AD77" i="4"/>
  <c r="AB77" i="4"/>
  <c r="AA77" i="4"/>
  <c r="X77" i="4"/>
  <c r="M77" i="4" s="1"/>
  <c r="J77" i="4" s="1"/>
  <c r="T77" i="4" s="1"/>
  <c r="W77" i="4"/>
  <c r="U77" i="4"/>
  <c r="K77" i="4"/>
  <c r="G77" i="4"/>
  <c r="F77" i="4"/>
  <c r="AQ76" i="4"/>
  <c r="AN76" i="4"/>
  <c r="AJ76" i="4"/>
  <c r="AI76" i="4"/>
  <c r="AD76" i="4"/>
  <c r="AB76" i="4"/>
  <c r="AA76" i="4"/>
  <c r="X76" i="4"/>
  <c r="W76" i="4"/>
  <c r="L76" i="4" s="1"/>
  <c r="U76" i="4"/>
  <c r="K76" i="4"/>
  <c r="H76" i="4" s="1"/>
  <c r="R76" i="4" s="1"/>
  <c r="G76" i="4"/>
  <c r="F76" i="4"/>
  <c r="AH75" i="4"/>
  <c r="K75" i="4" s="1"/>
  <c r="H75" i="4" s="1"/>
  <c r="R75" i="4" s="1"/>
  <c r="AD75" i="4"/>
  <c r="AB75" i="4"/>
  <c r="AA75" i="4"/>
  <c r="X75" i="4"/>
  <c r="W75" i="4"/>
  <c r="U75" i="4"/>
  <c r="G75" i="4"/>
  <c r="F75" i="4"/>
  <c r="AJ74" i="4"/>
  <c r="AI74" i="4"/>
  <c r="AD74" i="4"/>
  <c r="AB74" i="4"/>
  <c r="AA74" i="4"/>
  <c r="X74" i="4"/>
  <c r="M74" i="4" s="1"/>
  <c r="J74" i="4" s="1"/>
  <c r="T74" i="4" s="1"/>
  <c r="W74" i="4"/>
  <c r="L74" i="4" s="1"/>
  <c r="I74" i="4" s="1"/>
  <c r="S74" i="4" s="1"/>
  <c r="U74" i="4"/>
  <c r="K74" i="4"/>
  <c r="AG74" i="4" s="1"/>
  <c r="G74" i="4"/>
  <c r="F74" i="4"/>
  <c r="AQ73" i="4"/>
  <c r="AN73" i="4"/>
  <c r="AH73" i="4"/>
  <c r="AB73" i="4"/>
  <c r="AA73" i="4"/>
  <c r="X73" i="4"/>
  <c r="Y73" i="4" s="1"/>
  <c r="V73" i="4"/>
  <c r="AD73" i="4" s="1"/>
  <c r="U73" i="4"/>
  <c r="E73" i="4"/>
  <c r="AQ72" i="4"/>
  <c r="AN72" i="4"/>
  <c r="AH72" i="4"/>
  <c r="X72" i="4"/>
  <c r="AB72" i="4" s="1"/>
  <c r="W72" i="4"/>
  <c r="AA72" i="4" s="1"/>
  <c r="G72" i="4"/>
  <c r="AS72" i="4" s="1"/>
  <c r="F72" i="4"/>
  <c r="AR72" i="4" s="1"/>
  <c r="AC71" i="4"/>
  <c r="Y71" i="4"/>
  <c r="Q71" i="4"/>
  <c r="AQ70" i="4"/>
  <c r="AN70" i="4"/>
  <c r="U70" i="4"/>
  <c r="P70" i="4"/>
  <c r="O70" i="4"/>
  <c r="N70" i="4"/>
  <c r="L70" i="4"/>
  <c r="I70" i="4" s="1"/>
  <c r="S70" i="4" s="1"/>
  <c r="E70" i="4"/>
  <c r="E45" i="4" s="1"/>
  <c r="AS69" i="4"/>
  <c r="AR69" i="4"/>
  <c r="AQ69" i="4"/>
  <c r="AP69" i="4"/>
  <c r="AO69" i="4"/>
  <c r="AN69" i="4"/>
  <c r="AB69" i="4"/>
  <c r="AA69" i="4"/>
  <c r="AE69" i="4" s="1"/>
  <c r="Z69" i="4"/>
  <c r="AD69" i="4" s="1"/>
  <c r="Y69" i="4"/>
  <c r="M69" i="4"/>
  <c r="L69" i="4"/>
  <c r="K69" i="4"/>
  <c r="N69" i="4" s="1"/>
  <c r="AS68" i="4"/>
  <c r="AR68" i="4"/>
  <c r="AQ68" i="4"/>
  <c r="AP68" i="4"/>
  <c r="AO68" i="4"/>
  <c r="AN68" i="4"/>
  <c r="AB68" i="4"/>
  <c r="AA68" i="4"/>
  <c r="Z68" i="4"/>
  <c r="X68" i="4"/>
  <c r="W68" i="4"/>
  <c r="V68" i="4"/>
  <c r="U68" i="4"/>
  <c r="M68" i="4"/>
  <c r="L68" i="4"/>
  <c r="I68" i="4" s="1"/>
  <c r="S68" i="4" s="1"/>
  <c r="K68" i="4"/>
  <c r="H68" i="4" s="1"/>
  <c r="R68" i="4" s="1"/>
  <c r="AS67" i="4"/>
  <c r="AR67" i="4"/>
  <c r="AQ67" i="4"/>
  <c r="AP67" i="4"/>
  <c r="AO67" i="4"/>
  <c r="AN67" i="4"/>
  <c r="AB67" i="4"/>
  <c r="AA67" i="4"/>
  <c r="Z67" i="4"/>
  <c r="X67" i="4"/>
  <c r="W67" i="4"/>
  <c r="V67" i="4"/>
  <c r="N67" i="4"/>
  <c r="M67" i="4"/>
  <c r="L67" i="4"/>
  <c r="K67" i="4"/>
  <c r="AS66" i="4"/>
  <c r="AR66" i="4"/>
  <c r="AQ66" i="4"/>
  <c r="AP66" i="4"/>
  <c r="AO66" i="4"/>
  <c r="AN66" i="4"/>
  <c r="Z66" i="4"/>
  <c r="Y66" i="4"/>
  <c r="V66" i="4"/>
  <c r="N66" i="4"/>
  <c r="M66" i="4"/>
  <c r="L66" i="4"/>
  <c r="K66" i="4"/>
  <c r="AC65" i="4"/>
  <c r="Y65" i="4"/>
  <c r="Q65" i="4"/>
  <c r="AJ64" i="4"/>
  <c r="AI64" i="4"/>
  <c r="AH64" i="4"/>
  <c r="U64" i="4"/>
  <c r="J64" i="4"/>
  <c r="M64" i="4" s="1"/>
  <c r="I64" i="4"/>
  <c r="H64" i="4"/>
  <c r="K64" i="4" s="1"/>
  <c r="G64" i="4"/>
  <c r="F64" i="4"/>
  <c r="E64" i="4"/>
  <c r="AS63" i="4"/>
  <c r="AR63" i="4"/>
  <c r="AQ63" i="4"/>
  <c r="AP63" i="4"/>
  <c r="AO63" i="4"/>
  <c r="AN63" i="4"/>
  <c r="AB63" i="4"/>
  <c r="AA63" i="4"/>
  <c r="Z63" i="4"/>
  <c r="X63" i="4"/>
  <c r="W63" i="4"/>
  <c r="V63" i="4"/>
  <c r="U63" i="4"/>
  <c r="M63" i="4"/>
  <c r="T63" i="4" s="1"/>
  <c r="L63" i="4"/>
  <c r="K63" i="4"/>
  <c r="AS62" i="4"/>
  <c r="AS64" i="4" s="1"/>
  <c r="AR62" i="4"/>
  <c r="AQ62" i="4"/>
  <c r="AQ64" i="4" s="1"/>
  <c r="AP62" i="4"/>
  <c r="AP64" i="4" s="1"/>
  <c r="AO62" i="4"/>
  <c r="AO64" i="4" s="1"/>
  <c r="AN62" i="4"/>
  <c r="AN64" i="4" s="1"/>
  <c r="AB62" i="4"/>
  <c r="AA62" i="4"/>
  <c r="Z62" i="4"/>
  <c r="Z64" i="4" s="1"/>
  <c r="X62" i="4"/>
  <c r="W62" i="4"/>
  <c r="W64" i="4" s="1"/>
  <c r="V62" i="4"/>
  <c r="V64" i="4" s="1"/>
  <c r="U62" i="4"/>
  <c r="M62" i="4"/>
  <c r="P62" i="4" s="1"/>
  <c r="L62" i="4"/>
  <c r="K62" i="4"/>
  <c r="AS61" i="4"/>
  <c r="AR61" i="4"/>
  <c r="AQ61" i="4"/>
  <c r="AP61" i="4"/>
  <c r="AO61" i="4"/>
  <c r="AN61" i="4"/>
  <c r="AB61" i="4"/>
  <c r="AA61" i="4"/>
  <c r="Z61" i="4"/>
  <c r="X61" i="4"/>
  <c r="W61" i="4"/>
  <c r="AE61" i="4" s="1"/>
  <c r="V61" i="4"/>
  <c r="U61" i="4"/>
  <c r="M61" i="4"/>
  <c r="L61" i="4"/>
  <c r="K61" i="4"/>
  <c r="AS60" i="4"/>
  <c r="AR60" i="4"/>
  <c r="AP60" i="4"/>
  <c r="AO60" i="4"/>
  <c r="AM60" i="4"/>
  <c r="AL60" i="4"/>
  <c r="AK60" i="4"/>
  <c r="AG60" i="4"/>
  <c r="AD60" i="4"/>
  <c r="AB60" i="4"/>
  <c r="AA60" i="4"/>
  <c r="X60" i="4"/>
  <c r="W60" i="4"/>
  <c r="M60" i="4"/>
  <c r="L60" i="4"/>
  <c r="AI60" i="4" s="1"/>
  <c r="J60" i="4"/>
  <c r="I60" i="4"/>
  <c r="S60" i="4" s="1"/>
  <c r="H60" i="4"/>
  <c r="R60" i="4" s="1"/>
  <c r="G60" i="4"/>
  <c r="F60" i="4"/>
  <c r="E60" i="4"/>
  <c r="N60" i="4" s="1"/>
  <c r="AS59" i="4"/>
  <c r="AR59" i="4"/>
  <c r="AP59" i="4"/>
  <c r="AO59" i="4"/>
  <c r="AM59" i="4"/>
  <c r="AL59" i="4"/>
  <c r="AK59" i="4"/>
  <c r="AG59" i="4"/>
  <c r="AD59" i="4"/>
  <c r="AB59" i="4"/>
  <c r="AA59" i="4"/>
  <c r="X59" i="4"/>
  <c r="W59" i="4"/>
  <c r="M59" i="4"/>
  <c r="L59" i="4"/>
  <c r="AI59" i="4" s="1"/>
  <c r="J59" i="4"/>
  <c r="T59" i="4" s="1"/>
  <c r="I59" i="4"/>
  <c r="S59" i="4" s="1"/>
  <c r="H59" i="4"/>
  <c r="R59" i="4" s="1"/>
  <c r="G59" i="4"/>
  <c r="P59" i="4" s="1"/>
  <c r="F59" i="4"/>
  <c r="O59" i="4" s="1"/>
  <c r="E59" i="4"/>
  <c r="N59" i="4" s="1"/>
  <c r="AS58" i="4"/>
  <c r="AR58" i="4"/>
  <c r="AQ58" i="4"/>
  <c r="AP58" i="4"/>
  <c r="AO58" i="4"/>
  <c r="AN58" i="4" s="1"/>
  <c r="AB58" i="4"/>
  <c r="AA58" i="4"/>
  <c r="Y58" i="4"/>
  <c r="V58" i="4"/>
  <c r="P58" i="4"/>
  <c r="O58" i="4"/>
  <c r="N58" i="4"/>
  <c r="L58" i="4"/>
  <c r="AI58" i="4" s="1"/>
  <c r="E58" i="4"/>
  <c r="K58" i="4" s="1"/>
  <c r="BB57" i="4"/>
  <c r="BA57" i="4"/>
  <c r="AZ57" i="4"/>
  <c r="AY57" i="4"/>
  <c r="AX57" i="4"/>
  <c r="AW57" i="4"/>
  <c r="AV57" i="4"/>
  <c r="AU57" i="4"/>
  <c r="AT57" i="4"/>
  <c r="AQ57" i="4"/>
  <c r="AN57" i="4"/>
  <c r="AH57" i="4"/>
  <c r="AH58" i="4" s="1"/>
  <c r="Z57" i="4"/>
  <c r="V57" i="4"/>
  <c r="U57" i="4"/>
  <c r="AS56" i="4"/>
  <c r="AR56" i="4"/>
  <c r="AP56" i="4"/>
  <c r="AO56" i="4"/>
  <c r="AM56" i="4"/>
  <c r="AL56" i="4"/>
  <c r="AK56" i="4"/>
  <c r="AL73" i="4" s="1"/>
  <c r="AG56" i="4"/>
  <c r="AD56" i="4"/>
  <c r="AB56" i="4"/>
  <c r="AA56" i="4"/>
  <c r="X56" i="4"/>
  <c r="W56" i="4"/>
  <c r="U56" i="4"/>
  <c r="M56" i="4"/>
  <c r="L56" i="4"/>
  <c r="J56" i="4"/>
  <c r="T56" i="4" s="1"/>
  <c r="I56" i="4"/>
  <c r="H56" i="4"/>
  <c r="R56" i="4" s="1"/>
  <c r="G56" i="4"/>
  <c r="F56" i="4"/>
  <c r="E56" i="4"/>
  <c r="N56" i="4" s="1"/>
  <c r="AS55" i="4"/>
  <c r="AS57" i="4" s="1"/>
  <c r="AR55" i="4"/>
  <c r="AR57" i="4" s="1"/>
  <c r="AP55" i="4"/>
  <c r="AP57" i="4" s="1"/>
  <c r="AO55" i="4"/>
  <c r="AO57" i="4" s="1"/>
  <c r="AM55" i="4"/>
  <c r="AM57" i="4" s="1"/>
  <c r="AL55" i="4"/>
  <c r="AL57" i="4" s="1"/>
  <c r="AK55" i="4"/>
  <c r="AK57" i="4" s="1"/>
  <c r="AD55" i="4"/>
  <c r="AB55" i="4"/>
  <c r="AA55" i="4"/>
  <c r="X55" i="4"/>
  <c r="W55" i="4"/>
  <c r="W57" i="4" s="1"/>
  <c r="U55" i="4"/>
  <c r="J55" i="4"/>
  <c r="M55" i="4" s="1"/>
  <c r="I55" i="4"/>
  <c r="H55" i="4"/>
  <c r="H57" i="4" s="1"/>
  <c r="G55" i="4"/>
  <c r="G57" i="4" s="1"/>
  <c r="F55" i="4"/>
  <c r="F57" i="4" s="1"/>
  <c r="E55" i="4"/>
  <c r="E57" i="4" s="1"/>
  <c r="AQ54" i="4"/>
  <c r="AP54" i="4"/>
  <c r="AO54" i="4"/>
  <c r="AN54" i="4" s="1"/>
  <c r="AH54" i="4"/>
  <c r="AF54" i="4"/>
  <c r="AE54" i="4"/>
  <c r="AC54" i="4"/>
  <c r="Z54" i="4"/>
  <c r="Y54" i="4"/>
  <c r="V54" i="4"/>
  <c r="M54" i="4"/>
  <c r="L54" i="4"/>
  <c r="H54" i="4"/>
  <c r="K54" i="4" s="1"/>
  <c r="E54" i="4"/>
  <c r="AC53" i="4"/>
  <c r="Y53" i="4"/>
  <c r="Q53" i="4"/>
  <c r="AS52" i="4"/>
  <c r="AR52" i="4"/>
  <c r="AQ52" i="4"/>
  <c r="AP52" i="4"/>
  <c r="AO52" i="4"/>
  <c r="AN52" i="4"/>
  <c r="AM52" i="4"/>
  <c r="AL52" i="4"/>
  <c r="AK52" i="4"/>
  <c r="AB52" i="4"/>
  <c r="AB47" i="4" s="1"/>
  <c r="AA52" i="4"/>
  <c r="AA47" i="4" s="1"/>
  <c r="Z52" i="4"/>
  <c r="X52" i="4"/>
  <c r="X47" i="4" s="1"/>
  <c r="W52" i="4"/>
  <c r="V52" i="4"/>
  <c r="V47" i="4" s="1"/>
  <c r="P52" i="4"/>
  <c r="O52" i="4"/>
  <c r="N52" i="4"/>
  <c r="L52" i="4"/>
  <c r="I52" i="4" s="1"/>
  <c r="S52" i="4" s="1"/>
  <c r="K52" i="4"/>
  <c r="H52" i="4" s="1"/>
  <c r="R52" i="4" s="1"/>
  <c r="AS51" i="4"/>
  <c r="AR51" i="4"/>
  <c r="AQ51" i="4" s="1"/>
  <c r="AP51" i="4"/>
  <c r="AO51" i="4"/>
  <c r="AN51" i="4" s="1"/>
  <c r="AM51" i="4"/>
  <c r="AL51" i="4"/>
  <c r="AK51" i="4"/>
  <c r="Z51" i="4"/>
  <c r="AD51" i="4" s="1"/>
  <c r="X51" i="4"/>
  <c r="AB51" i="4" s="1"/>
  <c r="W51" i="4"/>
  <c r="AS50" i="4"/>
  <c r="AR50" i="4"/>
  <c r="AQ50" i="4"/>
  <c r="AP50" i="4"/>
  <c r="AO50" i="4"/>
  <c r="AN50" i="4"/>
  <c r="AM50" i="4"/>
  <c r="AL50" i="4"/>
  <c r="AK50" i="4"/>
  <c r="AB50" i="4"/>
  <c r="AA50" i="4"/>
  <c r="Z50" i="4"/>
  <c r="X50" i="4"/>
  <c r="W50" i="4"/>
  <c r="V50" i="4"/>
  <c r="AS49" i="4"/>
  <c r="AR49" i="4"/>
  <c r="AQ49" i="4"/>
  <c r="AP49" i="4"/>
  <c r="AO49" i="4"/>
  <c r="AN49" i="4"/>
  <c r="AM49" i="4"/>
  <c r="AL49" i="4"/>
  <c r="AK49" i="4"/>
  <c r="X49" i="4"/>
  <c r="W49" i="4"/>
  <c r="V49" i="4"/>
  <c r="AS48" i="4"/>
  <c r="AR48" i="4"/>
  <c r="AR43" i="4" s="1"/>
  <c r="AQ48" i="4"/>
  <c r="AP48" i="4"/>
  <c r="AO48" i="4"/>
  <c r="AN48" i="4"/>
  <c r="AM48" i="4"/>
  <c r="AL48" i="4"/>
  <c r="AK48" i="4"/>
  <c r="AB48" i="4"/>
  <c r="AA48" i="4"/>
  <c r="X48" i="4"/>
  <c r="W48" i="4"/>
  <c r="V48" i="4"/>
  <c r="P47" i="4"/>
  <c r="O47" i="4"/>
  <c r="Q47" i="4" s="1"/>
  <c r="N47" i="4"/>
  <c r="G47" i="4"/>
  <c r="F47" i="4"/>
  <c r="L47" i="4" s="1"/>
  <c r="I47" i="4" s="1"/>
  <c r="S47" i="4" s="1"/>
  <c r="E47" i="4"/>
  <c r="AC46" i="4"/>
  <c r="Y46" i="4"/>
  <c r="Q46" i="4"/>
  <c r="AM45" i="4"/>
  <c r="AL45" i="4"/>
  <c r="AK45" i="4"/>
  <c r="AF45" i="4"/>
  <c r="AE45" i="4"/>
  <c r="AC45" i="4"/>
  <c r="Z45" i="4"/>
  <c r="AD45" i="4" s="1"/>
  <c r="Y45" i="4"/>
  <c r="P45" i="4"/>
  <c r="O45" i="4"/>
  <c r="N45" i="4"/>
  <c r="G45" i="4"/>
  <c r="F45" i="4"/>
  <c r="L45" i="4" s="1"/>
  <c r="AB44" i="4"/>
  <c r="AA44" i="4"/>
  <c r="AE44" i="4" s="1"/>
  <c r="Z44" i="4"/>
  <c r="AD44" i="4" s="1"/>
  <c r="Y44" i="4"/>
  <c r="P44" i="4"/>
  <c r="O44" i="4"/>
  <c r="N44" i="4"/>
  <c r="G44" i="4"/>
  <c r="M44" i="4" s="1"/>
  <c r="F44" i="4"/>
  <c r="L44" i="4" s="1"/>
  <c r="E44" i="4"/>
  <c r="AR44" i="4" s="1"/>
  <c r="U43" i="4"/>
  <c r="G43" i="4"/>
  <c r="M43" i="4" s="1"/>
  <c r="F43" i="4"/>
  <c r="L43" i="4" s="1"/>
  <c r="E43" i="4"/>
  <c r="K43" i="4" s="1"/>
  <c r="N43" i="4" s="1"/>
  <c r="G42" i="4"/>
  <c r="M42" i="4" s="1"/>
  <c r="F42" i="4"/>
  <c r="E42" i="4"/>
  <c r="K42" i="4" s="1"/>
  <c r="U41" i="4"/>
  <c r="G41" i="4"/>
  <c r="F41" i="4"/>
  <c r="E41" i="4"/>
  <c r="T40" i="4"/>
  <c r="S40" i="4"/>
  <c r="R40" i="4"/>
  <c r="Q40" i="4"/>
  <c r="G40" i="4"/>
  <c r="F40" i="4"/>
  <c r="E40" i="4"/>
  <c r="T39" i="4"/>
  <c r="S39" i="4"/>
  <c r="R39" i="4"/>
  <c r="Q39" i="4"/>
  <c r="G38" i="4"/>
  <c r="F38" i="4"/>
  <c r="E38" i="4"/>
  <c r="AH37" i="4"/>
  <c r="G37" i="4"/>
  <c r="F37" i="4"/>
  <c r="E37" i="4"/>
  <c r="AH36" i="4"/>
  <c r="G36" i="4"/>
  <c r="F36" i="4"/>
  <c r="E36" i="4"/>
  <c r="AQ36" i="4" s="1"/>
  <c r="AC35" i="4"/>
  <c r="Y35" i="4"/>
  <c r="Q35" i="4"/>
  <c r="AS34" i="4"/>
  <c r="AR34" i="4"/>
  <c r="AQ34" i="4"/>
  <c r="AP34" i="4"/>
  <c r="AO34" i="4"/>
  <c r="AN34" i="4"/>
  <c r="AM34" i="4"/>
  <c r="AL34" i="4"/>
  <c r="AK34" i="4"/>
  <c r="AH34" i="4"/>
  <c r="AB34" i="4"/>
  <c r="AA34" i="4"/>
  <c r="Z34" i="4"/>
  <c r="X34" i="4"/>
  <c r="W34" i="4"/>
  <c r="AI34" i="4" s="1"/>
  <c r="V34" i="4"/>
  <c r="AG34" i="4" s="1"/>
  <c r="U34" i="4"/>
  <c r="J34" i="4"/>
  <c r="T34" i="4" s="1"/>
  <c r="I34" i="4"/>
  <c r="S34" i="4" s="1"/>
  <c r="H34" i="4"/>
  <c r="R34" i="4" s="1"/>
  <c r="G34" i="4"/>
  <c r="P34" i="4" s="1"/>
  <c r="F34" i="4"/>
  <c r="O34" i="4" s="1"/>
  <c r="E34" i="4"/>
  <c r="N34" i="4" s="1"/>
  <c r="AJ33" i="4"/>
  <c r="AI33" i="4"/>
  <c r="AG33" i="4"/>
  <c r="AF33" i="4"/>
  <c r="AE33" i="4"/>
  <c r="AD33" i="4"/>
  <c r="AC33" i="4"/>
  <c r="Y33" i="4"/>
  <c r="T33" i="4"/>
  <c r="S33" i="4"/>
  <c r="R33" i="4"/>
  <c r="Q33" i="4"/>
  <c r="N33" i="4"/>
  <c r="AS32" i="4"/>
  <c r="AS28" i="4" s="1"/>
  <c r="AR32" i="4"/>
  <c r="AP32" i="4"/>
  <c r="AO32" i="4"/>
  <c r="AM32" i="4"/>
  <c r="AL32" i="4"/>
  <c r="AK32" i="4"/>
  <c r="AG32" i="4"/>
  <c r="AD32" i="4"/>
  <c r="AB32" i="4"/>
  <c r="AA32" i="4"/>
  <c r="X32" i="4"/>
  <c r="W32" i="4"/>
  <c r="U32" i="4"/>
  <c r="M32" i="4"/>
  <c r="L32" i="4"/>
  <c r="AI32" i="4" s="1"/>
  <c r="J32" i="4"/>
  <c r="T32" i="4" s="1"/>
  <c r="I32" i="4"/>
  <c r="S32" i="4" s="1"/>
  <c r="H32" i="4"/>
  <c r="R32" i="4" s="1"/>
  <c r="G32" i="4"/>
  <c r="F32" i="4"/>
  <c r="O32" i="4" s="1"/>
  <c r="E32" i="4"/>
  <c r="N32" i="4" s="1"/>
  <c r="AS31" i="4"/>
  <c r="AR31" i="4"/>
  <c r="AP31" i="4"/>
  <c r="AO31" i="4"/>
  <c r="AO30" i="4" s="1"/>
  <c r="AM31" i="4"/>
  <c r="AL31" i="4"/>
  <c r="AK31" i="4"/>
  <c r="AG31" i="4"/>
  <c r="AD31" i="4"/>
  <c r="AB31" i="4"/>
  <c r="AA31" i="4"/>
  <c r="AA30" i="4" s="1"/>
  <c r="X31" i="4"/>
  <c r="W31" i="4"/>
  <c r="AF31" i="4" s="1"/>
  <c r="M31" i="4"/>
  <c r="AJ31" i="4" s="1"/>
  <c r="L31" i="4"/>
  <c r="J31" i="4"/>
  <c r="T31" i="4" s="1"/>
  <c r="I31" i="4"/>
  <c r="S31" i="4" s="1"/>
  <c r="H31" i="4"/>
  <c r="R31" i="4" s="1"/>
  <c r="G31" i="4"/>
  <c r="F31" i="4"/>
  <c r="E31" i="4"/>
  <c r="N31" i="4" s="1"/>
  <c r="AS30" i="4"/>
  <c r="AR30" i="4"/>
  <c r="AQ30" i="4"/>
  <c r="AP30" i="4"/>
  <c r="AN30" i="4"/>
  <c r="Z30" i="4"/>
  <c r="T30" i="4"/>
  <c r="S30" i="4"/>
  <c r="R30" i="4"/>
  <c r="Q30" i="4"/>
  <c r="G30" i="4"/>
  <c r="F30" i="4"/>
  <c r="E30" i="4"/>
  <c r="AS29" i="4"/>
  <c r="AR29" i="4"/>
  <c r="AQ29" i="4"/>
  <c r="AA29" i="4"/>
  <c r="Z29" i="4"/>
  <c r="T29" i="4"/>
  <c r="S29" i="4"/>
  <c r="R29" i="4"/>
  <c r="Q29" i="4"/>
  <c r="AR28" i="4"/>
  <c r="AQ28" i="4"/>
  <c r="AN28" i="4"/>
  <c r="AA28" i="4"/>
  <c r="X28" i="4"/>
  <c r="W28" i="4"/>
  <c r="V28" i="4"/>
  <c r="G28" i="4"/>
  <c r="F28" i="4"/>
  <c r="E28" i="4"/>
  <c r="AS27" i="4"/>
  <c r="AR27" i="4"/>
  <c r="AP27" i="4"/>
  <c r="AO27" i="4"/>
  <c r="AD27" i="4"/>
  <c r="AB27" i="4"/>
  <c r="AA27" i="4"/>
  <c r="X27" i="4"/>
  <c r="W27" i="4"/>
  <c r="AI27" i="4" s="1"/>
  <c r="Q27" i="4"/>
  <c r="J27" i="4"/>
  <c r="T27" i="4" s="1"/>
  <c r="I27" i="4"/>
  <c r="S27" i="4" s="1"/>
  <c r="H27" i="4"/>
  <c r="G27" i="4"/>
  <c r="F27" i="4"/>
  <c r="E27" i="4"/>
  <c r="AS26" i="4"/>
  <c r="AR26" i="4"/>
  <c r="AP26" i="4"/>
  <c r="AO26" i="4"/>
  <c r="AM26" i="4"/>
  <c r="AL26" i="4"/>
  <c r="AK26" i="4"/>
  <c r="AG26" i="4"/>
  <c r="AD26" i="4"/>
  <c r="AB26" i="4"/>
  <c r="AA26" i="4"/>
  <c r="X26" i="4"/>
  <c r="W26" i="4"/>
  <c r="AE26" i="4" s="1"/>
  <c r="M26" i="4"/>
  <c r="AJ26" i="4" s="1"/>
  <c r="L26" i="4"/>
  <c r="AI26" i="4" s="1"/>
  <c r="J26" i="4"/>
  <c r="T26" i="4" s="1"/>
  <c r="I26" i="4"/>
  <c r="S26" i="4" s="1"/>
  <c r="H26" i="4"/>
  <c r="R26" i="4" s="1"/>
  <c r="G26" i="4"/>
  <c r="F26" i="4"/>
  <c r="O26" i="4" s="1"/>
  <c r="E26" i="4"/>
  <c r="N26" i="4" s="1"/>
  <c r="BB25" i="4"/>
  <c r="BA25" i="4"/>
  <c r="AZ25" i="4"/>
  <c r="AY25" i="4"/>
  <c r="AX25" i="4"/>
  <c r="AW25" i="4"/>
  <c r="AV25" i="4"/>
  <c r="AU25" i="4"/>
  <c r="AT25" i="4"/>
  <c r="U25" i="4"/>
  <c r="G25" i="4"/>
  <c r="F25" i="4"/>
  <c r="E25" i="4"/>
  <c r="BB24" i="4"/>
  <c r="BA24" i="4"/>
  <c r="AZ24" i="4"/>
  <c r="AY24" i="4"/>
  <c r="AX24" i="4"/>
  <c r="AW24" i="4"/>
  <c r="AV24" i="4"/>
  <c r="AU24" i="4"/>
  <c r="AT24" i="4"/>
  <c r="U24" i="4"/>
  <c r="G24" i="4"/>
  <c r="F24" i="4"/>
  <c r="E24" i="4"/>
  <c r="AC23" i="4"/>
  <c r="Y23" i="4"/>
  <c r="Q23" i="4"/>
  <c r="AM22" i="4"/>
  <c r="AL22" i="4"/>
  <c r="AK22" i="4"/>
  <c r="AF22" i="4"/>
  <c r="AE22" i="4"/>
  <c r="AD22" i="4"/>
  <c r="AC22" i="4"/>
  <c r="Y22" i="4"/>
  <c r="H22" i="4"/>
  <c r="E22" i="4"/>
  <c r="AM21" i="4"/>
  <c r="AL21" i="4"/>
  <c r="AK21" i="4"/>
  <c r="AF21" i="4"/>
  <c r="AE21" i="4"/>
  <c r="AD21" i="4"/>
  <c r="AC21" i="4"/>
  <c r="Y21" i="4"/>
  <c r="H21" i="4"/>
  <c r="E21" i="4"/>
  <c r="AM20" i="4"/>
  <c r="AL20" i="4"/>
  <c r="AK20" i="4"/>
  <c r="AG20" i="4"/>
  <c r="AD20" i="4"/>
  <c r="X20" i="4"/>
  <c r="W20" i="4"/>
  <c r="T20" i="4"/>
  <c r="S20" i="4"/>
  <c r="Q20" i="4"/>
  <c r="H20" i="4"/>
  <c r="R20" i="4" s="1"/>
  <c r="E20" i="4"/>
  <c r="N20" i="4" s="1"/>
  <c r="AS19" i="4"/>
  <c r="AR19" i="4"/>
  <c r="AP19" i="4"/>
  <c r="AO19" i="4"/>
  <c r="AM19" i="4"/>
  <c r="AL19" i="4"/>
  <c r="AK19" i="4"/>
  <c r="AG19" i="4"/>
  <c r="AD19" i="4"/>
  <c r="AB19" i="4"/>
  <c r="AA19" i="4"/>
  <c r="X19" i="4"/>
  <c r="AF19" i="4" s="1"/>
  <c r="W19" i="4"/>
  <c r="M19" i="4"/>
  <c r="AJ19" i="4" s="1"/>
  <c r="L19" i="4"/>
  <c r="J19" i="4"/>
  <c r="T19" i="4" s="1"/>
  <c r="I19" i="4"/>
  <c r="S19" i="4" s="1"/>
  <c r="H19" i="4"/>
  <c r="R19" i="4" s="1"/>
  <c r="G19" i="4"/>
  <c r="P19" i="4" s="1"/>
  <c r="F19" i="4"/>
  <c r="O19" i="4" s="1"/>
  <c r="E19" i="4"/>
  <c r="N19" i="4" s="1"/>
  <c r="AZ18" i="4"/>
  <c r="AV18" i="4"/>
  <c r="AQ18" i="4"/>
  <c r="AN18" i="4"/>
  <c r="AH18" i="4"/>
  <c r="Z18" i="4"/>
  <c r="V18" i="4"/>
  <c r="U18" i="4"/>
  <c r="K18" i="4"/>
  <c r="AS17" i="4"/>
  <c r="AR17" i="4"/>
  <c r="AP17" i="4"/>
  <c r="AO17" i="4"/>
  <c r="AM17" i="4"/>
  <c r="AL17" i="4"/>
  <c r="AK17" i="4"/>
  <c r="AG17" i="4"/>
  <c r="AD17" i="4"/>
  <c r="AB17" i="4"/>
  <c r="AA17" i="4"/>
  <c r="X17" i="4"/>
  <c r="W17" i="4"/>
  <c r="U17" i="4"/>
  <c r="M17" i="4"/>
  <c r="L17" i="4"/>
  <c r="AI17" i="4" s="1"/>
  <c r="J17" i="4"/>
  <c r="I17" i="4"/>
  <c r="H17" i="4"/>
  <c r="R17" i="4" s="1"/>
  <c r="G17" i="4"/>
  <c r="F17" i="4"/>
  <c r="E17" i="4"/>
  <c r="AS16" i="4"/>
  <c r="AR16" i="4"/>
  <c r="AR18" i="4" s="1"/>
  <c r="AP16" i="4"/>
  <c r="AO16" i="4"/>
  <c r="AM16" i="4"/>
  <c r="AL16" i="4"/>
  <c r="AK16" i="4"/>
  <c r="AG16" i="4"/>
  <c r="AD16" i="4"/>
  <c r="AB16" i="4"/>
  <c r="AA16" i="4"/>
  <c r="X16" i="4"/>
  <c r="W16" i="4"/>
  <c r="U16" i="4"/>
  <c r="M16" i="4"/>
  <c r="L16" i="4"/>
  <c r="J16" i="4"/>
  <c r="T16" i="4" s="1"/>
  <c r="I16" i="4"/>
  <c r="H16" i="4"/>
  <c r="R16" i="4" s="1"/>
  <c r="G16" i="4"/>
  <c r="F16" i="4"/>
  <c r="E16" i="4"/>
  <c r="N16" i="4" s="1"/>
  <c r="AS14" i="4"/>
  <c r="AR14" i="4"/>
  <c r="AP14" i="4"/>
  <c r="AO14" i="4"/>
  <c r="AM14" i="4"/>
  <c r="AL14" i="4"/>
  <c r="AK14" i="4"/>
  <c r="AG14" i="4"/>
  <c r="AD14" i="4"/>
  <c r="AB14" i="4"/>
  <c r="AA14" i="4"/>
  <c r="X14" i="4"/>
  <c r="W14" i="4"/>
  <c r="M14" i="4"/>
  <c r="L14" i="4"/>
  <c r="J14" i="4"/>
  <c r="T14" i="4" s="1"/>
  <c r="I14" i="4"/>
  <c r="S14" i="4" s="1"/>
  <c r="H14" i="4"/>
  <c r="R14" i="4" s="1"/>
  <c r="G14" i="4"/>
  <c r="F14" i="4"/>
  <c r="E14" i="4"/>
  <c r="N14" i="4" s="1"/>
  <c r="AS13" i="4"/>
  <c r="AR13" i="4"/>
  <c r="AP13" i="4"/>
  <c r="AO13" i="4"/>
  <c r="AM13" i="4"/>
  <c r="AL13" i="4"/>
  <c r="AK13" i="4"/>
  <c r="AG13" i="4"/>
  <c r="AD13" i="4"/>
  <c r="AB13" i="4"/>
  <c r="AA13" i="4"/>
  <c r="X13" i="4"/>
  <c r="W13" i="4"/>
  <c r="M13" i="4"/>
  <c r="AJ13" i="4" s="1"/>
  <c r="L13" i="4"/>
  <c r="AI13" i="4" s="1"/>
  <c r="J13" i="4"/>
  <c r="T13" i="4" s="1"/>
  <c r="I13" i="4"/>
  <c r="S13" i="4" s="1"/>
  <c r="H13" i="4"/>
  <c r="R13" i="4" s="1"/>
  <c r="G13" i="4"/>
  <c r="F13" i="4"/>
  <c r="E13" i="4"/>
  <c r="AS12" i="4"/>
  <c r="AR12" i="4"/>
  <c r="AP12" i="4"/>
  <c r="AO12" i="4"/>
  <c r="AM12" i="4"/>
  <c r="AL12" i="4"/>
  <c r="AK12" i="4"/>
  <c r="AG12" i="4"/>
  <c r="AD12" i="4"/>
  <c r="AB12" i="4"/>
  <c r="AA12" i="4"/>
  <c r="X12" i="4"/>
  <c r="W12" i="4"/>
  <c r="Y12" i="4" s="1"/>
  <c r="M12" i="4"/>
  <c r="L12" i="4"/>
  <c r="J12" i="4"/>
  <c r="I12" i="4"/>
  <c r="H12" i="4"/>
  <c r="G12" i="4"/>
  <c r="F12" i="4"/>
  <c r="E12" i="4"/>
  <c r="N12" i="4" s="1"/>
  <c r="AS11" i="4"/>
  <c r="AR11" i="4"/>
  <c r="AP11" i="4"/>
  <c r="AO11" i="4"/>
  <c r="AM11" i="4"/>
  <c r="AM25" i="4" s="1"/>
  <c r="AL11" i="4"/>
  <c r="AL25" i="4" s="1"/>
  <c r="AK11" i="4"/>
  <c r="AG11" i="4"/>
  <c r="AD11" i="4"/>
  <c r="AB11" i="4"/>
  <c r="AA11" i="4"/>
  <c r="X11" i="4"/>
  <c r="W11" i="4"/>
  <c r="M11" i="4"/>
  <c r="L11" i="4"/>
  <c r="J11" i="4"/>
  <c r="T11" i="4" s="1"/>
  <c r="I11" i="4"/>
  <c r="S11" i="4" s="1"/>
  <c r="H11" i="4"/>
  <c r="R11" i="4" s="1"/>
  <c r="G11" i="4"/>
  <c r="F11" i="4"/>
  <c r="E11" i="4"/>
  <c r="AS10" i="4"/>
  <c r="AR10" i="4"/>
  <c r="AP10" i="4"/>
  <c r="AO10" i="4"/>
  <c r="AM10" i="4"/>
  <c r="AL10" i="4"/>
  <c r="AK10" i="4"/>
  <c r="AG10" i="4"/>
  <c r="AD10" i="4"/>
  <c r="AB10" i="4"/>
  <c r="AA10" i="4"/>
  <c r="X10" i="4"/>
  <c r="W10" i="4"/>
  <c r="M10" i="4"/>
  <c r="L10" i="4"/>
  <c r="AI10" i="4" s="1"/>
  <c r="J10" i="4"/>
  <c r="T10" i="4" s="1"/>
  <c r="I10" i="4"/>
  <c r="H10" i="4"/>
  <c r="R10" i="4" s="1"/>
  <c r="G10" i="4"/>
  <c r="F10" i="4"/>
  <c r="E10" i="4"/>
  <c r="N10" i="4" s="1"/>
  <c r="AS9" i="4"/>
  <c r="AR9" i="4"/>
  <c r="AP9" i="4"/>
  <c r="AO9" i="4"/>
  <c r="AM9" i="4"/>
  <c r="AL9" i="4"/>
  <c r="AK9" i="4"/>
  <c r="AG9" i="4"/>
  <c r="AD9" i="4"/>
  <c r="AB9" i="4"/>
  <c r="AA9" i="4"/>
  <c r="X9" i="4"/>
  <c r="W9" i="4"/>
  <c r="M9" i="4"/>
  <c r="AJ9" i="4" s="1"/>
  <c r="L9" i="4"/>
  <c r="AI9" i="4" s="1"/>
  <c r="J9" i="4"/>
  <c r="T9" i="4" s="1"/>
  <c r="I9" i="4"/>
  <c r="S9" i="4" s="1"/>
  <c r="H9" i="4"/>
  <c r="R9" i="4" s="1"/>
  <c r="G9" i="4"/>
  <c r="F9" i="4"/>
  <c r="E9" i="4"/>
  <c r="N9" i="4" s="1"/>
  <c r="BB8" i="4"/>
  <c r="BA8" i="4"/>
  <c r="AZ8" i="4"/>
  <c r="AY8" i="4"/>
  <c r="AX8" i="4"/>
  <c r="AV8" i="4"/>
  <c r="AU8" i="4"/>
  <c r="AT8" i="4"/>
  <c r="AQ8" i="4"/>
  <c r="AN8" i="4"/>
  <c r="AH8" i="4"/>
  <c r="Z8" i="4"/>
  <c r="V8" i="4"/>
  <c r="K8" i="4"/>
  <c r="AS7" i="4"/>
  <c r="AR7" i="4"/>
  <c r="AP7" i="4"/>
  <c r="AO7" i="4"/>
  <c r="AM7" i="4"/>
  <c r="AL7" i="4"/>
  <c r="AK7" i="4"/>
  <c r="AG7" i="4"/>
  <c r="AD7" i="4"/>
  <c r="AB7" i="4"/>
  <c r="AA7" i="4"/>
  <c r="AC7" i="4" s="1"/>
  <c r="X7" i="4"/>
  <c r="W7" i="4"/>
  <c r="AF7" i="4" s="1"/>
  <c r="M7" i="4"/>
  <c r="AJ7" i="4" s="1"/>
  <c r="L7" i="4"/>
  <c r="J7" i="4"/>
  <c r="T7" i="4" s="1"/>
  <c r="I7" i="4"/>
  <c r="S7" i="4" s="1"/>
  <c r="H7" i="4"/>
  <c r="R7" i="4" s="1"/>
  <c r="G7" i="4"/>
  <c r="F7" i="4"/>
  <c r="E7" i="4"/>
  <c r="N7" i="4" s="1"/>
  <c r="AS6" i="4"/>
  <c r="AR6" i="4"/>
  <c r="AP6" i="4"/>
  <c r="AO6" i="4"/>
  <c r="AM6" i="4"/>
  <c r="AL6" i="4"/>
  <c r="AK6" i="4"/>
  <c r="AG6" i="4"/>
  <c r="AD6" i="4"/>
  <c r="AB6" i="4"/>
  <c r="AA6" i="4"/>
  <c r="X6" i="4"/>
  <c r="W6" i="4"/>
  <c r="M6" i="4"/>
  <c r="L6" i="4"/>
  <c r="AI6" i="4" s="1"/>
  <c r="J6" i="4"/>
  <c r="T6" i="4" s="1"/>
  <c r="I6" i="4"/>
  <c r="S6" i="4" s="1"/>
  <c r="H6" i="4"/>
  <c r="R6" i="4" s="1"/>
  <c r="G6" i="4"/>
  <c r="P6" i="4" s="1"/>
  <c r="F6" i="4"/>
  <c r="E6" i="4"/>
  <c r="N6" i="4" s="1"/>
  <c r="AS5" i="4"/>
  <c r="AS8" i="4" s="1"/>
  <c r="AR5" i="4"/>
  <c r="AR8" i="4" s="1"/>
  <c r="AP5" i="4"/>
  <c r="AP8" i="4" s="1"/>
  <c r="AO5" i="4"/>
  <c r="AO8" i="4" s="1"/>
  <c r="AM5" i="4"/>
  <c r="AM8" i="4" s="1"/>
  <c r="AL5" i="4"/>
  <c r="AL8" i="4" s="1"/>
  <c r="AK5" i="4"/>
  <c r="AK8" i="4" s="1"/>
  <c r="AG5" i="4"/>
  <c r="AD5" i="4"/>
  <c r="AB5" i="4"/>
  <c r="AA5" i="4"/>
  <c r="X5" i="4"/>
  <c r="W5" i="4"/>
  <c r="W8" i="4" s="1"/>
  <c r="M5" i="4"/>
  <c r="L5" i="4"/>
  <c r="AI5" i="4" s="1"/>
  <c r="AI8" i="4" s="1"/>
  <c r="J5" i="4"/>
  <c r="T5" i="4" s="1"/>
  <c r="I5" i="4"/>
  <c r="H5" i="4"/>
  <c r="H8" i="4" s="1"/>
  <c r="G5" i="4"/>
  <c r="G8" i="4" s="1"/>
  <c r="F5" i="4"/>
  <c r="F8" i="4" s="1"/>
  <c r="E5" i="4"/>
  <c r="AG8" i="4" l="1"/>
  <c r="AS43" i="4"/>
  <c r="AE63" i="4"/>
  <c r="AN43" i="4"/>
  <c r="X43" i="4"/>
  <c r="L78" i="4"/>
  <c r="I78" i="4" s="1"/>
  <c r="S78" i="4" s="1"/>
  <c r="L75" i="4"/>
  <c r="I75" i="4" s="1"/>
  <c r="S75" i="4" s="1"/>
  <c r="AG18" i="4"/>
  <c r="V43" i="4"/>
  <c r="AJ43" i="4" s="1"/>
  <c r="W43" i="4"/>
  <c r="Z58" i="4"/>
  <c r="AD58" i="4" s="1"/>
  <c r="AP43" i="4"/>
  <c r="AQ43" i="4"/>
  <c r="AE50" i="4"/>
  <c r="AE52" i="4"/>
  <c r="W47" i="4"/>
  <c r="AE47" i="4" s="1"/>
  <c r="M78" i="4"/>
  <c r="J78" i="4" s="1"/>
  <c r="T78" i="4" s="1"/>
  <c r="L72" i="4"/>
  <c r="I72" i="4" s="1"/>
  <c r="S72" i="4" s="1"/>
  <c r="AD67" i="4"/>
  <c r="AO43" i="4"/>
  <c r="AA20" i="4"/>
  <c r="AE20" i="4" s="1"/>
  <c r="I58" i="4"/>
  <c r="S58" i="4" s="1"/>
  <c r="M72" i="4"/>
  <c r="P72" i="4" s="1"/>
  <c r="M75" i="4"/>
  <c r="J75" i="4" s="1"/>
  <c r="T75" i="4" s="1"/>
  <c r="R8" i="4"/>
  <c r="AB20" i="4"/>
  <c r="AF20" i="4" s="1"/>
  <c r="V72" i="4"/>
  <c r="K72" i="4" s="1"/>
  <c r="AG52" i="4"/>
  <c r="H74" i="4"/>
  <c r="R74" i="4" s="1"/>
  <c r="Y77" i="4"/>
  <c r="AE76" i="4"/>
  <c r="N5" i="4"/>
  <c r="G93" i="4" s="1"/>
  <c r="E8" i="4"/>
  <c r="N8" i="4" s="1"/>
  <c r="I8" i="4"/>
  <c r="S5" i="4"/>
  <c r="M8" i="4"/>
  <c r="AJ5" i="4"/>
  <c r="AJ8" i="4" s="1"/>
  <c r="P5" i="4"/>
  <c r="Y5" i="4"/>
  <c r="AE5" i="4"/>
  <c r="AF5" i="4"/>
  <c r="AJ6" i="4"/>
  <c r="AE6" i="4"/>
  <c r="AF6" i="4"/>
  <c r="O7" i="4"/>
  <c r="Y7" i="4"/>
  <c r="AE7" i="4"/>
  <c r="AD8" i="4"/>
  <c r="Y9" i="4"/>
  <c r="AE9" i="4"/>
  <c r="AC9" i="4"/>
  <c r="AJ10" i="4"/>
  <c r="P10" i="4"/>
  <c r="Y10" i="4"/>
  <c r="AF10" i="4"/>
  <c r="AC10" i="4"/>
  <c r="AE10" i="4"/>
  <c r="AN25" i="4"/>
  <c r="N11" i="4"/>
  <c r="P11" i="4"/>
  <c r="AI11" i="4"/>
  <c r="O11" i="4"/>
  <c r="X25" i="4"/>
  <c r="AA25" i="4"/>
  <c r="AE11" i="4"/>
  <c r="AC11" i="4"/>
  <c r="AP25" i="4"/>
  <c r="R12" i="4"/>
  <c r="T12" i="4"/>
  <c r="AJ12" i="4"/>
  <c r="AC12" i="4"/>
  <c r="AE12" i="4"/>
  <c r="AF12" i="4"/>
  <c r="Y13" i="4"/>
  <c r="AE13" i="4"/>
  <c r="AC13" i="4"/>
  <c r="P14" i="4"/>
  <c r="AJ14" i="4"/>
  <c r="AF14" i="4"/>
  <c r="AC14" i="4"/>
  <c r="S16" i="4"/>
  <c r="O16" i="4"/>
  <c r="AJ16" i="4"/>
  <c r="P16" i="4"/>
  <c r="X18" i="4"/>
  <c r="Y16" i="4"/>
  <c r="AF16" i="4"/>
  <c r="N17" i="4"/>
  <c r="E18" i="4"/>
  <c r="N18" i="4" s="1"/>
  <c r="G18" i="4"/>
  <c r="I18" i="4"/>
  <c r="M18" i="4"/>
  <c r="W18" i="4"/>
  <c r="Y17" i="4"/>
  <c r="AF17" i="4"/>
  <c r="AB18" i="4"/>
  <c r="AE17" i="4"/>
  <c r="AK18" i="4"/>
  <c r="AM18" i="4"/>
  <c r="AO18" i="4"/>
  <c r="AP18" i="4"/>
  <c r="AS18" i="4"/>
  <c r="AD18" i="4"/>
  <c r="Q19" i="4"/>
  <c r="AE19" i="4"/>
  <c r="Y26" i="4"/>
  <c r="K27" i="4"/>
  <c r="AJ27" i="4"/>
  <c r="Y27" i="4"/>
  <c r="AF27" i="4"/>
  <c r="AE27" i="4"/>
  <c r="Y28" i="4"/>
  <c r="AE28" i="4"/>
  <c r="Y31" i="4"/>
  <c r="AB30" i="4"/>
  <c r="AC30" i="4" s="1"/>
  <c r="AE31" i="4"/>
  <c r="AC31" i="4"/>
  <c r="AJ32" i="4"/>
  <c r="P32" i="4"/>
  <c r="Q32" i="4" s="1"/>
  <c r="Y32" i="4"/>
  <c r="AE32" i="4"/>
  <c r="Q34" i="4"/>
  <c r="AJ34" i="4"/>
  <c r="Y34" i="4"/>
  <c r="AE34" i="4"/>
  <c r="AO28" i="4"/>
  <c r="AP28" i="4"/>
  <c r="W36" i="4"/>
  <c r="AA36" i="4" s="1"/>
  <c r="AE36" i="4" s="1"/>
  <c r="AR36" i="4"/>
  <c r="AS36" i="4"/>
  <c r="AP36" i="4"/>
  <c r="M36" i="4"/>
  <c r="AN37" i="4"/>
  <c r="AQ37" i="4"/>
  <c r="K37" i="4"/>
  <c r="H37" i="4" s="1"/>
  <c r="R37" i="4" s="1"/>
  <c r="AR37" i="4"/>
  <c r="AO37" i="4"/>
  <c r="AS37" i="4"/>
  <c r="M37" i="4"/>
  <c r="J37" i="4" s="1"/>
  <c r="T37" i="4" s="1"/>
  <c r="V41" i="4"/>
  <c r="Z41" i="4" s="1"/>
  <c r="AD41" i="4" s="1"/>
  <c r="AQ41" i="4"/>
  <c r="AQ40" i="4" s="1"/>
  <c r="K41" i="4"/>
  <c r="N41" i="4" s="1"/>
  <c r="AO41" i="4"/>
  <c r="AO40" i="4" s="1"/>
  <c r="AR41" i="4"/>
  <c r="AR40" i="4" s="1"/>
  <c r="W41" i="4"/>
  <c r="AA41" i="4" s="1"/>
  <c r="AE41" i="4" s="1"/>
  <c r="L41" i="4"/>
  <c r="AP41" i="4"/>
  <c r="X41" i="4"/>
  <c r="W42" i="4"/>
  <c r="AA42" i="4" s="1"/>
  <c r="AR42" i="4"/>
  <c r="AR39" i="4" s="1"/>
  <c r="AO42" i="4"/>
  <c r="AO38" i="4" s="1"/>
  <c r="I43" i="4"/>
  <c r="S43" i="4" s="1"/>
  <c r="O43" i="4"/>
  <c r="P43" i="4"/>
  <c r="J43" i="4"/>
  <c r="T43" i="4" s="1"/>
  <c r="AI44" i="4"/>
  <c r="I44" i="4"/>
  <c r="S44" i="4" s="1"/>
  <c r="AJ44" i="4"/>
  <c r="J44" i="4"/>
  <c r="T44" i="4" s="1"/>
  <c r="Q44" i="4"/>
  <c r="AF44" i="4"/>
  <c r="AC44" i="4"/>
  <c r="AR45" i="4"/>
  <c r="AS45" i="4"/>
  <c r="AQ45" i="4"/>
  <c r="AP45" i="4"/>
  <c r="AN45" i="4"/>
  <c r="K45" i="4"/>
  <c r="AI45" i="4"/>
  <c r="I45" i="4"/>
  <c r="S45" i="4" s="1"/>
  <c r="AO47" i="4"/>
  <c r="AS47" i="4"/>
  <c r="AQ47" i="4"/>
  <c r="AP47" i="4"/>
  <c r="AN47" i="4"/>
  <c r="K47" i="4"/>
  <c r="H47" i="4" s="1"/>
  <c r="R47" i="4" s="1"/>
  <c r="M47" i="4"/>
  <c r="J47" i="4" s="1"/>
  <c r="T47" i="4" s="1"/>
  <c r="Y48" i="4"/>
  <c r="AE48" i="4"/>
  <c r="AE49" i="4" s="1"/>
  <c r="AA49" i="4" s="1"/>
  <c r="AA43" i="4" s="1"/>
  <c r="AC48" i="4"/>
  <c r="Y49" i="4"/>
  <c r="Y50" i="4"/>
  <c r="AD50" i="4"/>
  <c r="AF50" i="4"/>
  <c r="M52" i="4"/>
  <c r="J52" i="4" s="1"/>
  <c r="T52" i="4" s="1"/>
  <c r="Q52" i="4"/>
  <c r="Y52" i="4"/>
  <c r="AF52" i="4"/>
  <c r="N54" i="4"/>
  <c r="P54" i="4"/>
  <c r="T54" i="4"/>
  <c r="I57" i="4"/>
  <c r="L55" i="4"/>
  <c r="L57" i="4" s="1"/>
  <c r="P55" i="4"/>
  <c r="X57" i="4"/>
  <c r="Y57" i="4" s="1"/>
  <c r="Y55" i="4"/>
  <c r="AA57" i="4"/>
  <c r="AE57" i="4" s="1"/>
  <c r="AE55" i="4"/>
  <c r="Y56" i="4"/>
  <c r="AE56" i="4"/>
  <c r="AC56" i="4"/>
  <c r="AD57" i="4"/>
  <c r="AG58" i="4"/>
  <c r="H58" i="4"/>
  <c r="R58" i="4" s="1"/>
  <c r="M58" i="4"/>
  <c r="Q58" i="4"/>
  <c r="AJ59" i="4"/>
  <c r="Y59" i="4"/>
  <c r="AE59" i="4"/>
  <c r="AF59" i="4"/>
  <c r="AC60" i="4"/>
  <c r="AF60" i="4"/>
  <c r="N61" i="4"/>
  <c r="R61" i="4"/>
  <c r="S61" i="4"/>
  <c r="O61" i="4"/>
  <c r="T61" i="4"/>
  <c r="P61" i="4"/>
  <c r="AD61" i="4"/>
  <c r="AC61" i="4"/>
  <c r="O62" i="4"/>
  <c r="Q62" i="4" s="1"/>
  <c r="S62" i="4"/>
  <c r="Y62" i="4"/>
  <c r="AF62" i="4"/>
  <c r="R63" i="4"/>
  <c r="N63" i="4"/>
  <c r="S63" i="4"/>
  <c r="O63" i="4"/>
  <c r="AG63" i="4"/>
  <c r="Y63" i="4"/>
  <c r="AC63" i="4"/>
  <c r="L64" i="4"/>
  <c r="P64" i="4"/>
  <c r="AG66" i="4"/>
  <c r="R66" i="4"/>
  <c r="AJ66" i="4"/>
  <c r="S66" i="4"/>
  <c r="O66" i="4"/>
  <c r="AI66" i="4"/>
  <c r="T66" i="4"/>
  <c r="P66" i="4"/>
  <c r="AD66" i="4"/>
  <c r="AJ67" i="4"/>
  <c r="S67" i="4"/>
  <c r="O67" i="4"/>
  <c r="P67" i="4"/>
  <c r="AI67" i="4"/>
  <c r="AH67" i="4" s="1"/>
  <c r="Y67" i="4"/>
  <c r="AE67" i="4"/>
  <c r="N68" i="4"/>
  <c r="AG68" i="4"/>
  <c r="O68" i="4"/>
  <c r="AI68" i="4"/>
  <c r="J68" i="4"/>
  <c r="T68" i="4" s="1"/>
  <c r="P68" i="4"/>
  <c r="AF68" i="4"/>
  <c r="Y68" i="4"/>
  <c r="AD68" i="4"/>
  <c r="AE68" i="4"/>
  <c r="AC68" i="4"/>
  <c r="O69" i="4"/>
  <c r="AJ69" i="4"/>
  <c r="S69" i="4"/>
  <c r="AI69" i="4"/>
  <c r="T69" i="4"/>
  <c r="P69" i="4"/>
  <c r="AF69" i="4"/>
  <c r="AC69" i="4"/>
  <c r="W70" i="4"/>
  <c r="AA70" i="4" s="1"/>
  <c r="AE70" i="4" s="1"/>
  <c r="X70" i="4"/>
  <c r="AB70" i="4" s="1"/>
  <c r="AF70" i="4" s="1"/>
  <c r="K70" i="4"/>
  <c r="H70" i="4" s="1"/>
  <c r="R70" i="4" s="1"/>
  <c r="M70" i="4"/>
  <c r="Q70" i="4"/>
  <c r="AE73" i="4"/>
  <c r="M73" i="4"/>
  <c r="P73" i="4" s="1"/>
  <c r="O74" i="4"/>
  <c r="P74" i="4"/>
  <c r="Y74" i="4"/>
  <c r="AF74" i="4"/>
  <c r="Y75" i="4"/>
  <c r="AE75" i="4"/>
  <c r="Y76" i="4"/>
  <c r="AF76" i="4"/>
  <c r="AC76" i="4"/>
  <c r="P77" i="4"/>
  <c r="AE77" i="4"/>
  <c r="AF77" i="4"/>
  <c r="AC77" i="4"/>
  <c r="O78" i="4"/>
  <c r="Y78" i="4"/>
  <c r="AE78" i="4"/>
  <c r="AJ78" i="4"/>
  <c r="AI78" i="4"/>
  <c r="O79" i="4"/>
  <c r="P79" i="4"/>
  <c r="Y79" i="4"/>
  <c r="AE79" i="4"/>
  <c r="F113" i="4"/>
  <c r="P38" i="4"/>
  <c r="M38" i="4" s="1"/>
  <c r="N51" i="4"/>
  <c r="K51" i="4" s="1"/>
  <c r="N48" i="4"/>
  <c r="K48" i="4" s="1"/>
  <c r="H48" i="4" s="1"/>
  <c r="R48" i="4" s="1"/>
  <c r="N38" i="4"/>
  <c r="K38" i="4" s="1"/>
  <c r="H38" i="4" s="1"/>
  <c r="R38" i="4" s="1"/>
  <c r="N49" i="4"/>
  <c r="K49" i="4" s="1"/>
  <c r="AG49" i="4" s="1"/>
  <c r="N50" i="4"/>
  <c r="K50" i="4" s="1"/>
  <c r="AS25" i="4"/>
  <c r="AI16" i="4"/>
  <c r="AJ17" i="4"/>
  <c r="X30" i="4"/>
  <c r="AF30" i="4" s="1"/>
  <c r="AD34" i="4"/>
  <c r="Z28" i="4"/>
  <c r="AD28" i="4" s="1"/>
  <c r="AN42" i="4"/>
  <c r="AN38" i="4" s="1"/>
  <c r="AQ42" i="4"/>
  <c r="AC72" i="4"/>
  <c r="AF72" i="4"/>
  <c r="O6" i="4"/>
  <c r="Q6" i="4" s="1"/>
  <c r="Y6" i="4"/>
  <c r="J8" i="4"/>
  <c r="AA8" i="4"/>
  <c r="AE8" i="4" s="1"/>
  <c r="Y11" i="4"/>
  <c r="R5" i="4"/>
  <c r="AC5" i="4"/>
  <c r="AB8" i="4"/>
  <c r="AJ11" i="4"/>
  <c r="AC17" i="4"/>
  <c r="AA18" i="4"/>
  <c r="H18" i="4"/>
  <c r="R18" i="4" s="1"/>
  <c r="AC19" i="4"/>
  <c r="W30" i="4"/>
  <c r="AI30" i="4" s="1"/>
  <c r="AI31" i="4"/>
  <c r="O31" i="4"/>
  <c r="AF47" i="4"/>
  <c r="AC47" i="4"/>
  <c r="AR25" i="4"/>
  <c r="AI7" i="4"/>
  <c r="L8" i="4"/>
  <c r="AF9" i="4"/>
  <c r="S10" i="4"/>
  <c r="AB25" i="4"/>
  <c r="AK25" i="4"/>
  <c r="O12" i="4"/>
  <c r="AI12" i="4"/>
  <c r="AF13" i="4"/>
  <c r="F18" i="4"/>
  <c r="P17" i="4"/>
  <c r="AL18" i="4"/>
  <c r="AF26" i="4"/>
  <c r="AC26" i="4"/>
  <c r="AF34" i="4"/>
  <c r="AC34" i="4"/>
  <c r="AF78" i="4"/>
  <c r="AC78" i="4"/>
  <c r="H43" i="4"/>
  <c r="R43" i="4" s="1"/>
  <c r="N13" i="4"/>
  <c r="AI14" i="4"/>
  <c r="O14" i="4"/>
  <c r="J18" i="4"/>
  <c r="T18" i="4" s="1"/>
  <c r="V29" i="4"/>
  <c r="AD29" i="4" s="1"/>
  <c r="AF32" i="4"/>
  <c r="AC32" i="4"/>
  <c r="AB28" i="4"/>
  <c r="L36" i="4"/>
  <c r="AO36" i="4"/>
  <c r="H42" i="4"/>
  <c r="R42" i="4" s="1"/>
  <c r="N42" i="4"/>
  <c r="M45" i="4"/>
  <c r="Q45" i="4"/>
  <c r="R67" i="4"/>
  <c r="AG67" i="4"/>
  <c r="P7" i="4"/>
  <c r="P12" i="4"/>
  <c r="O9" i="4"/>
  <c r="O13" i="4"/>
  <c r="Y14" i="4"/>
  <c r="AE16" i="4"/>
  <c r="T17" i="4"/>
  <c r="AI19" i="4"/>
  <c r="AJ20" i="4"/>
  <c r="J42" i="4"/>
  <c r="T42" i="4" s="1"/>
  <c r="P42" i="4"/>
  <c r="Z47" i="4"/>
  <c r="AD47" i="4" s="1"/>
  <c r="AD52" i="4"/>
  <c r="T60" i="4"/>
  <c r="AJ60" i="4"/>
  <c r="P60" i="4"/>
  <c r="R64" i="4"/>
  <c r="AG64" i="4"/>
  <c r="N64" i="4"/>
  <c r="V25" i="4"/>
  <c r="AQ25" i="4"/>
  <c r="S17" i="4"/>
  <c r="O17" i="4"/>
  <c r="AC6" i="4"/>
  <c r="X8" i="4"/>
  <c r="Y8" i="4" s="1"/>
  <c r="P9" i="4"/>
  <c r="AO25" i="4"/>
  <c r="P13" i="4"/>
  <c r="AE14" i="4"/>
  <c r="AC16" i="4"/>
  <c r="L18" i="4"/>
  <c r="AI20" i="4"/>
  <c r="Y20" i="4"/>
  <c r="Z25" i="4"/>
  <c r="AC27" i="4"/>
  <c r="O5" i="4"/>
  <c r="O10" i="4"/>
  <c r="W25" i="4"/>
  <c r="AF11" i="4"/>
  <c r="S12" i="4"/>
  <c r="Y19" i="4"/>
  <c r="V37" i="4"/>
  <c r="Z37" i="4" s="1"/>
  <c r="AD37" i="4" s="1"/>
  <c r="V42" i="4"/>
  <c r="AG42" i="4" s="1"/>
  <c r="Y61" i="4"/>
  <c r="AF61" i="4"/>
  <c r="P26" i="4"/>
  <c r="Q26" i="4" s="1"/>
  <c r="X36" i="4"/>
  <c r="L37" i="4"/>
  <c r="AP37" i="4"/>
  <c r="AS41" i="4"/>
  <c r="AS40" i="4" s="1"/>
  <c r="L42" i="4"/>
  <c r="AD54" i="4"/>
  <c r="AF55" i="4"/>
  <c r="S56" i="4"/>
  <c r="AF58" i="4"/>
  <c r="AC58" i="4"/>
  <c r="AE60" i="4"/>
  <c r="Y60" i="4"/>
  <c r="Z72" i="4"/>
  <c r="AE72" i="4"/>
  <c r="W37" i="4"/>
  <c r="AA37" i="4" s="1"/>
  <c r="AE37" i="4" s="1"/>
  <c r="AI56" i="4"/>
  <c r="O56" i="4"/>
  <c r="Q59" i="4"/>
  <c r="AF79" i="4"/>
  <c r="AC79" i="4"/>
  <c r="AB29" i="4"/>
  <c r="AN36" i="4"/>
  <c r="X37" i="4"/>
  <c r="M41" i="4"/>
  <c r="AN41" i="4"/>
  <c r="AN40" i="4" s="1"/>
  <c r="AS42" i="4"/>
  <c r="AP42" i="4"/>
  <c r="AP38" i="4" s="1"/>
  <c r="X42" i="4"/>
  <c r="AO44" i="4"/>
  <c r="S54" i="4"/>
  <c r="O54" i="4"/>
  <c r="AJ56" i="4"/>
  <c r="P56" i="4"/>
  <c r="AR64" i="4"/>
  <c r="AE74" i="4"/>
  <c r="AC74" i="4"/>
  <c r="I76" i="4"/>
  <c r="S76" i="4" s="1"/>
  <c r="O76" i="4"/>
  <c r="K36" i="4"/>
  <c r="AP44" i="4"/>
  <c r="AJ50" i="4"/>
  <c r="J50" i="4"/>
  <c r="T50" i="4" s="1"/>
  <c r="AG54" i="4"/>
  <c r="K55" i="4"/>
  <c r="R55" i="4" s="1"/>
  <c r="R62" i="4"/>
  <c r="AG62" i="4"/>
  <c r="N62" i="4"/>
  <c r="AD64" i="4"/>
  <c r="AD63" i="4"/>
  <c r="AF67" i="4"/>
  <c r="AC67" i="4"/>
  <c r="AF75" i="4"/>
  <c r="AC75" i="4"/>
  <c r="P31" i="4"/>
  <c r="K44" i="4"/>
  <c r="AE62" i="4"/>
  <c r="AC62" i="4"/>
  <c r="AA64" i="4"/>
  <c r="AE64" i="4" s="1"/>
  <c r="AF73" i="4"/>
  <c r="AC73" i="4"/>
  <c r="H77" i="4"/>
  <c r="R77" i="4" s="1"/>
  <c r="AG77" i="4"/>
  <c r="N77" i="4"/>
  <c r="P49" i="4"/>
  <c r="P51" i="4"/>
  <c r="P48" i="4"/>
  <c r="W29" i="4"/>
  <c r="AI29" i="4" s="1"/>
  <c r="V30" i="4"/>
  <c r="AD30" i="4" s="1"/>
  <c r="V36" i="4"/>
  <c r="Z36" i="4" s="1"/>
  <c r="AD36" i="4" s="1"/>
  <c r="AN44" i="4"/>
  <c r="AS44" i="4"/>
  <c r="AQ44" i="4"/>
  <c r="AA51" i="4"/>
  <c r="AE51" i="4" s="1"/>
  <c r="Y51" i="4"/>
  <c r="M57" i="4"/>
  <c r="AJ55" i="4"/>
  <c r="AO45" i="4"/>
  <c r="AR47" i="4"/>
  <c r="AF51" i="4"/>
  <c r="AF56" i="4"/>
  <c r="J57" i="4"/>
  <c r="AG61" i="4"/>
  <c r="T62" i="4"/>
  <c r="T64" i="4"/>
  <c r="AB64" i="4"/>
  <c r="T67" i="4"/>
  <c r="R69" i="4"/>
  <c r="AO72" i="4"/>
  <c r="M76" i="4"/>
  <c r="L77" i="4"/>
  <c r="AF48" i="4"/>
  <c r="AF49" i="4" s="1"/>
  <c r="AB49" i="4" s="1"/>
  <c r="O60" i="4"/>
  <c r="P63" i="4"/>
  <c r="AF63" i="4"/>
  <c r="AP72" i="4"/>
  <c r="K73" i="4"/>
  <c r="N76" i="4"/>
  <c r="AC50" i="4"/>
  <c r="AC52" i="4"/>
  <c r="AC55" i="4"/>
  <c r="AB57" i="4"/>
  <c r="AE58" i="4"/>
  <c r="AC59" i="4"/>
  <c r="AD62" i="4"/>
  <c r="AJ68" i="4"/>
  <c r="Y72" i="4"/>
  <c r="L73" i="4"/>
  <c r="AG76" i="4"/>
  <c r="T55" i="4"/>
  <c r="AG69" i="4"/>
  <c r="N75" i="4"/>
  <c r="N78" i="4"/>
  <c r="N79" i="4"/>
  <c r="R54" i="4"/>
  <c r="X64" i="4"/>
  <c r="Y64" i="4" s="1"/>
  <c r="N74" i="4"/>
  <c r="AG75" i="4"/>
  <c r="AG78" i="4"/>
  <c r="AG79" i="4"/>
  <c r="AE25" i="4" l="1"/>
  <c r="AP40" i="4"/>
  <c r="AJ18" i="4"/>
  <c r="Q79" i="4"/>
  <c r="O75" i="4"/>
  <c r="AI43" i="4"/>
  <c r="AH43" i="4" s="1"/>
  <c r="AG43" i="4"/>
  <c r="Y43" i="4"/>
  <c r="Q61" i="4"/>
  <c r="P78" i="4"/>
  <c r="Q78" i="4" s="1"/>
  <c r="Y70" i="4"/>
  <c r="O8" i="4"/>
  <c r="AE43" i="4"/>
  <c r="AH68" i="4"/>
  <c r="AJ70" i="4"/>
  <c r="AE18" i="4"/>
  <c r="P75" i="4"/>
  <c r="Y47" i="4"/>
  <c r="P18" i="4"/>
  <c r="P8" i="4"/>
  <c r="AG47" i="4"/>
  <c r="AC70" i="4"/>
  <c r="O72" i="4"/>
  <c r="Q72" i="4" s="1"/>
  <c r="AI70" i="4"/>
  <c r="Q43" i="4"/>
  <c r="AJ42" i="4"/>
  <c r="Q14" i="4"/>
  <c r="AR38" i="4"/>
  <c r="S57" i="4"/>
  <c r="J73" i="4"/>
  <c r="T73" i="4" s="1"/>
  <c r="P37" i="4"/>
  <c r="AK72" i="4"/>
  <c r="AL76" i="4" s="1"/>
  <c r="H41" i="4"/>
  <c r="R41" i="4" s="1"/>
  <c r="AD72" i="4"/>
  <c r="AD25" i="4"/>
  <c r="J72" i="4"/>
  <c r="T72" i="4" s="1"/>
  <c r="Q56" i="4"/>
  <c r="J70" i="4"/>
  <c r="T70" i="4" s="1"/>
  <c r="AC20" i="4"/>
  <c r="AG41" i="4"/>
  <c r="Q67" i="4"/>
  <c r="N37" i="4"/>
  <c r="Q10" i="4"/>
  <c r="W38" i="4"/>
  <c r="AF18" i="4"/>
  <c r="AH66" i="4"/>
  <c r="Q13" i="4"/>
  <c r="Q12" i="4"/>
  <c r="Q16" i="4"/>
  <c r="T8" i="4"/>
  <c r="Q9" i="4"/>
  <c r="V70" i="4"/>
  <c r="Z70" i="4" s="1"/>
  <c r="AD70" i="4" s="1"/>
  <c r="Q31" i="4"/>
  <c r="AA39" i="4"/>
  <c r="W39" i="4" s="1"/>
  <c r="Q66" i="4"/>
  <c r="AA40" i="4"/>
  <c r="W40" i="4" s="1"/>
  <c r="AH69" i="4"/>
  <c r="Q63" i="4"/>
  <c r="Q54" i="4"/>
  <c r="AC18" i="4"/>
  <c r="Q68" i="4"/>
  <c r="H93" i="4"/>
  <c r="O24" i="4" s="1"/>
  <c r="L24" i="4" s="1"/>
  <c r="Q7" i="4"/>
  <c r="I93" i="4"/>
  <c r="P24" i="4" s="1"/>
  <c r="Q17" i="4"/>
  <c r="G112" i="4"/>
  <c r="G113" i="4"/>
  <c r="G111" i="4"/>
  <c r="Q74" i="4"/>
  <c r="Q69" i="4"/>
  <c r="AB66" i="4"/>
  <c r="AA66" i="4"/>
  <c r="AE66" i="4" s="1"/>
  <c r="O64" i="4"/>
  <c r="Q64" i="4" s="1"/>
  <c r="S64" i="4"/>
  <c r="J58" i="4"/>
  <c r="T58" i="4" s="1"/>
  <c r="AJ58" i="4"/>
  <c r="AI55" i="4"/>
  <c r="O55" i="4"/>
  <c r="Q55" i="4" s="1"/>
  <c r="S55" i="4"/>
  <c r="AG45" i="4"/>
  <c r="H45" i="4"/>
  <c r="R45" i="4" s="1"/>
  <c r="AB41" i="4"/>
  <c r="Y41" i="4"/>
  <c r="O41" i="4"/>
  <c r="AI41" i="4"/>
  <c r="I41" i="4"/>
  <c r="S41" i="4" s="1"/>
  <c r="J36" i="4"/>
  <c r="T36" i="4" s="1"/>
  <c r="P36" i="4"/>
  <c r="AG27" i="4"/>
  <c r="N27" i="4"/>
  <c r="R27" i="4"/>
  <c r="Y18" i="4"/>
  <c r="AJ15" i="4"/>
  <c r="Q11" i="4"/>
  <c r="AG48" i="4"/>
  <c r="H49" i="4"/>
  <c r="R49" i="4" s="1"/>
  <c r="AG50" i="4"/>
  <c r="H50" i="4"/>
  <c r="R50" i="4" s="1"/>
  <c r="AG51" i="4"/>
  <c r="H51" i="4"/>
  <c r="R51" i="4" s="1"/>
  <c r="AH51" i="4"/>
  <c r="H36" i="4"/>
  <c r="R36" i="4" s="1"/>
  <c r="AG36" i="4"/>
  <c r="N36" i="4"/>
  <c r="AB42" i="4"/>
  <c r="X38" i="4"/>
  <c r="AJ38" i="4" s="1"/>
  <c r="Y42" i="4"/>
  <c r="Q60" i="4"/>
  <c r="AF57" i="4"/>
  <c r="AC57" i="4"/>
  <c r="AG72" i="4"/>
  <c r="H72" i="4"/>
  <c r="R72" i="4" s="1"/>
  <c r="N72" i="4"/>
  <c r="AG29" i="4"/>
  <c r="AH29" i="4"/>
  <c r="AI15" i="4"/>
  <c r="AQ38" i="4"/>
  <c r="AQ39" i="4"/>
  <c r="AC29" i="4"/>
  <c r="X29" i="4"/>
  <c r="AJ57" i="4"/>
  <c r="P57" i="4"/>
  <c r="AF64" i="4"/>
  <c r="AC64" i="4"/>
  <c r="N55" i="4"/>
  <c r="K57" i="4"/>
  <c r="AG55" i="4"/>
  <c r="AS39" i="4"/>
  <c r="AS38" i="4"/>
  <c r="I42" i="4"/>
  <c r="S42" i="4" s="1"/>
  <c r="AI42" i="4"/>
  <c r="O42" i="4"/>
  <c r="Q42" i="4" s="1"/>
  <c r="AG37" i="4"/>
  <c r="M49" i="4"/>
  <c r="J49" i="4" s="1"/>
  <c r="T49" i="4" s="1"/>
  <c r="Y25" i="4"/>
  <c r="O50" i="4"/>
  <c r="O49" i="4"/>
  <c r="L49" i="4" s="1"/>
  <c r="I49" i="4" s="1"/>
  <c r="S49" i="4" s="1"/>
  <c r="O51" i="4"/>
  <c r="L51" i="4" s="1"/>
  <c r="O48" i="4"/>
  <c r="L48" i="4" s="1"/>
  <c r="I48" i="4" s="1"/>
  <c r="S48" i="4" s="1"/>
  <c r="O38" i="4"/>
  <c r="AB43" i="4"/>
  <c r="AC49" i="4"/>
  <c r="P41" i="4"/>
  <c r="AJ41" i="4"/>
  <c r="J41" i="4"/>
  <c r="T41" i="4" s="1"/>
  <c r="Z42" i="4"/>
  <c r="V38" i="4"/>
  <c r="AG38" i="4" s="1"/>
  <c r="O18" i="4"/>
  <c r="AI18" i="4"/>
  <c r="AE29" i="4"/>
  <c r="I36" i="4"/>
  <c r="S36" i="4" s="1"/>
  <c r="O36" i="4"/>
  <c r="S18" i="4"/>
  <c r="AC25" i="4"/>
  <c r="AF25" i="4"/>
  <c r="S8" i="4"/>
  <c r="O73" i="4"/>
  <c r="Q73" i="4" s="1"/>
  <c r="I73" i="4"/>
  <c r="S73" i="4" s="1"/>
  <c r="AH30" i="4"/>
  <c r="AG30" i="4"/>
  <c r="I77" i="4"/>
  <c r="S77" i="4" s="1"/>
  <c r="O77" i="4"/>
  <c r="Q77" i="4" s="1"/>
  <c r="M48" i="4"/>
  <c r="J48" i="4" s="1"/>
  <c r="T48" i="4" s="1"/>
  <c r="AD48" i="4"/>
  <c r="Y37" i="4"/>
  <c r="AB37" i="4"/>
  <c r="I37" i="4"/>
  <c r="S37" i="4" s="1"/>
  <c r="O37" i="4"/>
  <c r="AJ45" i="4"/>
  <c r="J45" i="4"/>
  <c r="T45" i="4" s="1"/>
  <c r="AF28" i="4"/>
  <c r="AC28" i="4"/>
  <c r="AA38" i="4"/>
  <c r="AE42" i="4"/>
  <c r="J38" i="4"/>
  <c r="T38" i="4" s="1"/>
  <c r="H73" i="4"/>
  <c r="R73" i="4" s="1"/>
  <c r="AG73" i="4"/>
  <c r="N73" i="4"/>
  <c r="J76" i="4"/>
  <c r="T76" i="4" s="1"/>
  <c r="P76" i="4"/>
  <c r="Q76" i="4" s="1"/>
  <c r="T57" i="4"/>
  <c r="M51" i="4"/>
  <c r="H44" i="4"/>
  <c r="R44" i="4" s="1"/>
  <c r="AG44" i="4"/>
  <c r="O57" i="4"/>
  <c r="AI57" i="4"/>
  <c r="AB36" i="4"/>
  <c r="Y36" i="4"/>
  <c r="AC51" i="4"/>
  <c r="AF8" i="4"/>
  <c r="AC8" i="4"/>
  <c r="Q5" i="4"/>
  <c r="AJ30" i="4"/>
  <c r="Y30" i="4"/>
  <c r="N28" i="4"/>
  <c r="K28" i="4" s="1"/>
  <c r="N25" i="4"/>
  <c r="K25" i="4" s="1"/>
  <c r="N24" i="4"/>
  <c r="K24" i="4" s="1"/>
  <c r="AE30" i="4"/>
  <c r="Q18" i="4" l="1"/>
  <c r="Q75" i="4"/>
  <c r="AM72" i="4"/>
  <c r="AH42" i="4"/>
  <c r="Y38" i="4"/>
  <c r="AG70" i="4"/>
  <c r="Q41" i="4"/>
  <c r="AE38" i="4"/>
  <c r="AL72" i="4"/>
  <c r="AH70" i="4"/>
  <c r="AL75" i="4"/>
  <c r="AL77" i="4"/>
  <c r="Q8" i="4"/>
  <c r="AL79" i="4"/>
  <c r="AL74" i="4"/>
  <c r="AL78" i="4"/>
  <c r="O25" i="4"/>
  <c r="L25" i="4" s="1"/>
  <c r="AI25" i="4" s="1"/>
  <c r="Q37" i="4"/>
  <c r="O28" i="4"/>
  <c r="L28" i="4" s="1"/>
  <c r="I28" i="4" s="1"/>
  <c r="S28" i="4" s="1"/>
  <c r="Q36" i="4"/>
  <c r="AH41" i="4"/>
  <c r="P25" i="4"/>
  <c r="M25" i="4" s="1"/>
  <c r="P28" i="4"/>
  <c r="M28" i="4" s="1"/>
  <c r="AI40" i="4"/>
  <c r="AE40" i="4"/>
  <c r="AI39" i="4"/>
  <c r="AE39" i="4"/>
  <c r="AF41" i="4"/>
  <c r="AC41" i="4"/>
  <c r="AF66" i="4"/>
  <c r="AC66" i="4"/>
  <c r="AQ15" i="4"/>
  <c r="AN15" i="4"/>
  <c r="AH15" i="4"/>
  <c r="Z15" i="4"/>
  <c r="V15" i="4"/>
  <c r="K15" i="4"/>
  <c r="F15" i="4"/>
  <c r="G15" i="4"/>
  <c r="H15" i="4"/>
  <c r="J15" i="4"/>
  <c r="L15" i="4"/>
  <c r="M15" i="4"/>
  <c r="X15" i="4"/>
  <c r="AB15" i="4"/>
  <c r="AK15" i="4"/>
  <c r="AK24" i="4" s="1"/>
  <c r="AO15" i="4"/>
  <c r="AP15" i="4"/>
  <c r="AR15" i="4"/>
  <c r="AS15" i="4"/>
  <c r="E15" i="4"/>
  <c r="Z24" i="4" s="1"/>
  <c r="AM15" i="4"/>
  <c r="AM24" i="4" s="1"/>
  <c r="W15" i="4"/>
  <c r="AA15" i="4"/>
  <c r="I15" i="4"/>
  <c r="AL15" i="4"/>
  <c r="AL24" i="4" s="1"/>
  <c r="Q51" i="4"/>
  <c r="Q48" i="4"/>
  <c r="AG25" i="4"/>
  <c r="H25" i="4"/>
  <c r="R25" i="4" s="1"/>
  <c r="AH25" i="4"/>
  <c r="AG28" i="4"/>
  <c r="H28" i="4"/>
  <c r="R28" i="4" s="1"/>
  <c r="AF37" i="4"/>
  <c r="AC37" i="4"/>
  <c r="AC43" i="4"/>
  <c r="AF43" i="4"/>
  <c r="AB39" i="4"/>
  <c r="AB40" i="4"/>
  <c r="Q24" i="4"/>
  <c r="M24" i="4"/>
  <c r="AJ51" i="4"/>
  <c r="J51" i="4"/>
  <c r="T51" i="4" s="1"/>
  <c r="L38" i="4"/>
  <c r="Q38" i="4"/>
  <c r="AJ29" i="4"/>
  <c r="Y29" i="4"/>
  <c r="H24" i="4"/>
  <c r="R24" i="4" s="1"/>
  <c r="AD49" i="4"/>
  <c r="Z49" i="4" s="1"/>
  <c r="Z48" i="4"/>
  <c r="AD42" i="4"/>
  <c r="Z38" i="4"/>
  <c r="AD38" i="4" s="1"/>
  <c r="N57" i="4"/>
  <c r="AG57" i="4"/>
  <c r="R57" i="4"/>
  <c r="AF29" i="4"/>
  <c r="AF42" i="4"/>
  <c r="AB38" i="4"/>
  <c r="AC42" i="4"/>
  <c r="AC36" i="4"/>
  <c r="AF36" i="4"/>
  <c r="I24" i="4"/>
  <c r="S24" i="4" s="1"/>
  <c r="AI51" i="4"/>
  <c r="I51" i="4"/>
  <c r="S51" i="4" s="1"/>
  <c r="Q49" i="4"/>
  <c r="Q57" i="4"/>
  <c r="L50" i="4"/>
  <c r="Q50" i="4"/>
  <c r="I25" i="4" l="1"/>
  <c r="S25" i="4" s="1"/>
  <c r="W24" i="4"/>
  <c r="AI24" i="4" s="1"/>
  <c r="O15" i="4"/>
  <c r="Q25" i="4"/>
  <c r="AI28" i="4"/>
  <c r="Q28" i="4"/>
  <c r="R15" i="4"/>
  <c r="Z43" i="4"/>
  <c r="Z40" i="4" s="1"/>
  <c r="S15" i="4"/>
  <c r="P15" i="4"/>
  <c r="P21" i="4" s="1"/>
  <c r="AA24" i="4"/>
  <c r="AE24" i="4" s="1"/>
  <c r="AE15" i="4"/>
  <c r="AS24" i="4"/>
  <c r="AR24" i="4"/>
  <c r="AP24" i="4"/>
  <c r="AO24" i="4"/>
  <c r="AM73" i="4"/>
  <c r="AK73" i="4" s="1"/>
  <c r="AM75" i="4"/>
  <c r="AK75" i="4" s="1"/>
  <c r="AM76" i="4"/>
  <c r="AK76" i="4" s="1"/>
  <c r="AM77" i="4"/>
  <c r="AK77" i="4" s="1"/>
  <c r="AM79" i="4"/>
  <c r="AK79" i="4" s="1"/>
  <c r="AM74" i="4"/>
  <c r="AK74" i="4" s="1"/>
  <c r="AM78" i="4"/>
  <c r="AK78" i="4" s="1"/>
  <c r="AC15" i="4"/>
  <c r="AB24" i="4"/>
  <c r="AF15" i="4"/>
  <c r="X24" i="4"/>
  <c r="Y24" i="4" s="1"/>
  <c r="Y15" i="4"/>
  <c r="O21" i="4"/>
  <c r="L21" i="4" s="1"/>
  <c r="O22" i="4"/>
  <c r="L22" i="4" s="1"/>
  <c r="T15" i="4"/>
  <c r="N15" i="4"/>
  <c r="AG15" i="4"/>
  <c r="V24" i="4"/>
  <c r="AD15" i="4"/>
  <c r="AN24" i="4"/>
  <c r="AQ24" i="4"/>
  <c r="AC39" i="4"/>
  <c r="X39" i="4"/>
  <c r="AF39" i="4" s="1"/>
  <c r="AJ28" i="4"/>
  <c r="J28" i="4"/>
  <c r="T28" i="4" s="1"/>
  <c r="AI50" i="4"/>
  <c r="I50" i="4"/>
  <c r="S50" i="4" s="1"/>
  <c r="AJ25" i="4"/>
  <c r="J25" i="4"/>
  <c r="T25" i="4" s="1"/>
  <c r="I38" i="4"/>
  <c r="S38" i="4" s="1"/>
  <c r="AI38" i="4"/>
  <c r="AH38" i="4" s="1"/>
  <c r="AF38" i="4"/>
  <c r="AC38" i="4"/>
  <c r="AC40" i="4"/>
  <c r="X40" i="4"/>
  <c r="J24" i="4"/>
  <c r="T24" i="4" s="1"/>
  <c r="AD43" i="4" l="1"/>
  <c r="Q15" i="4"/>
  <c r="AJ24" i="4"/>
  <c r="Z39" i="4"/>
  <c r="V39" i="4" s="1"/>
  <c r="AG39" i="4" s="1"/>
  <c r="AH28" i="4"/>
  <c r="P22" i="4"/>
  <c r="Q22" i="4" s="1"/>
  <c r="AD24" i="4"/>
  <c r="AH24" i="4"/>
  <c r="AG24" i="4"/>
  <c r="N21" i="4"/>
  <c r="K21" i="4" s="1"/>
  <c r="N22" i="4"/>
  <c r="K22" i="4" s="1"/>
  <c r="I22" i="4"/>
  <c r="S22" i="4" s="1"/>
  <c r="AI22" i="4"/>
  <c r="I21" i="4"/>
  <c r="S21" i="4" s="1"/>
  <c r="AI21" i="4"/>
  <c r="M22" i="4"/>
  <c r="M21" i="4"/>
  <c r="Q21" i="4"/>
  <c r="AF24" i="4"/>
  <c r="AC24" i="4"/>
  <c r="AJ40" i="4"/>
  <c r="AH40" i="4" s="1"/>
  <c r="Y40" i="4"/>
  <c r="V40" i="4"/>
  <c r="AG40" i="4" s="1"/>
  <c r="AF40" i="4"/>
  <c r="AJ39" i="4"/>
  <c r="AH39" i="4" s="1"/>
  <c r="Y39" i="4"/>
  <c r="J21" i="4" l="1"/>
  <c r="T21" i="4" s="1"/>
  <c r="AJ21" i="4"/>
  <c r="AJ22" i="4"/>
  <c r="J22" i="4"/>
  <c r="T22" i="4" s="1"/>
  <c r="R22" i="4"/>
  <c r="AG22" i="4"/>
  <c r="AG21" i="4"/>
  <c r="R21" i="4"/>
  <c r="AD39" i="4"/>
  <c r="AD40" i="4"/>
</calcChain>
</file>

<file path=xl/comments1.xml><?xml version="1.0" encoding="utf-8"?>
<comments xmlns="http://schemas.openxmlformats.org/spreadsheetml/2006/main">
  <authors>
    <author>Angel Avadí</author>
  </authors>
  <commentList>
    <comment ref="L14" authorId="0">
      <text>
        <r>
          <rPr>
            <b/>
            <sz val="9"/>
            <color indexed="81"/>
            <rFont val="Tahoma"/>
            <family val="2"/>
          </rPr>
          <t>Angel Avadí:</t>
        </r>
        <r>
          <rPr>
            <sz val="9"/>
            <color indexed="81"/>
            <rFont val="Tahoma"/>
            <family val="2"/>
          </rPr>
          <t xml:space="preserve">
Reibel and Leclerc (2018) p.51</t>
        </r>
      </text>
    </comment>
    <comment ref="N31" authorId="0">
      <text>
        <r>
          <rPr>
            <b/>
            <sz val="9"/>
            <color indexed="81"/>
            <rFont val="Tahoma"/>
            <family val="2"/>
          </rPr>
          <t>Angel Avadí:</t>
        </r>
        <r>
          <rPr>
            <sz val="9"/>
            <color indexed="81"/>
            <rFont val="Tahoma"/>
            <family val="2"/>
          </rPr>
          <t xml:space="preserve">
Dhaouadi (2014)</t>
        </r>
      </text>
    </comment>
  </commentList>
</comments>
</file>

<file path=xl/comments2.xml><?xml version="1.0" encoding="utf-8"?>
<comments xmlns="http://schemas.openxmlformats.org/spreadsheetml/2006/main">
  <authors>
    <author>Angel Avadí</author>
  </authors>
  <commentList>
    <comment ref="M24" authorId="0">
      <text>
        <r>
          <rPr>
            <b/>
            <sz val="9"/>
            <color indexed="81"/>
            <rFont val="Tahoma"/>
            <family val="2"/>
          </rPr>
          <t>Angel Avadí:</t>
        </r>
        <r>
          <rPr>
            <sz val="9"/>
            <color indexed="81"/>
            <rFont val="Tahoma"/>
            <family val="2"/>
          </rPr>
          <t xml:space="preserve">
Dhaouadi (2014)</t>
        </r>
      </text>
    </comment>
  </commentList>
</comments>
</file>

<file path=xl/comments3.xml><?xml version="1.0" encoding="utf-8"?>
<comments xmlns="http://schemas.openxmlformats.org/spreadsheetml/2006/main">
  <authors>
    <author>avadi</author>
    <author>JM Paillat</author>
    <author>Angel Avadí</author>
  </authors>
  <commentList>
    <comment ref="A8" authorId="0">
      <text>
        <r>
          <rPr>
            <b/>
            <sz val="9"/>
            <color indexed="81"/>
            <rFont val="Tahoma"/>
            <family val="2"/>
          </rPr>
          <t xml:space="preserve">avadi:
</t>
        </r>
        <r>
          <rPr>
            <sz val="9"/>
            <color indexed="81"/>
            <rFont val="Tahoma"/>
            <family val="2"/>
          </rPr>
          <t>according with Ilari et al. (2004), the majority of French swine systems are "naisseurs-engraisseurs", thus we retain those values as the French average</t>
        </r>
      </text>
    </comment>
    <comment ref="L10" authorId="1">
      <text>
        <r>
          <rPr>
            <b/>
            <sz val="9"/>
            <color indexed="81"/>
            <rFont val="Tahoma"/>
            <family val="2"/>
          </rPr>
          <t>JM Paillat:</t>
        </r>
        <r>
          <rPr>
            <sz val="9"/>
            <color indexed="81"/>
            <rFont val="Tahoma"/>
            <family val="2"/>
          </rPr>
          <t xml:space="preserve">
problème de cohérence des min et max lié au très faible écart-type.
J'ai remplacé par l'ET de la MS /2,5
</t>
        </r>
      </text>
    </comment>
    <comment ref="M10" authorId="1">
      <text>
        <r>
          <rPr>
            <b/>
            <sz val="9"/>
            <color indexed="81"/>
            <rFont val="Tahoma"/>
            <family val="2"/>
          </rPr>
          <t>JM Paillat:</t>
        </r>
        <r>
          <rPr>
            <sz val="9"/>
            <color indexed="81"/>
            <rFont val="Tahoma"/>
            <family val="2"/>
          </rPr>
          <t xml:space="preserve">
idem
</t>
        </r>
      </text>
    </comment>
    <comment ref="A15" authorId="0">
      <text>
        <r>
          <rPr>
            <b/>
            <sz val="9"/>
            <color indexed="81"/>
            <rFont val="Tahoma"/>
            <family val="2"/>
          </rPr>
          <t>avadi:</t>
        </r>
        <r>
          <rPr>
            <sz val="9"/>
            <color indexed="81"/>
            <rFont val="Tahoma"/>
            <family val="2"/>
          </rPr>
          <t xml:space="preserve">
weighting factors based on Loyon (2015) data (see bottom of the sheet) 
</t>
        </r>
      </text>
    </comment>
    <comment ref="A18" authorId="0">
      <text>
        <r>
          <rPr>
            <b/>
            <sz val="9"/>
            <color indexed="81"/>
            <rFont val="Tahoma"/>
            <family val="2"/>
          </rPr>
          <t>avadi:</t>
        </r>
        <r>
          <rPr>
            <sz val="9"/>
            <color indexed="81"/>
            <rFont val="Tahoma"/>
            <family val="2"/>
          </rPr>
          <t xml:space="preserve">
weighting factors based on CIWF data (see bottom of the sheet) </t>
        </r>
      </text>
    </comment>
    <comment ref="A24" authorId="1">
      <text>
        <r>
          <rPr>
            <b/>
            <sz val="9"/>
            <color indexed="81"/>
            <rFont val="Tahoma"/>
            <family val="2"/>
          </rPr>
          <t>JM Paillat:</t>
        </r>
        <r>
          <rPr>
            <sz val="9"/>
            <color indexed="81"/>
            <rFont val="Tahoma"/>
            <family val="2"/>
          </rPr>
          <t xml:space="preserve">
AA: en principe il s'agite de la fraction solide du lisier, qui est complementée avec du fumier (pour monter la taux de MS) avant autres procedés (séchage, AD). Voir par exemple Camargo-Valero et al (2015).</t>
        </r>
      </text>
    </comment>
    <comment ref="E29" authorId="0">
      <text>
        <r>
          <rPr>
            <b/>
            <sz val="9"/>
            <color indexed="81"/>
            <rFont val="Tahoma"/>
            <family val="2"/>
          </rPr>
          <t>avadi:</t>
        </r>
        <r>
          <rPr>
            <sz val="9"/>
            <color indexed="81"/>
            <rFont val="Tahoma"/>
            <family val="2"/>
          </rPr>
          <t xml:space="preserve">
Bolzonella, D., Fatone, F., Gottardo, M., &amp; Frison, N. (2018). Nutrients recovery from anaerobic digestate of agro-waste: Techno-economic assessment of full scale applications. Table 5</t>
        </r>
      </text>
    </comment>
    <comment ref="E30" authorId="0">
      <text>
        <r>
          <rPr>
            <b/>
            <sz val="9"/>
            <color indexed="81"/>
            <rFont val="Tahoma"/>
            <family val="2"/>
          </rPr>
          <t>avadi:</t>
        </r>
        <r>
          <rPr>
            <sz val="9"/>
            <color indexed="81"/>
            <rFont val="Tahoma"/>
            <family val="2"/>
          </rPr>
          <t xml:space="preserve">
Bolzonella, D., Fatone, F., Gottardo, M., &amp; Frison, N. (2018). Nutrients recovery from anaerobic digestate of agro-waste: Techno-economic assessment of full scale applications. Table 5</t>
        </r>
      </text>
    </comment>
    <comment ref="F30" authorId="0">
      <text>
        <r>
          <rPr>
            <b/>
            <sz val="9"/>
            <color indexed="81"/>
            <rFont val="Tahoma"/>
            <family val="2"/>
          </rPr>
          <t>avadi:</t>
        </r>
        <r>
          <rPr>
            <sz val="9"/>
            <color indexed="81"/>
            <rFont val="Tahoma"/>
            <family val="2"/>
          </rPr>
          <t xml:space="preserve">
Bolzonella, D., Fatone, F., Gottardo, M., &amp; Frison, N. (2018). Nutrients recovery from anaerobic digestate of agro-waste: Techno-economic assessment of full scale applications. Table 5</t>
        </r>
      </text>
    </comment>
    <comment ref="G30" authorId="0">
      <text>
        <r>
          <rPr>
            <b/>
            <sz val="9"/>
            <color indexed="81"/>
            <rFont val="Tahoma"/>
            <family val="2"/>
          </rPr>
          <t>avadi:</t>
        </r>
        <r>
          <rPr>
            <sz val="9"/>
            <color indexed="81"/>
            <rFont val="Tahoma"/>
            <family val="2"/>
          </rPr>
          <t xml:space="preserve">
Bolzonella, D., Fatone, F., Gottardo, M., &amp; Frison, N. (2018). Nutrients recovery from anaerobic digestate of agro-waste: Techno-economic assessment of full scale applications. Table 5</t>
        </r>
      </text>
    </comment>
    <comment ref="E33"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H33"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K33"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V33"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Z33"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H33"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N33"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Q33"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E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F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G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H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I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J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K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V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W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X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Z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A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B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H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K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L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M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N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O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P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Q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R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AS34" authorId="0">
      <text>
        <r>
          <rPr>
            <b/>
            <sz val="9"/>
            <color indexed="81"/>
            <rFont val="Tahoma"/>
            <family val="2"/>
          </rPr>
          <t>avadi:</t>
        </r>
        <r>
          <rPr>
            <sz val="9"/>
            <color indexed="81"/>
            <rFont val="Tahoma"/>
            <family val="2"/>
          </rPr>
          <t xml:space="preserve">
IDELE 2013. Fiche Technique Issue de séparation de phases du lisier de bovin
IDELE 2017. Journée technique "Traite - Logement – Déjections", Atelier 3: Gérer les déjections. Rappels et solutions de diminution des volumes à stocker</t>
        </r>
      </text>
    </comment>
    <comment ref="E39" authorId="0">
      <text>
        <r>
          <rPr>
            <b/>
            <sz val="9"/>
            <color indexed="81"/>
            <rFont val="Tahoma"/>
            <family val="2"/>
          </rPr>
          <t>avadi:</t>
        </r>
        <r>
          <rPr>
            <sz val="9"/>
            <color indexed="81"/>
            <rFont val="Tahoma"/>
            <family val="2"/>
          </rPr>
          <t xml:space="preserve">
Bolzonella, D., Fatone, F., Gottardo, M., &amp; Frison, N. (2018). Nutrients recovery from anaerobic digestate of agro-waste: Techno-economic assessment of full scale applications. Table 5</t>
        </r>
      </text>
    </comment>
    <comment ref="E40" authorId="0">
      <text>
        <r>
          <rPr>
            <b/>
            <sz val="9"/>
            <color indexed="81"/>
            <rFont val="Tahoma"/>
            <family val="2"/>
          </rPr>
          <t>avadi:</t>
        </r>
        <r>
          <rPr>
            <sz val="9"/>
            <color indexed="81"/>
            <rFont val="Tahoma"/>
            <family val="2"/>
          </rPr>
          <t xml:space="preserve">
Bolzonella, D., Fatone, F., Gottardo, M., &amp; Frison, N. (2018). Nutrients recovery from anaerobic digestate of agro-waste: Techno-economic assessment of full scale applications. Table 5</t>
        </r>
      </text>
    </comment>
    <comment ref="F40" authorId="0">
      <text>
        <r>
          <rPr>
            <b/>
            <sz val="9"/>
            <color indexed="81"/>
            <rFont val="Tahoma"/>
            <family val="2"/>
          </rPr>
          <t>avadi:</t>
        </r>
        <r>
          <rPr>
            <sz val="9"/>
            <color indexed="81"/>
            <rFont val="Tahoma"/>
            <family val="2"/>
          </rPr>
          <t xml:space="preserve">
Bolzonella, D., Fatone, F., Gottardo, M., &amp; Frison, N. (2018). Nutrients recovery from anaerobic digestate of agro-waste: Techno-economic assessment of full scale applications. Table 5</t>
        </r>
      </text>
    </comment>
    <comment ref="G40" authorId="0">
      <text>
        <r>
          <rPr>
            <b/>
            <sz val="9"/>
            <color indexed="81"/>
            <rFont val="Tahoma"/>
            <family val="2"/>
          </rPr>
          <t>avadi:</t>
        </r>
        <r>
          <rPr>
            <sz val="9"/>
            <color indexed="81"/>
            <rFont val="Tahoma"/>
            <family val="2"/>
          </rPr>
          <t xml:space="preserve">
Bolzonella, D., Fatone, F., Gottardo, M., &amp; Frison, N. (2018). Nutrients recovery from anaerobic digestate of agro-waste: Techno-economic assessment of full scale applications. Table 5</t>
        </r>
      </text>
    </comment>
    <comment ref="U41" authorId="2">
      <text>
        <r>
          <rPr>
            <b/>
            <sz val="9"/>
            <color indexed="81"/>
            <rFont val="Tahoma"/>
            <family val="2"/>
          </rPr>
          <t>Angel Avadí:</t>
        </r>
        <r>
          <rPr>
            <sz val="9"/>
            <color indexed="81"/>
            <rFont val="Tahoma"/>
            <family val="2"/>
          </rPr>
          <t xml:space="preserve">
Reibel and Leclerc (2018) p.51</t>
        </r>
      </text>
    </comment>
    <comment ref="U43" authorId="2">
      <text>
        <r>
          <rPr>
            <b/>
            <sz val="9"/>
            <color indexed="81"/>
            <rFont val="Tahoma"/>
            <family val="2"/>
          </rPr>
          <t>Angel Avadí:</t>
        </r>
        <r>
          <rPr>
            <sz val="9"/>
            <color indexed="81"/>
            <rFont val="Tahoma"/>
            <family val="2"/>
          </rPr>
          <t xml:space="preserve">
Reibel and Leclerc (2018) p.51</t>
        </r>
      </text>
    </comment>
    <comment ref="AD44" authorId="0">
      <text>
        <r>
          <rPr>
            <b/>
            <sz val="9"/>
            <color indexed="81"/>
            <rFont val="Tahoma"/>
            <family val="2"/>
          </rPr>
          <t>avadi:</t>
        </r>
        <r>
          <rPr>
            <sz val="9"/>
            <color indexed="81"/>
            <rFont val="Tahoma"/>
            <family val="2"/>
          </rPr>
          <t xml:space="preserve">
according with COMIFER (2013) Tableau 13, NH4-N is 13% of total N</t>
        </r>
      </text>
    </comment>
    <comment ref="V45" authorId="2">
      <text>
        <r>
          <rPr>
            <b/>
            <sz val="9"/>
            <color indexed="81"/>
            <rFont val="Tahoma"/>
            <family val="2"/>
          </rPr>
          <t>Angel Avadí:</t>
        </r>
        <r>
          <rPr>
            <sz val="9"/>
            <color indexed="81"/>
            <rFont val="Tahoma"/>
            <family val="2"/>
          </rPr>
          <t xml:space="preserve">
JMP: vérifier teneur en MS de cette référence pour voir cohérence sur C
=&gt; à faire pour tous les digestats avec ref Comifer
AA: pas d'indication des teneurs en MS dans COMIFER (2013)</t>
        </r>
      </text>
    </comment>
    <comment ref="AD45" authorId="0">
      <text>
        <r>
          <rPr>
            <b/>
            <sz val="9"/>
            <color indexed="81"/>
            <rFont val="Tahoma"/>
            <family val="2"/>
          </rPr>
          <t>avadi:</t>
        </r>
        <r>
          <rPr>
            <sz val="9"/>
            <color indexed="81"/>
            <rFont val="Tahoma"/>
            <family val="2"/>
          </rPr>
          <t xml:space="preserve">
according with COMIFER (2013) Tableau 13, NH4-N is 2% of total N</t>
        </r>
      </text>
    </comment>
    <comment ref="H50" authorId="2">
      <text>
        <r>
          <rPr>
            <b/>
            <sz val="9"/>
            <color indexed="81"/>
            <rFont val="Tahoma"/>
            <family val="2"/>
          </rPr>
          <t>Angel Avadí:</t>
        </r>
        <r>
          <rPr>
            <sz val="9"/>
            <color indexed="81"/>
            <rFont val="Tahoma"/>
            <family val="2"/>
          </rPr>
          <t xml:space="preserve">
aligned with calculation K47*AVERAGE(F85:F86)/10 = 7.8</t>
        </r>
      </text>
    </comment>
    <comment ref="AO51" authorId="2">
      <text>
        <r>
          <rPr>
            <b/>
            <sz val="9"/>
            <color indexed="81"/>
            <rFont val="Tahoma"/>
            <family val="2"/>
          </rPr>
          <t>Angel Avadí:</t>
        </r>
        <r>
          <rPr>
            <sz val="9"/>
            <color indexed="81"/>
            <rFont val="Tahoma"/>
            <family val="2"/>
          </rPr>
          <t xml:space="preserve">
Reibel and Leclerc (2018)</t>
        </r>
      </text>
    </comment>
    <comment ref="AP51" authorId="2">
      <text>
        <r>
          <rPr>
            <b/>
            <sz val="9"/>
            <color indexed="81"/>
            <rFont val="Tahoma"/>
            <family val="2"/>
          </rPr>
          <t>Angel Avadí:</t>
        </r>
        <r>
          <rPr>
            <sz val="9"/>
            <color indexed="81"/>
            <rFont val="Tahoma"/>
            <family val="2"/>
          </rPr>
          <t xml:space="preserve">
Reibel and Leclerc (2018)</t>
        </r>
      </text>
    </comment>
    <comment ref="AR51" authorId="2">
      <text>
        <r>
          <rPr>
            <b/>
            <sz val="9"/>
            <color indexed="81"/>
            <rFont val="Tahoma"/>
            <family val="2"/>
          </rPr>
          <t>Angel Avadí:</t>
        </r>
        <r>
          <rPr>
            <sz val="9"/>
            <color indexed="81"/>
            <rFont val="Tahoma"/>
            <family val="2"/>
          </rPr>
          <t xml:space="preserve">
Reibel and Leclerc (2018)</t>
        </r>
      </text>
    </comment>
    <comment ref="AS51" authorId="2">
      <text>
        <r>
          <rPr>
            <b/>
            <sz val="9"/>
            <color indexed="81"/>
            <rFont val="Tahoma"/>
            <family val="2"/>
          </rPr>
          <t>Angel Avadí:</t>
        </r>
        <r>
          <rPr>
            <sz val="9"/>
            <color indexed="81"/>
            <rFont val="Tahoma"/>
            <family val="2"/>
          </rPr>
          <t xml:space="preserve">
Reibel and Leclerc (2018)</t>
        </r>
      </text>
    </comment>
    <comment ref="E54" authorId="2">
      <text>
        <r>
          <rPr>
            <b/>
            <sz val="9"/>
            <color indexed="81"/>
            <rFont val="Tahoma"/>
            <family val="2"/>
          </rPr>
          <t>Angel Avadí:</t>
        </r>
        <r>
          <rPr>
            <sz val="9"/>
            <color indexed="81"/>
            <rFont val="Tahoma"/>
            <family val="2"/>
          </rPr>
          <t xml:space="preserve">
valeur Paillat et al 2006: 350</t>
        </r>
      </text>
    </comment>
    <comment ref="N54" authorId="2">
      <text>
        <r>
          <rPr>
            <b/>
            <sz val="9"/>
            <color indexed="81"/>
            <rFont val="Tahoma"/>
            <family val="2"/>
          </rPr>
          <t>Angel Avadí:</t>
        </r>
        <r>
          <rPr>
            <sz val="9"/>
            <color indexed="81"/>
            <rFont val="Tahoma"/>
            <family val="2"/>
          </rPr>
          <t xml:space="preserve">
valeur Paillat et al 2006: 240</t>
        </r>
      </text>
    </comment>
    <comment ref="V54" authorId="2">
      <text>
        <r>
          <rPr>
            <b/>
            <sz val="9"/>
            <color indexed="81"/>
            <rFont val="Tahoma"/>
            <family val="2"/>
          </rPr>
          <t>Angel Avadí:</t>
        </r>
        <r>
          <rPr>
            <sz val="9"/>
            <color indexed="81"/>
            <rFont val="Tahoma"/>
            <family val="2"/>
          </rPr>
          <t xml:space="preserve">
valeur Paillat et al 2006: 7.5</t>
        </r>
      </text>
    </comment>
    <comment ref="Z54" authorId="2">
      <text>
        <r>
          <rPr>
            <b/>
            <sz val="9"/>
            <color indexed="81"/>
            <rFont val="Tahoma"/>
            <family val="2"/>
          </rPr>
          <t>Angel Avadí:</t>
        </r>
        <r>
          <rPr>
            <sz val="9"/>
            <color indexed="81"/>
            <rFont val="Tahoma"/>
            <family val="2"/>
          </rPr>
          <t xml:space="preserve">
valeur Paillat et al 2006: 0.1</t>
        </r>
      </text>
    </comment>
    <comment ref="AN54" authorId="2">
      <text>
        <r>
          <rPr>
            <b/>
            <sz val="9"/>
            <color indexed="81"/>
            <rFont val="Tahoma"/>
            <family val="2"/>
          </rPr>
          <t>Angel Avadí:</t>
        </r>
        <r>
          <rPr>
            <sz val="9"/>
            <color indexed="81"/>
            <rFont val="Tahoma"/>
            <family val="2"/>
          </rPr>
          <t xml:space="preserve">
valeur Paillat et al 2006: 5.5</t>
        </r>
      </text>
    </comment>
    <comment ref="AQ54" authorId="2">
      <text>
        <r>
          <rPr>
            <b/>
            <sz val="9"/>
            <color indexed="81"/>
            <rFont val="Tahoma"/>
            <family val="2"/>
          </rPr>
          <t>Angel Avadí:</t>
        </r>
        <r>
          <rPr>
            <sz val="9"/>
            <color indexed="81"/>
            <rFont val="Tahoma"/>
            <family val="2"/>
          </rPr>
          <t xml:space="preserve">
valeur Paillat et al 2006: 8.4</t>
        </r>
      </text>
    </comment>
    <comment ref="F58" authorId="2">
      <text>
        <r>
          <rPr>
            <b/>
            <sz val="9"/>
            <color indexed="81"/>
            <rFont val="Tahoma"/>
            <family val="2"/>
          </rPr>
          <t>Angel Avadí:</t>
        </r>
        <r>
          <rPr>
            <sz val="9"/>
            <color indexed="81"/>
            <rFont val="Tahoma"/>
            <family val="2"/>
          </rPr>
          <t xml:space="preserve">
Reibel and Leclerc (2018) p.51</t>
        </r>
      </text>
    </comment>
    <comment ref="G58" authorId="2">
      <text>
        <r>
          <rPr>
            <b/>
            <sz val="9"/>
            <color indexed="81"/>
            <rFont val="Tahoma"/>
            <family val="2"/>
          </rPr>
          <t>Angel Avadí:</t>
        </r>
        <r>
          <rPr>
            <sz val="9"/>
            <color indexed="81"/>
            <rFont val="Tahoma"/>
            <family val="2"/>
          </rPr>
          <t xml:space="preserve">
Reibel and Leclerc (2018) p.51</t>
        </r>
      </text>
    </comment>
    <comment ref="W58" authorId="2">
      <text>
        <r>
          <rPr>
            <b/>
            <sz val="9"/>
            <color indexed="81"/>
            <rFont val="Tahoma"/>
            <family val="2"/>
          </rPr>
          <t>Angel Avadí:</t>
        </r>
        <r>
          <rPr>
            <sz val="9"/>
            <color indexed="81"/>
            <rFont val="Tahoma"/>
            <family val="2"/>
          </rPr>
          <t xml:space="preserve">
Reibel and Leclerc (2018) p.51</t>
        </r>
      </text>
    </comment>
    <comment ref="X58" authorId="2">
      <text>
        <r>
          <rPr>
            <b/>
            <sz val="9"/>
            <color indexed="81"/>
            <rFont val="Tahoma"/>
            <family val="2"/>
          </rPr>
          <t>Angel Avadí:</t>
        </r>
        <r>
          <rPr>
            <sz val="9"/>
            <color indexed="81"/>
            <rFont val="Tahoma"/>
            <family val="2"/>
          </rPr>
          <t xml:space="preserve">
Reibel and Leclerc (2018) p.51</t>
        </r>
      </text>
    </comment>
    <comment ref="AA58" authorId="2">
      <text>
        <r>
          <rPr>
            <b/>
            <sz val="9"/>
            <color indexed="81"/>
            <rFont val="Tahoma"/>
            <family val="2"/>
          </rPr>
          <t>Angel Avadí:</t>
        </r>
        <r>
          <rPr>
            <sz val="9"/>
            <color indexed="81"/>
            <rFont val="Tahoma"/>
            <family val="2"/>
          </rPr>
          <t xml:space="preserve">
Reibel and Leclerc (2018) p.51</t>
        </r>
      </text>
    </comment>
    <comment ref="AB58" authorId="2">
      <text>
        <r>
          <rPr>
            <b/>
            <sz val="9"/>
            <color indexed="81"/>
            <rFont val="Tahoma"/>
            <family val="2"/>
          </rPr>
          <t>Angel Avadí:</t>
        </r>
        <r>
          <rPr>
            <sz val="9"/>
            <color indexed="81"/>
            <rFont val="Tahoma"/>
            <family val="2"/>
          </rPr>
          <t xml:space="preserve">
Reibel and Leclerc (2018) p.51</t>
        </r>
      </text>
    </comment>
    <comment ref="AK58" authorId="2">
      <text>
        <r>
          <rPr>
            <b/>
            <sz val="9"/>
            <color indexed="81"/>
            <rFont val="Tahoma"/>
            <family val="2"/>
          </rPr>
          <t>Angel Avadí:</t>
        </r>
        <r>
          <rPr>
            <sz val="9"/>
            <color indexed="81"/>
            <rFont val="Tahoma"/>
            <family val="2"/>
          </rPr>
          <t xml:space="preserve">
Reibel and Leclerc (2018) p.51</t>
        </r>
      </text>
    </comment>
    <comment ref="AO58" authorId="2">
      <text>
        <r>
          <rPr>
            <b/>
            <sz val="9"/>
            <color indexed="81"/>
            <rFont val="Tahoma"/>
            <family val="2"/>
          </rPr>
          <t>Angel Avadí:</t>
        </r>
        <r>
          <rPr>
            <sz val="9"/>
            <color indexed="81"/>
            <rFont val="Tahoma"/>
            <family val="2"/>
          </rPr>
          <t xml:space="preserve">
Reibel and Leclerc (2018) p.51</t>
        </r>
      </text>
    </comment>
    <comment ref="AP58" authorId="2">
      <text>
        <r>
          <rPr>
            <b/>
            <sz val="9"/>
            <color indexed="81"/>
            <rFont val="Tahoma"/>
            <family val="2"/>
          </rPr>
          <t>Angel Avadí:</t>
        </r>
        <r>
          <rPr>
            <sz val="9"/>
            <color indexed="81"/>
            <rFont val="Tahoma"/>
            <family val="2"/>
          </rPr>
          <t xml:space="preserve">
Reibel and Leclerc (2018) p.51</t>
        </r>
      </text>
    </comment>
    <comment ref="AR58" authorId="2">
      <text>
        <r>
          <rPr>
            <b/>
            <sz val="9"/>
            <color indexed="81"/>
            <rFont val="Tahoma"/>
            <family val="2"/>
          </rPr>
          <t>Angel Avadí:</t>
        </r>
        <r>
          <rPr>
            <sz val="9"/>
            <color indexed="81"/>
            <rFont val="Tahoma"/>
            <family val="2"/>
          </rPr>
          <t xml:space="preserve">
Reibel and Leclerc (2018) p.51</t>
        </r>
      </text>
    </comment>
    <comment ref="AS58" authorId="2">
      <text>
        <r>
          <rPr>
            <b/>
            <sz val="9"/>
            <color indexed="81"/>
            <rFont val="Tahoma"/>
            <family val="2"/>
          </rPr>
          <t>Angel Avadí:</t>
        </r>
        <r>
          <rPr>
            <sz val="9"/>
            <color indexed="81"/>
            <rFont val="Tahoma"/>
            <family val="2"/>
          </rPr>
          <t xml:space="preserve">
Reibel and Leclerc (2018) p.51</t>
        </r>
      </text>
    </comment>
    <comment ref="G68" authorId="2">
      <text>
        <r>
          <rPr>
            <b/>
            <sz val="9"/>
            <color indexed="81"/>
            <rFont val="Tahoma"/>
            <family val="2"/>
          </rPr>
          <t>Angel Avadí:</t>
        </r>
        <r>
          <rPr>
            <sz val="9"/>
            <color indexed="81"/>
            <rFont val="Tahoma"/>
            <family val="2"/>
          </rPr>
          <t xml:space="preserve">
the wide range 10-40 is due to the moment when the liming takes place: after thickening, after dewatering, etc… mean value is around 25 (Pradel 2016)</t>
        </r>
      </text>
    </comment>
    <comment ref="Z69" authorId="2">
      <text>
        <r>
          <rPr>
            <b/>
            <sz val="9"/>
            <color indexed="81"/>
            <rFont val="Tahoma"/>
            <family val="2"/>
          </rPr>
          <t>Angel Avadí:</t>
        </r>
        <r>
          <rPr>
            <sz val="9"/>
            <color indexed="81"/>
            <rFont val="Tahoma"/>
            <family val="2"/>
          </rPr>
          <t xml:space="preserve">
Dhaouadi (2014)</t>
        </r>
      </text>
    </comment>
    <comment ref="AA69" authorId="2">
      <text>
        <r>
          <rPr>
            <b/>
            <sz val="9"/>
            <color indexed="81"/>
            <rFont val="Tahoma"/>
            <family val="2"/>
          </rPr>
          <t>Angel Avadí:</t>
        </r>
        <r>
          <rPr>
            <sz val="9"/>
            <color indexed="81"/>
            <rFont val="Tahoma"/>
            <family val="2"/>
          </rPr>
          <t xml:space="preserve">
Dhaouadi (2014)</t>
        </r>
      </text>
    </comment>
    <comment ref="AB69" authorId="2">
      <text>
        <r>
          <rPr>
            <b/>
            <sz val="9"/>
            <color indexed="81"/>
            <rFont val="Tahoma"/>
            <family val="2"/>
          </rPr>
          <t>Angel Avadí:</t>
        </r>
        <r>
          <rPr>
            <sz val="9"/>
            <color indexed="81"/>
            <rFont val="Tahoma"/>
            <family val="2"/>
          </rPr>
          <t xml:space="preserve">
Dhaouadi (2014)</t>
        </r>
      </text>
    </comment>
    <comment ref="F70" authorId="2">
      <text>
        <r>
          <rPr>
            <b/>
            <sz val="9"/>
            <color indexed="81"/>
            <rFont val="Tahoma"/>
            <family val="2"/>
          </rPr>
          <t>Angel Avadí:</t>
        </r>
        <r>
          <rPr>
            <sz val="9"/>
            <color indexed="81"/>
            <rFont val="Tahoma"/>
            <family val="2"/>
          </rPr>
          <t xml:space="preserve">
solar</t>
        </r>
      </text>
    </comment>
    <comment ref="G70" authorId="2">
      <text>
        <r>
          <rPr>
            <b/>
            <sz val="9"/>
            <color indexed="81"/>
            <rFont val="Tahoma"/>
            <family val="2"/>
          </rPr>
          <t>Angel Avadí:</t>
        </r>
        <r>
          <rPr>
            <sz val="9"/>
            <color indexed="81"/>
            <rFont val="Tahoma"/>
            <family val="2"/>
          </rPr>
          <t xml:space="preserve">
thermal</t>
        </r>
      </text>
    </comment>
    <comment ref="V70" authorId="2">
      <text>
        <r>
          <rPr>
            <b/>
            <sz val="9"/>
            <color indexed="81"/>
            <rFont val="Tahoma"/>
            <family val="2"/>
          </rPr>
          <t>Angel Avadí:</t>
        </r>
        <r>
          <rPr>
            <sz val="9"/>
            <color indexed="81"/>
            <rFont val="Tahoma"/>
            <family val="2"/>
          </rPr>
          <t xml:space="preserve">
coherent with AGRIBALYSE Methodology Annexe H: 40 kg N/t</t>
        </r>
      </text>
    </comment>
    <comment ref="W70" authorId="2">
      <text>
        <r>
          <rPr>
            <b/>
            <sz val="9"/>
            <color indexed="81"/>
            <rFont val="Tahoma"/>
            <family val="2"/>
          </rPr>
          <t>Angel Avadí:</t>
        </r>
        <r>
          <rPr>
            <sz val="9"/>
            <color indexed="81"/>
            <rFont val="Tahoma"/>
            <family val="2"/>
          </rPr>
          <t xml:space="preserve">
Dhaouadi (2014)</t>
        </r>
      </text>
    </comment>
    <comment ref="X70" authorId="2">
      <text>
        <r>
          <rPr>
            <b/>
            <sz val="9"/>
            <color indexed="81"/>
            <rFont val="Tahoma"/>
            <family val="2"/>
          </rPr>
          <t>Angel Avadí:</t>
        </r>
        <r>
          <rPr>
            <sz val="9"/>
            <color indexed="81"/>
            <rFont val="Tahoma"/>
            <family val="2"/>
          </rPr>
          <t xml:space="preserve">
Dhaouadi (2014)</t>
        </r>
      </text>
    </comment>
    <comment ref="Z70" authorId="2">
      <text>
        <r>
          <rPr>
            <b/>
            <sz val="9"/>
            <color indexed="81"/>
            <rFont val="Tahoma"/>
            <family val="2"/>
          </rPr>
          <t>Angel Avadí:</t>
        </r>
        <r>
          <rPr>
            <sz val="9"/>
            <color indexed="81"/>
            <rFont val="Tahoma"/>
            <family val="2"/>
          </rPr>
          <t xml:space="preserve">
Dhaouadi (2014)</t>
        </r>
      </text>
    </comment>
    <comment ref="AA70" authorId="2">
      <text>
        <r>
          <rPr>
            <b/>
            <sz val="9"/>
            <color indexed="81"/>
            <rFont val="Tahoma"/>
            <family val="2"/>
          </rPr>
          <t>Angel Avadí:</t>
        </r>
        <r>
          <rPr>
            <sz val="9"/>
            <color indexed="81"/>
            <rFont val="Tahoma"/>
            <family val="2"/>
          </rPr>
          <t xml:space="preserve">
Dhaouadi (2014)</t>
        </r>
      </text>
    </comment>
    <comment ref="AB70" authorId="2">
      <text>
        <r>
          <rPr>
            <b/>
            <sz val="9"/>
            <color indexed="81"/>
            <rFont val="Tahoma"/>
            <family val="2"/>
          </rPr>
          <t>Angel Avadí:</t>
        </r>
        <r>
          <rPr>
            <sz val="9"/>
            <color indexed="81"/>
            <rFont val="Tahoma"/>
            <family val="2"/>
          </rPr>
          <t xml:space="preserve">
Dhaouadi (2014)</t>
        </r>
      </text>
    </comment>
    <comment ref="A71" authorId="2">
      <text>
        <r>
          <rPr>
            <b/>
            <sz val="9"/>
            <color indexed="81"/>
            <rFont val="Tahoma"/>
            <family val="2"/>
          </rPr>
          <t>Angel Avadí:</t>
        </r>
        <r>
          <rPr>
            <sz val="9"/>
            <color indexed="81"/>
            <rFont val="Tahoma"/>
            <family val="2"/>
          </rPr>
          <t xml:space="preserve">
Data from (10)</t>
        </r>
      </text>
    </comment>
    <comment ref="E72" authorId="2">
      <text>
        <r>
          <rPr>
            <b/>
            <sz val="9"/>
            <color indexed="81"/>
            <rFont val="Tahoma"/>
            <family val="2"/>
          </rPr>
          <t>Angel Avadí:</t>
        </r>
        <r>
          <rPr>
            <sz val="9"/>
            <color indexed="81"/>
            <rFont val="Tahoma"/>
            <family val="2"/>
          </rPr>
          <t xml:space="preserve">
Constant (2011) p.8</t>
        </r>
      </text>
    </comment>
    <comment ref="V72" authorId="2">
      <text>
        <r>
          <rPr>
            <b/>
            <sz val="9"/>
            <color indexed="81"/>
            <rFont val="Tahoma"/>
            <family val="2"/>
          </rPr>
          <t>Angel Avadí:</t>
        </r>
        <r>
          <rPr>
            <sz val="9"/>
            <color indexed="81"/>
            <rFont val="Tahoma"/>
            <family val="2"/>
          </rPr>
          <t xml:space="preserve">
Calculated based on Constant (2011) p.8</t>
        </r>
      </text>
    </comment>
    <comment ref="W72" authorId="2">
      <text>
        <r>
          <rPr>
            <b/>
            <sz val="9"/>
            <color indexed="81"/>
            <rFont val="Tahoma"/>
            <family val="2"/>
          </rPr>
          <t>Angel Avadí:</t>
        </r>
        <r>
          <rPr>
            <sz val="9"/>
            <color indexed="81"/>
            <rFont val="Tahoma"/>
            <family val="2"/>
          </rPr>
          <t xml:space="preserve">
Calculated based on Constant (2011) p.8</t>
        </r>
      </text>
    </comment>
    <comment ref="X72" authorId="2">
      <text>
        <r>
          <rPr>
            <b/>
            <sz val="9"/>
            <color indexed="81"/>
            <rFont val="Tahoma"/>
            <family val="2"/>
          </rPr>
          <t>Angel Avadí:</t>
        </r>
        <r>
          <rPr>
            <sz val="9"/>
            <color indexed="81"/>
            <rFont val="Tahoma"/>
            <family val="2"/>
          </rPr>
          <t xml:space="preserve">
Calculated based on Constant (2011) p.8</t>
        </r>
      </text>
    </comment>
    <comment ref="Z72" authorId="2">
      <text>
        <r>
          <rPr>
            <b/>
            <sz val="9"/>
            <color indexed="81"/>
            <rFont val="Tahoma"/>
            <family val="2"/>
          </rPr>
          <t>Angel Avadí:</t>
        </r>
        <r>
          <rPr>
            <sz val="9"/>
            <color indexed="81"/>
            <rFont val="Tahoma"/>
            <family val="2"/>
          </rPr>
          <t xml:space="preserve">
Calculated based on Constant (2011) p.8</t>
        </r>
      </text>
    </comment>
    <comment ref="AA72" authorId="2">
      <text>
        <r>
          <rPr>
            <b/>
            <sz val="9"/>
            <color indexed="81"/>
            <rFont val="Tahoma"/>
            <family val="2"/>
          </rPr>
          <t>Angel Avadí:</t>
        </r>
        <r>
          <rPr>
            <sz val="9"/>
            <color indexed="81"/>
            <rFont val="Tahoma"/>
            <family val="2"/>
          </rPr>
          <t xml:space="preserve">
Calculated based on Constant (2011) p.8</t>
        </r>
      </text>
    </comment>
    <comment ref="AB72" authorId="2">
      <text>
        <r>
          <rPr>
            <b/>
            <sz val="9"/>
            <color indexed="81"/>
            <rFont val="Tahoma"/>
            <family val="2"/>
          </rPr>
          <t>Angel Avadí:</t>
        </r>
        <r>
          <rPr>
            <sz val="9"/>
            <color indexed="81"/>
            <rFont val="Tahoma"/>
            <family val="2"/>
          </rPr>
          <t xml:space="preserve">
Calculated based on Constant (2011) p.8</t>
        </r>
      </text>
    </comment>
    <comment ref="AH72" authorId="2">
      <text>
        <r>
          <rPr>
            <b/>
            <sz val="9"/>
            <color indexed="81"/>
            <rFont val="Tahoma"/>
            <family val="2"/>
          </rPr>
          <t>Angel Avadí:</t>
        </r>
        <r>
          <rPr>
            <sz val="9"/>
            <color indexed="81"/>
            <rFont val="Tahoma"/>
            <family val="2"/>
          </rPr>
          <t xml:space="preserve">
Constant (2011) p.8</t>
        </r>
      </text>
    </comment>
    <comment ref="AI72" authorId="2">
      <text>
        <r>
          <rPr>
            <b/>
            <sz val="9"/>
            <color indexed="81"/>
            <rFont val="Tahoma"/>
            <family val="2"/>
          </rPr>
          <t>Angel Avadí:</t>
        </r>
        <r>
          <rPr>
            <sz val="9"/>
            <color indexed="81"/>
            <rFont val="Tahoma"/>
            <family val="2"/>
          </rPr>
          <t xml:space="preserve">
Constant (2011) p.8</t>
        </r>
      </text>
    </comment>
    <comment ref="AJ72" authorId="2">
      <text>
        <r>
          <rPr>
            <b/>
            <sz val="9"/>
            <color indexed="81"/>
            <rFont val="Tahoma"/>
            <family val="2"/>
          </rPr>
          <t>Angel Avadí:</t>
        </r>
        <r>
          <rPr>
            <sz val="9"/>
            <color indexed="81"/>
            <rFont val="Tahoma"/>
            <family val="2"/>
          </rPr>
          <t xml:space="preserve">
Constant (2011) p.8</t>
        </r>
      </text>
    </comment>
    <comment ref="AK72" authorId="2">
      <text>
        <r>
          <rPr>
            <b/>
            <sz val="9"/>
            <color indexed="81"/>
            <rFont val="Tahoma"/>
            <family val="2"/>
          </rPr>
          <t>Angel Avadí:</t>
        </r>
        <r>
          <rPr>
            <sz val="9"/>
            <color indexed="81"/>
            <rFont val="Tahoma"/>
            <family val="2"/>
          </rPr>
          <t xml:space="preserve">
Calculated based on Constant (2011) p.8</t>
        </r>
      </text>
    </comment>
    <comment ref="AL72" authorId="2">
      <text>
        <r>
          <rPr>
            <b/>
            <sz val="9"/>
            <color indexed="81"/>
            <rFont val="Tahoma"/>
            <family val="2"/>
          </rPr>
          <t>Angel Avadí:</t>
        </r>
        <r>
          <rPr>
            <sz val="9"/>
            <color indexed="81"/>
            <rFont val="Tahoma"/>
            <family val="2"/>
          </rPr>
          <t xml:space="preserve">
Calculated based on Constant (2011) p.8</t>
        </r>
      </text>
    </comment>
    <comment ref="AM72" authorId="2">
      <text>
        <r>
          <rPr>
            <b/>
            <sz val="9"/>
            <color indexed="81"/>
            <rFont val="Tahoma"/>
            <family val="2"/>
          </rPr>
          <t>Angel Avadí:</t>
        </r>
        <r>
          <rPr>
            <sz val="9"/>
            <color indexed="81"/>
            <rFont val="Tahoma"/>
            <family val="2"/>
          </rPr>
          <t xml:space="preserve">
Calculated based on Constant (2011) p.8</t>
        </r>
      </text>
    </comment>
    <comment ref="AK80" authorId="2">
      <text>
        <r>
          <rPr>
            <b/>
            <sz val="9"/>
            <color indexed="81"/>
            <rFont val="Tahoma"/>
            <family val="2"/>
          </rPr>
          <t>Angel Avadí:</t>
        </r>
        <r>
          <rPr>
            <sz val="9"/>
            <color indexed="81"/>
            <rFont val="Tahoma"/>
            <family val="2"/>
          </rPr>
          <t xml:space="preserve">
Constant (2011) p.8</t>
        </r>
      </text>
    </comment>
    <comment ref="AK81" authorId="2">
      <text>
        <r>
          <rPr>
            <b/>
            <sz val="9"/>
            <color indexed="81"/>
            <rFont val="Tahoma"/>
            <family val="2"/>
          </rPr>
          <t>Angel Avadí:</t>
        </r>
        <r>
          <rPr>
            <sz val="9"/>
            <color indexed="81"/>
            <rFont val="Tahoma"/>
            <family val="2"/>
          </rPr>
          <t xml:space="preserve">
Constant (2011) p.8</t>
        </r>
      </text>
    </comment>
  </commentList>
</comments>
</file>

<file path=xl/sharedStrings.xml><?xml version="1.0" encoding="utf-8"?>
<sst xmlns="http://schemas.openxmlformats.org/spreadsheetml/2006/main" count="1490" uniqueCount="573">
  <si>
    <t>Cette annexe 03 donne les référentiels de facteurs d'émission pour les fertilisants minéraux et les engrais organiques.</t>
  </si>
  <si>
    <r>
      <rPr>
        <b/>
        <u/>
        <sz val="11"/>
        <color theme="4"/>
        <rFont val="Calibri"/>
        <family val="2"/>
        <scheme val="minor"/>
      </rPr>
      <t>&gt;&gt; onglet Référentiel_Engrais_Min:</t>
    </r>
    <r>
      <rPr>
        <sz val="11"/>
        <color theme="1"/>
        <rFont val="Calibri"/>
        <family val="2"/>
        <scheme val="minor"/>
      </rPr>
      <t xml:space="preserve"> donne les facteurs FRACgazF; FE; FE_N; FE_P; FE_K des engrais minéraux</t>
    </r>
  </si>
  <si>
    <r>
      <rPr>
        <b/>
        <u/>
        <sz val="11"/>
        <color theme="4"/>
        <rFont val="Calibri"/>
        <family val="2"/>
        <scheme val="minor"/>
      </rPr>
      <t>&gt;&gt; onglet Corres Engr min &gt;&gt; réf générique</t>
    </r>
    <r>
      <rPr>
        <sz val="11"/>
        <color theme="1"/>
        <rFont val="Calibri"/>
        <family val="2"/>
        <scheme val="minor"/>
      </rPr>
      <t xml:space="preserve"> permet de rattacher les engrais minéraux,  renseignés dans les enquêtes SSP2017, et donc utilisées pour construire les références génériques, avec les engrais minéraux pour lesquels on dispose de facteurs d'émission. Suite au rattachement, les facteur d'émission sont à lire dans l'onglet précédent</t>
    </r>
  </si>
  <si>
    <r>
      <rPr>
        <b/>
        <u/>
        <sz val="11"/>
        <color theme="4"/>
        <rFont val="Calibri"/>
        <family val="2"/>
        <scheme val="minor"/>
      </rPr>
      <t xml:space="preserve">&gt;&gt; ongle FE_VN: </t>
    </r>
    <r>
      <rPr>
        <sz val="11"/>
        <color theme="1"/>
        <rFont val="Calibri"/>
        <family val="2"/>
        <scheme val="minor"/>
      </rPr>
      <t>donne les facteurs d'émission pour les amendements minéraux basiques référencés</t>
    </r>
  </si>
  <si>
    <r>
      <rPr>
        <b/>
        <u/>
        <sz val="11"/>
        <color theme="4"/>
        <rFont val="Calibri"/>
        <family val="2"/>
        <scheme val="minor"/>
      </rPr>
      <t>&gt;&gt; FA_matériel-délais</t>
    </r>
    <r>
      <rPr>
        <sz val="11"/>
        <color theme="1"/>
        <rFont val="Calibri"/>
        <family val="2"/>
        <scheme val="minor"/>
      </rPr>
      <t>: donne les facteurs d'ajustement à utiliser pour les différents type de matériel d'épandage des produits et en fonctino du délais d'enfouissement</t>
    </r>
  </si>
  <si>
    <t>&gt;&gt; Référentiel_PRO_entrée AMG: donne les facteurs d'émission FE_MAFOR (amont) et  FE_volat pour les produits organiques en se basant sur la liste des produits organiques référencés dans AMG. Les sources utilisées et rattachements éventuels réalisés sont précisés. Des données informatives sur la composition, les ISMO sont données. Il n'est pas obligatoire d'utiliser ces données. Comme précisé dans la méthode, d'autres sources de données sont utilisables pour la compostion des produits organiques</t>
  </si>
  <si>
    <t>&gt;&gt;Référentiel_PRO_générique: donne les facteurs d'émission FE_MAFOR et FE_Volat pour les produits organiques référencés dans les enquêtes aillant servir à construire les références génériques.</t>
  </si>
  <si>
    <t>&gt;&gt;Référentiel_PRO_long_agribalyse: liste longue des produits organiques issue de Agribalyse 3.0. Donne les facteur d'émission FE_MAFOR; les FE_Volat et les rattachements aux PRO d'AMG pour la partie stockage du C des PRO</t>
  </si>
  <si>
    <t>&gt;&gt; PRO_data: données de composition de différents porduits organiques, ces données correspondent aux produits utilisés pour obtenir les FE_MAFOR. Elles sont données à titre indicatif, il n'est pas obligatoire de les utiliser</t>
  </si>
  <si>
    <t>Composants_Engrais_minéraux</t>
  </si>
  <si>
    <r>
      <t xml:space="preserve">FRAC </t>
    </r>
    <r>
      <rPr>
        <b/>
        <vertAlign val="subscript"/>
        <sz val="11"/>
        <color theme="1"/>
        <rFont val="Calibri"/>
        <family val="2"/>
        <scheme val="minor"/>
      </rPr>
      <t>GAZF</t>
    </r>
    <r>
      <rPr>
        <b/>
        <sz val="11"/>
        <color theme="1"/>
        <rFont val="Calibri"/>
        <family val="2"/>
        <scheme val="minor"/>
      </rPr>
      <t xml:space="preserve"> (kg NH3-N + NOX-N / kg N applied)</t>
    </r>
  </si>
  <si>
    <t>FE (kg eqCO2/kg élément nutritif)</t>
  </si>
  <si>
    <t>Unité</t>
  </si>
  <si>
    <t>FE_N (kg eqCO2/kg N)</t>
  </si>
  <si>
    <t>FE_P (kg eqCO2/kgP2O5)</t>
  </si>
  <si>
    <t>FE_K (kg eqCO2/KG k2O)</t>
  </si>
  <si>
    <t>Ammonitrate (33,5% N)</t>
  </si>
  <si>
    <t>Engrais simples*</t>
  </si>
  <si>
    <t>kg eqCO2/kgN</t>
  </si>
  <si>
    <t>Ammonitrate calcaire (27%N)</t>
  </si>
  <si>
    <t>Solution azotée (30%N)</t>
  </si>
  <si>
    <t>Solution azotée (30%N) enfouie dans les 12 heures</t>
  </si>
  <si>
    <t>Urée (46% N)</t>
  </si>
  <si>
    <t>Urée avec inhibiteur d'uréase (%46N)</t>
  </si>
  <si>
    <t>Urée (46%N) enfouie dans les 12 heures</t>
  </si>
  <si>
    <t>Engrais azoté moyen</t>
  </si>
  <si>
    <t>Triple superphosphate (46% P2O5)</t>
  </si>
  <si>
    <t>kg eqCO2/kgP2O5</t>
  </si>
  <si>
    <t>Monoammonium phoshpate (11%N + 54% P2O5)</t>
  </si>
  <si>
    <t>Diammonium phosphate (18% N + 46% P2O5)</t>
  </si>
  <si>
    <t>Engrais phosphaté moyen</t>
  </si>
  <si>
    <t>Chlorure de potasse (60% K2O)</t>
  </si>
  <si>
    <t>kg eqCO2/KG k2O</t>
  </si>
  <si>
    <t>Nitrate de potassium (44% N2O + 14% N)</t>
  </si>
  <si>
    <t>Engrais potassique moyen</t>
  </si>
  <si>
    <t>NPK</t>
  </si>
  <si>
    <t>Engrais composés**</t>
  </si>
  <si>
    <t>PK</t>
  </si>
  <si>
    <t>NK</t>
  </si>
  <si>
    <t>*Engrais simples: le calcul d'empreinte se fait en multipliant l'élément fertilisant majoritaire par la dose</t>
  </si>
  <si>
    <t>**Engrais composés: le calcul d'empreinte doit se fait en multipliant la dose de chaque élément fertilisant pésent par son facteur d'émission</t>
  </si>
  <si>
    <t>Source des données: GES'TIM+</t>
  </si>
  <si>
    <t>Liste engrais minéraux N référencés dans les  enquêtes pratiques culturales SSP2017 et utilisées dans les références génériques</t>
  </si>
  <si>
    <t>(N) ammonitrate</t>
  </si>
  <si>
    <t>(N+S) ammonitrate enrichi en soufre</t>
  </si>
  <si>
    <t>(N) nitrate de chaux</t>
  </si>
  <si>
    <t>(N) solution azotée</t>
  </si>
  <si>
    <t>(N+S) solution azotée soufrée</t>
  </si>
  <si>
    <t>(N) urée</t>
  </si>
  <si>
    <t>(N+S) sulfate d'ammoniaque et urée</t>
  </si>
  <si>
    <t>(N) urée + inhibiteur d'uréase</t>
  </si>
  <si>
    <t>(N) autre engrais azoté</t>
  </si>
  <si>
    <t>(N+S) sulfonitrate</t>
  </si>
  <si>
    <t>(P) superphosphate</t>
  </si>
  <si>
    <t>(NP) Autre azote et phosphore</t>
  </si>
  <si>
    <t>(NP) Phosphate d'ammoniaque (MAP, DAP)</t>
  </si>
  <si>
    <t>(P) phosphate naturel</t>
  </si>
  <si>
    <t>(P) scories thomas</t>
  </si>
  <si>
    <t>(P+S) phosphore et soufre</t>
  </si>
  <si>
    <t>(K) chlorure de potassium</t>
  </si>
  <si>
    <t>(NK) Azote et potassium</t>
  </si>
  <si>
    <t>(NK+S) Azote, potassium et soufre</t>
  </si>
  <si>
    <t>(K) autre potassique</t>
  </si>
  <si>
    <t>(K+S) sulfate de potassium</t>
  </si>
  <si>
    <t>(NP, NK, NPK +S) engrais organique normé/homologué avec so</t>
  </si>
  <si>
    <t>(NP, NK, NPK +S) engrais organo-minéral normé/homologué av</t>
  </si>
  <si>
    <t>(NP, NK, NPK) engrais organique normé/homologué</t>
  </si>
  <si>
    <t>(NP, NK, NPK) engrais organo-minéral normé/homologué</t>
  </si>
  <si>
    <t>(NP+S) Autre engrais azote, phosphore et soufre</t>
  </si>
  <si>
    <t>(NPK) Azote, phosphore et potassium</t>
  </si>
  <si>
    <t>(NPK+S) Azote, phosphore, potassium et soufre</t>
  </si>
  <si>
    <t>(PK) (super)phosphopotassique</t>
  </si>
  <si>
    <t>(PK) superpotassique</t>
  </si>
  <si>
    <t>(PK+S) potassium, phosphore et soufre</t>
  </si>
  <si>
    <t>Type d'engrais</t>
  </si>
  <si>
    <t xml:space="preserve">Valeur neutralisante par défaut (%) </t>
  </si>
  <si>
    <t>FE_VN (kg eqCO2/kg VN)</t>
  </si>
  <si>
    <t>Source</t>
  </si>
  <si>
    <t>Chaux vive</t>
  </si>
  <si>
    <t>GES'TIM+</t>
  </si>
  <si>
    <t>Carbonate de calcium</t>
  </si>
  <si>
    <t>Ecumes de sucreries</t>
  </si>
  <si>
    <t>Matériel</t>
  </si>
  <si>
    <t>Délais</t>
  </si>
  <si>
    <t>Facteur d'ajustement (source : CITEPA, OMINEA février 2018)</t>
  </si>
  <si>
    <t>Buse et rampe</t>
  </si>
  <si>
    <t>&lt; 4h</t>
  </si>
  <si>
    <t>entre 4 et 12 h</t>
  </si>
  <si>
    <t>entre 12 et 24 h</t>
  </si>
  <si>
    <t>&gt; 24h</t>
  </si>
  <si>
    <t>Non précisé</t>
  </si>
  <si>
    <t>Pendillard</t>
  </si>
  <si>
    <t>Enfouisseur</t>
  </si>
  <si>
    <t>Epandeur fumier</t>
  </si>
  <si>
    <t>Facteurs d'émissions liés à la fabrication des engrais organiques et organo-minéraux issus de la base de données Agribalyse 3.0</t>
  </si>
  <si>
    <t>Composition (à titre indicatif)</t>
  </si>
  <si>
    <t>nom_SIMEOS AMG</t>
  </si>
  <si>
    <t>F_volatilisation (kg NH3-N/TAN)</t>
  </si>
  <si>
    <t>Source F_volatilisation</t>
  </si>
  <si>
    <t>FE_MAFOR 
Impact GES (en kg CO2 eq/tonne de produit) IPCC 2013 100a_extrait SimApro 03-08-21</t>
  </si>
  <si>
    <t>FR_Nom produit organique - FE_MAFOR</t>
  </si>
  <si>
    <t>rattachement ou réellement décrit pour FE_MAFOR</t>
  </si>
  <si>
    <t>EN_Nom produit organique - FE_MAFOR-unité</t>
  </si>
  <si>
    <t>EN_Nom produit organique - FE_MAFOR-préfixe</t>
  </si>
  <si>
    <t>EN_Nom produit organique - FE_MAFOR</t>
  </si>
  <si>
    <t>%MS</t>
  </si>
  <si>
    <t>C en g de C par kg de produit brut</t>
  </si>
  <si>
    <t>ISMO en % de C</t>
  </si>
  <si>
    <t>Ntotal en kg Ntot par t ou m3 de produit brut</t>
  </si>
  <si>
    <t>TAN en kg NH4/t ou m3 de produit brut</t>
  </si>
  <si>
    <t>source composition</t>
  </si>
  <si>
    <t>Boue traitement lisier porc</t>
  </si>
  <si>
    <t>d'après FE liquide Divers (Agribalyse 3.0)</t>
  </si>
  <si>
    <t>Boues biologiques de lisier (20%MS)</t>
  </si>
  <si>
    <t>réellement décrit pour FE_MAFOR</t>
  </si>
  <si>
    <t>1 ton</t>
  </si>
  <si>
    <t>F.</t>
  </si>
  <si>
    <t>Biological sludge, 20%DM, from aerobic treatment of slurry (of project AGRIBALYSE 3)</t>
  </si>
  <si>
    <r>
      <t xml:space="preserve">Dataset of organic fertilisers' characteristics - French data
Angel AVADI and Jean-Marie PAILLAT
CIRAD, Recycling and risk
Version 1.0 - July 2020
</t>
    </r>
    <r>
      <rPr>
        <i/>
        <sz val="11"/>
        <color theme="4"/>
        <rFont val="Calibri"/>
        <family val="2"/>
        <scheme val="minor"/>
      </rPr>
      <t>k1: P Levasseur IFIP composition des effluents porcins 2005</t>
    </r>
  </si>
  <si>
    <t>Compost de fumier (sauf volaille)</t>
  </si>
  <si>
    <t>d'après Agribalyse 3.0</t>
  </si>
  <si>
    <t>Compost moyen (déchets verts, ordures ménagères, boues, fumier, lisiers)</t>
  </si>
  <si>
    <t>A.</t>
  </si>
  <si>
    <t>Compost, Average compost, from green waste, biowaste, sludge, manure, slurry (of project AGRIBALYSE 3)</t>
  </si>
  <si>
    <r>
      <rPr>
        <sz val="11"/>
        <rFont val="Calibri"/>
        <family val="2"/>
        <scheme val="minor"/>
      </rPr>
      <t xml:space="preserve">Dataset of organic fertilisers' characteristics - French data
Angel AVADI and Jean-Marie PAILLAT
CIRAD, Recycling and risk
Version 1.0 - July 2020 </t>
    </r>
    <r>
      <rPr>
        <sz val="11"/>
        <color theme="4"/>
        <rFont val="Calibri"/>
        <family val="2"/>
        <scheme val="minor"/>
      </rPr>
      <t xml:space="preserve">
moyenne des composts</t>
    </r>
  </si>
  <si>
    <t>Compost de fumier de volailles</t>
  </si>
  <si>
    <t>d'après FE solide Divers (Agribalyse 3.0)</t>
  </si>
  <si>
    <t>rattachement pour FE_MAFOR</t>
  </si>
  <si>
    <t>Sixièmes Journées de la Recherche Avicole, St Malo, 30 et 31 mars 2005
K1 de fiche SIMEOS AMG</t>
  </si>
  <si>
    <t>Compost d'ordures ménagères résiduelles</t>
  </si>
  <si>
    <t>Compost de biodéchets</t>
  </si>
  <si>
    <t>Compost, of biowaste (of project AGRIBALYSE 3)</t>
  </si>
  <si>
    <t>Dataset of organic fertilisers' characteristics - French data
Angel AVADI and Jean-Marie PAILLAT
CIRAD, Recycling and risk
Version 1.0 - July 2020</t>
  </si>
  <si>
    <t>Co-compost de déchets verts et biodéchets</t>
  </si>
  <si>
    <t>d'après FE compost végétaux et d'ordure ménagère agribalyse3.0</t>
  </si>
  <si>
    <t>Compost de déchets verts + biodéchets</t>
  </si>
  <si>
    <t>Compost, of biowaste and green waste (of project AGRIBALYSE 3)</t>
  </si>
  <si>
    <t>moyenne compost sdéchets verts et compost biodéchets</t>
  </si>
  <si>
    <t>Compost de déchets verts</t>
  </si>
  <si>
    <t>Compost, of green waste (of project AGRIBALYSE 3)</t>
  </si>
  <si>
    <t>Co-compost de déchets verts et boue</t>
  </si>
  <si>
    <t>Compost de boues + déchets verts</t>
  </si>
  <si>
    <t>Compost, of sludge and green waste (of project AGRIBALYSE 3)</t>
  </si>
  <si>
    <t>Digestat brut</t>
  </si>
  <si>
    <t>Digestat agricole moyen</t>
  </si>
  <si>
    <t>Digestate, Average agricultural digestate (of project AGRIBALYSE 3)</t>
  </si>
  <si>
    <t>Digestat liquide</t>
  </si>
  <si>
    <t>Fraction liquide de digestat agricole, refus de centrifugation</t>
  </si>
  <si>
    <t>Liquid fraction of digestate, from manure and crops, dewatered by centrifugation (of project AGRIBALYSE 3)</t>
  </si>
  <si>
    <t>Refus lisier de porc +/- composté</t>
  </si>
  <si>
    <t>Fraction solide de lisier, séparation par centrifugation (30-50%)</t>
  </si>
  <si>
    <t>Solid fraction of raw slurry 30-50%DM, dewatered by centrifugation (of project AGRIBALYSE 3)</t>
  </si>
  <si>
    <t>Fumier bovin</t>
  </si>
  <si>
    <t>d'après FE solide Vaches laitières/Autres bovins (OMINEA 2018) et agribalyse 3.0</t>
  </si>
  <si>
    <t>Fumier de bovin, stockage non couvert (tas ou fosse)</t>
  </si>
  <si>
    <t>Manure, from cattle, stocked in concrete surface or pit (of project AGRIBALYSE 3)</t>
  </si>
  <si>
    <t>Fumier ovin</t>
  </si>
  <si>
    <t>d'après FE solide Ovins (OMINEA 2018) et agribalyse 3.0</t>
  </si>
  <si>
    <t>IDELE fiches PRO RMT EE 2019 et Brochure Engrais de ferme 2001; K1 et Corg fiche SIMEOS AMG 2019</t>
  </si>
  <si>
    <t>Fumier de cheval</t>
  </si>
  <si>
    <t>FIVAL 2009 Etude de caractérisation des fumiers de cheval issus de centres équestres afin d’aider à la décision sur les possibilités de valorisation; K1 et Corg fiche SIMEOS AMG 2019</t>
  </si>
  <si>
    <t>Fumier de volailles</t>
  </si>
  <si>
    <t>d'après FE solide Poules pondeuses/poulettes (OMINEA 2018) et agribalyse 3.0</t>
  </si>
  <si>
    <t>Fumier volaille, stochage non couvert (tas ou fosse)</t>
  </si>
  <si>
    <t>Manure, from poultry, stocked in concrete surface or pit (of project AGRIBALYSE 3)</t>
  </si>
  <si>
    <t>Fientes de canard</t>
  </si>
  <si>
    <t>d'après FE solide et liquide Canards à gaver/ à rotir (OMINEA 2018)</t>
  </si>
  <si>
    <t>ITAVI : fiches PRO du RMT EE 2019 (canard à rotir); K1 et Corg fiche SIMEOS AMG 2019</t>
  </si>
  <si>
    <t>Fientes de dinde</t>
  </si>
  <si>
    <t>d'après FE solide Dindes et dindons (OMINEA 2018)</t>
  </si>
  <si>
    <t>ITAVI : fiches PRO du RMT EE 2019 (fumier de dinde); K1 et Corg fiche SIMEOS AMG 2019</t>
  </si>
  <si>
    <t>Fientes de poule brute</t>
  </si>
  <si>
    <t>d'après FE solide Poules pondeuses/poulettes (OMINEA 2018)</t>
  </si>
  <si>
    <t xml:space="preserve"> ITAVI : Caractérisation des fumiers, des lisiers et des fientes de volailles Juin 2003 (Financement OFIVAL); K1 et Corg fiche SIMEOS AMG 2019</t>
  </si>
  <si>
    <t>Fientes de poule sèche</t>
  </si>
  <si>
    <t>Fumier porc</t>
  </si>
  <si>
    <t>d'après FE solide Porcelets/Porcs à l'engrais (OMINEA 2018) et agribalyse 3.0</t>
  </si>
  <si>
    <t>Fumier porcin, stokage non couvert (tas)</t>
  </si>
  <si>
    <t>Manure, from swine, stocked in heap (of project AGRIBALYSE 3)</t>
  </si>
  <si>
    <t>Ecumes défécation</t>
  </si>
  <si>
    <t>Résidus agro-industriels traités</t>
  </si>
  <si>
    <t>Processed residues from agrifood industries (of project AGRIBALYSE 3)</t>
  </si>
  <si>
    <t>ITB M.CARIOLLE Communication personnelle 2005 + analyse MARGARON (nutrition solutions); K1 et Corg fiche SIMEOS AMG 2019</t>
  </si>
  <si>
    <t>Vinasse diluée</t>
  </si>
  <si>
    <t>Vinasse concentrée</t>
  </si>
  <si>
    <t>Source Deleplanque et Cie ainsi que ITB  M.CARIOLLE Communication personnelle 2005; K1 et Corg fiche SIMEOS AMG 2019</t>
  </si>
  <si>
    <t>Digestat solide</t>
  </si>
  <si>
    <t>Digestat brut ou fraction solide de digestat agricole, séchés par séchage thermique</t>
  </si>
  <si>
    <t>Raw and solid fraction of digestate 70-80%DM, from manure and crops, thermally dried (of project AGRIBALYSE 3)</t>
  </si>
  <si>
    <t>Digestat voie sèche</t>
  </si>
  <si>
    <t>Boue urbaine liquide</t>
  </si>
  <si>
    <t>d'après FE boues STEP Agribalyse 3.0</t>
  </si>
  <si>
    <t>Boues épaissies</t>
  </si>
  <si>
    <t>Sludge, thickened (of project AGRIBALYSE 3)</t>
  </si>
  <si>
    <t>Boue déshydratée non chaulée</t>
  </si>
  <si>
    <t>Boues épaissies et déshydratées</t>
  </si>
  <si>
    <t>Sludge, thickened and dewatered (of project AGRIBALYSE 3)</t>
  </si>
  <si>
    <t>Boue déshydratée chaulée</t>
  </si>
  <si>
    <t>Boue épaissie, digestion anaérobic, centrifugation et chaulage</t>
  </si>
  <si>
    <t>Sludge, thickened, anaerobically digested, centrifuged and limed (of project AGRIBALYSE 3)</t>
  </si>
  <si>
    <t>Lisier de bovin</t>
  </si>
  <si>
    <t>d'après FE Lisier Vaches laitières/Autres bovins (OMINEA 2018) et agribalyse 3.0</t>
  </si>
  <si>
    <t>Lisier bovin, stockage non couvert</t>
  </si>
  <si>
    <t>Slurry, from cattle, stocked in concrete pit (of project AGRIBALYSE 3)</t>
  </si>
  <si>
    <t>Lisier de porc</t>
  </si>
  <si>
    <t>d'après FE Lisier Porcelets/Porcs à l'engrais (OMINEA 2018) et agribalyse 3.0</t>
  </si>
  <si>
    <t>Lisier de porc, stockage non couvert</t>
  </si>
  <si>
    <t>Slurry, from swine, stocked in concrete pit (of project AGRIBALYSE 3)</t>
  </si>
  <si>
    <t> </t>
  </si>
  <si>
    <t>FR_Nom produit organique - agribalyse 3.0</t>
  </si>
  <si>
    <t>EN_Nom produit organique -agribalyse 3.0-unité</t>
  </si>
  <si>
    <t>EN_Nom produit organique - Fagribalyse 3.0-préfixe</t>
  </si>
  <si>
    <t>EN_Nom produit organique - agribalyse 3.0</t>
  </si>
  <si>
    <t>FE_MAFOR: Impact GES (en kg CO2 eq/tonne de produit) IPCC 2013 100a_extraction le 03-08-2021</t>
  </si>
  <si>
    <t>nom_AMG à utiliser pour rattachement C sol</t>
  </si>
  <si>
    <t>45.656</t>
  </si>
  <si>
    <t>0.4</t>
  </si>
  <si>
    <t>Biodéchets broyés</t>
  </si>
  <si>
    <t>Biowaste, shredded (of project AGRIBALYSE 3)</t>
  </si>
  <si>
    <t>131.29</t>
  </si>
  <si>
    <t>0.81</t>
  </si>
  <si>
    <t>667.657</t>
  </si>
  <si>
    <t>0.71</t>
  </si>
  <si>
    <t>620.129</t>
  </si>
  <si>
    <t>491.890</t>
  </si>
  <si>
    <t>632.328</t>
  </si>
  <si>
    <t>Compost de déchets agro-industrie + effluents d'élevage</t>
  </si>
  <si>
    <t>Compost, of manure and agroindustrial residues (for organic fertiliser) (of project AGRIBALYSE 3)</t>
  </si>
  <si>
    <t>640.822</t>
  </si>
  <si>
    <t>617.151</t>
  </si>
  <si>
    <t>Compost de fraction solide de digestat agricole</t>
  </si>
  <si>
    <t>Compost, of solid fraction of digestate from manure and green waste (of project AGRIBALYSE 3)</t>
  </si>
  <si>
    <t>1251.337</t>
  </si>
  <si>
    <t>Compost de fraction solide de lisier</t>
  </si>
  <si>
    <t>Compost, of solid fraction of slurry (of project AGRIBALYSE 3)</t>
  </si>
  <si>
    <t>2988.074</t>
  </si>
  <si>
    <t>Compost de lisier de porc + paille</t>
  </si>
  <si>
    <t>Compost, of swine slurry and straw (of project AGRIBALYSE 3)</t>
  </si>
  <si>
    <t>1447.750</t>
  </si>
  <si>
    <t>Digestat agricole, stockage couvert</t>
  </si>
  <si>
    <t>Digestate, Agricultural digestate, stocked in silo (of project AGRIBALYSE 3)</t>
  </si>
  <si>
    <t>31.906</t>
  </si>
  <si>
    <t>33.751</t>
  </si>
  <si>
    <t>Digestat moyen de fumier et maïs ensilage</t>
  </si>
  <si>
    <t>Digestate, Average digestate, from manure and maize silage (of project AGRIBALYSE 3)</t>
  </si>
  <si>
    <t>24.180</t>
  </si>
  <si>
    <t>Digestat moyen d'effluents d'élevage</t>
  </si>
  <si>
    <t>Digestate, Average digestate, from manure and slurry (of project AGRIBALYSE 3)</t>
  </si>
  <si>
    <t>26.441</t>
  </si>
  <si>
    <t>Digestat de biodéchets</t>
  </si>
  <si>
    <t>Digestate, from anaerobic digestion of biowaste (of project AGRIBALYSE 3)</t>
  </si>
  <si>
    <t>170.534</t>
  </si>
  <si>
    <t>Digestat de lisier de bovin</t>
  </si>
  <si>
    <t>Digestate, from anaerobic digestion of cattle slurry (of project AGRIBALYSE 3)</t>
  </si>
  <si>
    <t>28.063</t>
  </si>
  <si>
    <t>Digestat de maïs ensilage</t>
  </si>
  <si>
    <t>Digestate, from anaerobic digestion of maize silage (of project AGRIBALYSE 3)</t>
  </si>
  <si>
    <t>81.885</t>
  </si>
  <si>
    <t>Digestat de fumier et lisier mixte</t>
  </si>
  <si>
    <t>Digestate, from anaerobic digestion of manure and slurry mix (of project AGRIBALYSE 3)</t>
  </si>
  <si>
    <t>17.889</t>
  </si>
  <si>
    <t>Digestat de lisier de porc</t>
  </si>
  <si>
    <t>Digestate, from anaerobic digestion of swine slurry (of project AGRIBALYSE 3)</t>
  </si>
  <si>
    <t>29.096</t>
  </si>
  <si>
    <t>Digestat de lisier de porc et maïs ensilage (33%)</t>
  </si>
  <si>
    <t>Digestate, from anaerobic digestion of swine slurry and maize silage (33%) (of project AGRIBALYSE 3)</t>
  </si>
  <si>
    <t>20.931</t>
  </si>
  <si>
    <t>Digestat de lisier de porc et maïs ensilage (37%)</t>
  </si>
  <si>
    <t>Digestate, from anaerobic digestion of swine slurry and maize silage (67%) (of project AGRIBALYSE 3)</t>
  </si>
  <si>
    <t>27.429</t>
  </si>
  <si>
    <t>Lixiviats + eaux blanches,vertes et brunes (utilisatin pour l'irrigation)</t>
  </si>
  <si>
    <t>Final effluent, from aerobic treatment of slurry (for irrigation) (of project AGRIBALYSE 3)</t>
  </si>
  <si>
    <t>21.072</t>
  </si>
  <si>
    <t>Résidus de végétaux et pailles, broyés</t>
  </si>
  <si>
    <t>Green residues and straw, shredded (of project AGRIBALYSE 3)</t>
  </si>
  <si>
    <t>59.949</t>
  </si>
  <si>
    <t>Déchets verts et de paille broyés</t>
  </si>
  <si>
    <t>Green waste and straw, shredded (of project AGRIBALYSE 3)</t>
  </si>
  <si>
    <t>41.372</t>
  </si>
  <si>
    <t xml:space="preserve">Engrais K, issu de fraction liquide de digestat agricole, N extrait par stripping </t>
  </si>
  <si>
    <t>K fertiliser, from liquid fraction of digestate, from manure and crops, ammonia stripped (of project AGRIBALYSE 3)</t>
  </si>
  <si>
    <t>23.352</t>
  </si>
  <si>
    <t>Engrais K, de fraction liquide de lisier, N extrait par stripping</t>
  </si>
  <si>
    <t>K fertiliser, from liquid fraction of slurry, ammonia stripped (of project AGRIBALYSE 3)</t>
  </si>
  <si>
    <t>22.318</t>
  </si>
  <si>
    <t>21.136</t>
  </si>
  <si>
    <t>Fraction liquide de lisier, refus de centrifugation</t>
  </si>
  <si>
    <t>Liquid fraction of raw slurry, dewatered by centrifugation (of project AGRIBALYSE 3)</t>
  </si>
  <si>
    <t>18.484</t>
  </si>
  <si>
    <t>Maïs ensilage broyés</t>
  </si>
  <si>
    <t>Maize silage, shredded (of project AGRIBALYSE 3)</t>
  </si>
  <si>
    <t>169.918</t>
  </si>
  <si>
    <t>Fumier(10%) + fraction solide de lisier obtenue par séchage thermique</t>
  </si>
  <si>
    <t>Manure and solid fraction of slurry, thermally dried (of project AGRIBALYSE 3)</t>
  </si>
  <si>
    <t>223.858</t>
  </si>
  <si>
    <t>11.098</t>
  </si>
  <si>
    <t>0.79</t>
  </si>
  <si>
    <t>20.202</t>
  </si>
  <si>
    <t>73.821</t>
  </si>
  <si>
    <t>Fumier mixte, stockage non couvert (tas ou fosse)</t>
  </si>
  <si>
    <t>Manure, mix, stocked in concrete surface or pit (of project AGRIBALYSE 3)</t>
  </si>
  <si>
    <t>11.462</t>
  </si>
  <si>
    <t>Concentré minéral (sulfate d'ammonium) issu de fraction liquide de digestat agricole, stripping N</t>
  </si>
  <si>
    <t>Mineral concentrate, from liquid fraction of digestate, from manure and crops, ammonia stripped (of project AGRIBALYSE 3)</t>
  </si>
  <si>
    <t>1097.046</t>
  </si>
  <si>
    <t>Concentré minéral (sulfate d'ammonium) issu de fraction liquide de lisier, stripping N</t>
  </si>
  <si>
    <t>Mineral concentrate, from liquid fraction of slurry, ammonia stripped (of project AGRIBALYSE 3)</t>
  </si>
  <si>
    <t>1048.478</t>
  </si>
  <si>
    <t>171.398</t>
  </si>
  <si>
    <t>Co-produits animaux</t>
  </si>
  <si>
    <t>Rendered animal by-products (of project AGRIBALYSE 3)</t>
  </si>
  <si>
    <t>184.413</t>
  </si>
  <si>
    <t>Boues chaulées</t>
  </si>
  <si>
    <t>Sludge, limed (of project AGRIBALYSE 3)</t>
  </si>
  <si>
    <t>839.743</t>
  </si>
  <si>
    <t>208.043</t>
  </si>
  <si>
    <t>849.979</t>
  </si>
  <si>
    <t>Boue épaissie, digestion anaérobic et centrifugation</t>
  </si>
  <si>
    <t>Sludge, thickened, anaerobically digested and centrifuged (of project AGRIBALYSE 3)</t>
  </si>
  <si>
    <t>1323.754</t>
  </si>
  <si>
    <t>1439.182</t>
  </si>
  <si>
    <t>Boue épaissie, digestion anaérobie, centrifugée et séchage thermique</t>
  </si>
  <si>
    <t>Sludge, thickened, anaerobically digested, centrifuged and thermally dried (of project AGRIBALYSE 3)</t>
  </si>
  <si>
    <t>5460.444</t>
  </si>
  <si>
    <t>Boues épaissie, digestion anaérobie</t>
  </si>
  <si>
    <t>Sludge, thickened, and anaerobically digested (of project AGRIBALYSE 3)</t>
  </si>
  <si>
    <t>306.974</t>
  </si>
  <si>
    <t>Boue, épaissie, centrifugées, et séchage solaire</t>
  </si>
  <si>
    <t>Sludge, thickened, centrifuged and solar dried (of project AGRIBALYSE 3)</t>
  </si>
  <si>
    <t>2785.644</t>
  </si>
  <si>
    <t>Boue épaissie, centrifugée et séchage thermique</t>
  </si>
  <si>
    <t>Sludge, thickened, centrifuged and thermally dried (of project AGRIBALYSE 3)</t>
  </si>
  <si>
    <t>3340.135</t>
  </si>
  <si>
    <t>Boue épaissie, déshydratée et séchage thermique</t>
  </si>
  <si>
    <t>Sludge, thickened, dewatered and thermally dried (of project AGRIBALYSE 3)</t>
  </si>
  <si>
    <t>3339.723</t>
  </si>
  <si>
    <t>33.935</t>
  </si>
  <si>
    <t>0.55</t>
  </si>
  <si>
    <t>Lisier bovin stockage couvert</t>
  </si>
  <si>
    <t>Slurry, from cattle, stocked in silo (of project AGRIBALYSE 3)</t>
  </si>
  <si>
    <t>34.089</t>
  </si>
  <si>
    <t>18.473</t>
  </si>
  <si>
    <t>Lisier de porc, stockage couvert</t>
  </si>
  <si>
    <t>Slurry, from swine, stocked in silo (of project AGRIBALYSE 3)</t>
  </si>
  <si>
    <t>10.383</t>
  </si>
  <si>
    <t>Lisier mixte, stockage non couvert</t>
  </si>
  <si>
    <t>Slurry, mix, stocked in concrete pit (of project AGRIBALYSE 3)</t>
  </si>
  <si>
    <t>27.131</t>
  </si>
  <si>
    <t>Lisier mixte, stockage couvert</t>
  </si>
  <si>
    <t>Slurry, mix, stocked in silo (of project AGRIBALYSE 3)</t>
  </si>
  <si>
    <t>23.659</t>
  </si>
  <si>
    <t>Fraction solide de digestat agricole, séparation par centrifigation (20-30% MS)</t>
  </si>
  <si>
    <t>Solid fraction of digestate 20-30%DM, from manure and crops, dewatered by centrifugation (of project AGRIBALYSE 3)</t>
  </si>
  <si>
    <t>99.640</t>
  </si>
  <si>
    <t>Fraction solide de digestat agricole, séchage thermique et stripping de l'N (90% MS)</t>
  </si>
  <si>
    <t>Solid fraction of digestate 90%DM, from manure and crops, ammonia stripped, thermally dried (of project AGRIBALYSE 3)</t>
  </si>
  <si>
    <t>594.233</t>
  </si>
  <si>
    <t>Fraction solide de digestat agricole, séchage thermique et granulation (90% MS)</t>
  </si>
  <si>
    <t>Solid fraction of digestate 90%DM, from manure and crops, thermally dried and pelletised (of project AGRIBALYSE 3)</t>
  </si>
  <si>
    <t>567.926</t>
  </si>
  <si>
    <t>166.356</t>
  </si>
  <si>
    <t xml:space="preserve">Fraction solide de lisier, séchage thermique et stripping de l'N (90% MS) </t>
  </si>
  <si>
    <t>Solid fraction of slurry 90%DM, ammonia stripped, thermally dried (of project AGRIBALYSE 3)</t>
  </si>
  <si>
    <t>37.574</t>
  </si>
  <si>
    <t>composition</t>
  </si>
  <si>
    <t>nom_références génériques enquêtes SSP2017</t>
  </si>
  <si>
    <t>Compost d'origine animale</t>
  </si>
  <si>
    <t>Compost d'ordures ménagères</t>
  </si>
  <si>
    <t>Compost d'origine végétale</t>
  </si>
  <si>
    <t>Digestat de méthanisation industrielle</t>
  </si>
  <si>
    <t>Digestat de méthanisation agricole</t>
  </si>
  <si>
    <t>Fumier bovins</t>
  </si>
  <si>
    <t>Fumier ovins</t>
  </si>
  <si>
    <t>Lisier ovins</t>
  </si>
  <si>
    <t>Lisier lapins</t>
  </si>
  <si>
    <t>d'après FE lisier lapin agribalyse 3.0</t>
  </si>
  <si>
    <t>ITAVI fiche RMT EE 2019</t>
  </si>
  <si>
    <t>Fumier volailles de chair</t>
  </si>
  <si>
    <t>Fumier canards</t>
  </si>
  <si>
    <t>d'après FE fumier canard agribalyse 3.0</t>
  </si>
  <si>
    <t>Fientes pâteuses poules pondeuses</t>
  </si>
  <si>
    <t>Lisier poules pondeuses</t>
  </si>
  <si>
    <t>Fientes séches poules pondeuses</t>
  </si>
  <si>
    <t>Fumier de porcs</t>
  </si>
  <si>
    <t>Eaux de sucrerie</t>
  </si>
  <si>
    <t>Ecume</t>
  </si>
  <si>
    <t>Vinasse</t>
  </si>
  <si>
    <t>Autres boues d'industries agro-alimentaires</t>
  </si>
  <si>
    <t>Lisier bovins</t>
  </si>
  <si>
    <t>Lisier veaux</t>
  </si>
  <si>
    <t>Institut de l'élevage Christophe MartineauCommunication personnelle 2005 +pour C CANormandie fiche lisier</t>
  </si>
  <si>
    <t>Lisier porcs</t>
  </si>
  <si>
    <t>Boues de station d'épuration urbaine</t>
  </si>
  <si>
    <r>
      <rPr>
        <b/>
        <sz val="16"/>
        <color theme="1"/>
        <rFont val="Calibri"/>
        <family val="2"/>
        <scheme val="minor"/>
      </rPr>
      <t>Dataset of organic fertilisers' characteristics - French data</t>
    </r>
    <r>
      <rPr>
        <b/>
        <sz val="11"/>
        <color theme="1"/>
        <rFont val="Calibri"/>
        <family val="2"/>
        <scheme val="minor"/>
      </rPr>
      <t xml:space="preserve">
Angel AVADI and Jean-Marie PAILLAT
CIRAD, Recycling and risk
Version 1.0 - July 2020</t>
    </r>
  </si>
  <si>
    <t>Products</t>
  </si>
  <si>
    <t>Fiche in source (1)</t>
  </si>
  <si>
    <t>Available in AGRIBALYSE 3.01</t>
  </si>
  <si>
    <t>Type</t>
  </si>
  <si>
    <t>DM</t>
  </si>
  <si>
    <t>OM</t>
  </si>
  <si>
    <t>C</t>
  </si>
  <si>
    <t>min/max check</t>
  </si>
  <si>
    <t>MO/C</t>
  </si>
  <si>
    <t>ISMO</t>
  </si>
  <si>
    <t>NTK</t>
  </si>
  <si>
    <t>N-NH4</t>
  </si>
  <si>
    <t>C/N calculé</t>
  </si>
  <si>
    <t>C/N</t>
  </si>
  <si>
    <t>KeqN global</t>
  </si>
  <si>
    <t>P2O5</t>
  </si>
  <si>
    <t>K2O</t>
  </si>
  <si>
    <t>Cd</t>
  </si>
  <si>
    <t>Cr</t>
  </si>
  <si>
    <t>Cu</t>
  </si>
  <si>
    <t>Hg</t>
  </si>
  <si>
    <t>Ni</t>
  </si>
  <si>
    <t>Pb</t>
  </si>
  <si>
    <t>Zn</t>
  </si>
  <si>
    <t>As</t>
  </si>
  <si>
    <t>Se</t>
  </si>
  <si>
    <t>Mean</t>
  </si>
  <si>
    <t>Min</t>
  </si>
  <si>
    <t>Max</t>
  </si>
  <si>
    <t>Median</t>
  </si>
  <si>
    <t>Livestock effluents, raw</t>
  </si>
  <si>
    <r>
      <t xml:space="preserve">Swine slurry, </t>
    </r>
    <r>
      <rPr>
        <sz val="11"/>
        <color rgb="FFFF0000"/>
        <rFont val="Calibri"/>
        <family val="2"/>
        <scheme val="minor"/>
      </rPr>
      <t>sows,</t>
    </r>
    <r>
      <rPr>
        <sz val="11"/>
        <color theme="1"/>
        <rFont val="Calibri"/>
        <family val="2"/>
        <scheme val="minor"/>
      </rPr>
      <t xml:space="preserve"> piglets and fattening pigs</t>
    </r>
  </si>
  <si>
    <t>fert</t>
  </si>
  <si>
    <t>Swine slurry, fattening pigs</t>
  </si>
  <si>
    <t>Swine slurry, pregnant sows</t>
  </si>
  <si>
    <t>Swine slurry, French average</t>
  </si>
  <si>
    <t>x</t>
  </si>
  <si>
    <t>Cattle slurry</t>
  </si>
  <si>
    <t>Cattle slurry, diluted</t>
  </si>
  <si>
    <t>Swine manure, fattening pigs, litter</t>
  </si>
  <si>
    <t>amend</t>
  </si>
  <si>
    <t>Cattle manure, accumulated litter</t>
  </si>
  <si>
    <t>Cattle manure, compacted</t>
  </si>
  <si>
    <t>Cattle manure, loose</t>
  </si>
  <si>
    <t>Cattle manure, French average</t>
  </si>
  <si>
    <t>Broiler manure, acces to course</t>
  </si>
  <si>
    <t>Broiler manure, conventional</t>
  </si>
  <si>
    <t>Poultry manure, French average</t>
  </si>
  <si>
    <t>Laying hen droppings, organic</t>
  </si>
  <si>
    <t>Laying hen droppings, dried</t>
  </si>
  <si>
    <t>Sheep manure</t>
  </si>
  <si>
    <t>Goat manure</t>
  </si>
  <si>
    <t>Livestock effluents, treated</t>
  </si>
  <si>
    <t>Solid fraction of cattle slurry and manure (10%), dried</t>
  </si>
  <si>
    <t>Solid fraction of swine slurry and manure (10%), dried</t>
  </si>
  <si>
    <t>Biological sludge, from aerobic treatment of slurry</t>
  </si>
  <si>
    <t>Final effluent, from aerobic treatment of slurry</t>
  </si>
  <si>
    <t>N/A</t>
  </si>
  <si>
    <t>Solid fraction of slurry, ammonia stripped, dried</t>
  </si>
  <si>
    <t>Mineral concentrate (NH4)2SO4 from liquid fraction of slurry, ammonia stripped</t>
  </si>
  <si>
    <t>Liquid K-fertiliser, from liquid fraction of slurry, ammonia stripped</t>
  </si>
  <si>
    <t>Liquid fraction of swine slurry</t>
  </si>
  <si>
    <t>Solid fraction of swine slurry</t>
  </si>
  <si>
    <t>Liquid fraction of cattle slurry</t>
  </si>
  <si>
    <t>Solid fraction of cattle slurry</t>
  </si>
  <si>
    <t>Treated digestates</t>
  </si>
  <si>
    <t>Raw and solid fraction of digestate, from manure and crops, dried</t>
  </si>
  <si>
    <t>Solid fraction of digestate, from manure and crops, dried and pelletised</t>
  </si>
  <si>
    <t>Solid fraction of digestate, from manure and crops, ammonia stripped, dried</t>
  </si>
  <si>
    <t>Mineral concentrate (NH4)2SO4 from liquid fraction of digestate, from manure and crops, ammonia stripped</t>
  </si>
  <si>
    <t>Liquid K-fertiliser, from liquid fraction of digestate, from manure and crops, ammonia stripped</t>
  </si>
  <si>
    <t>Liquid fraction of digestate, from manure and crops</t>
  </si>
  <si>
    <t>Solid fraction of digestate, from manure and crops</t>
  </si>
  <si>
    <t>Liquid fraction of digestate from slurry mix (swine, cattle)</t>
  </si>
  <si>
    <t>Digestate, of sludge, dewatered</t>
  </si>
  <si>
    <t>Digestate, of sludge, dried</t>
  </si>
  <si>
    <t>Raw digestates</t>
  </si>
  <si>
    <t>Digestate, of biowaste, raw</t>
  </si>
  <si>
    <t>Digestate, of swine slurry</t>
  </si>
  <si>
    <t>Digestate, of cattle slurry</t>
  </si>
  <si>
    <t>Digestate, of mixed manure and slurry</t>
  </si>
  <si>
    <t>Digestate, of manure and maize silage</t>
  </si>
  <si>
    <t>Digestate, of green waste and biowaste</t>
  </si>
  <si>
    <t>Composts</t>
  </si>
  <si>
    <t>Compost, of swine slurry + straw</t>
  </si>
  <si>
    <t>Compost, of solid fraction (by gravitation) of swine slurry</t>
  </si>
  <si>
    <t>Compost, of solid fraction (by centrifugation) of swine slurry</t>
  </si>
  <si>
    <t>Compost, of solid fraction of swine slurry</t>
  </si>
  <si>
    <t>Compost, of solid fraction of digestate from manure and green waste</t>
  </si>
  <si>
    <t>Compost, of cattle manure</t>
  </si>
  <si>
    <t>Compost, of swine manure</t>
  </si>
  <si>
    <t>Compost, of sludge and green waste</t>
  </si>
  <si>
    <t>Compost, of green waste</t>
  </si>
  <si>
    <t>Compost, of biowaste (&lt;10% green waste)</t>
  </si>
  <si>
    <t>Compost, of green waste + biowaste</t>
  </si>
  <si>
    <t>Sewage sludge</t>
  </si>
  <si>
    <t>Liquid sludge, raw</t>
  </si>
  <si>
    <t>Liquid sludge, thickened</t>
  </si>
  <si>
    <t xml:space="preserve">Sludge, thickened and limed </t>
  </si>
  <si>
    <t>Sludge, dewatered</t>
  </si>
  <si>
    <t>Sludge, dried</t>
  </si>
  <si>
    <t>Commercial solid organic amendments and fertilisers</t>
  </si>
  <si>
    <t>Animal meals (blood, meat, bone)</t>
  </si>
  <si>
    <t>Organic amendment (&lt;3% N)</t>
  </si>
  <si>
    <t>Organic fertiliser (4-3-5)</t>
  </si>
  <si>
    <t>Organic fertiliser (3-2-3)</t>
  </si>
  <si>
    <t>Organic fertiliser (7-6-8)</t>
  </si>
  <si>
    <t>Organo-mineral fertiliser (6-3-10)</t>
  </si>
  <si>
    <t>Organo-mineral fertiliser (5-5-10)</t>
  </si>
  <si>
    <t>Organo-mineral fertiliser (11-4-12)</t>
  </si>
  <si>
    <t>Wool residues</t>
  </si>
  <si>
    <t>Vegetal press cakes</t>
  </si>
  <si>
    <t>Reference values</t>
  </si>
  <si>
    <t>mean</t>
  </si>
  <si>
    <t>min</t>
  </si>
  <si>
    <t>max</t>
  </si>
  <si>
    <t>OM/C</t>
  </si>
  <si>
    <t>sludge</t>
  </si>
  <si>
    <t>Assumption</t>
  </si>
  <si>
    <t>digestate</t>
  </si>
  <si>
    <t>(i)</t>
  </si>
  <si>
    <t>Table 1</t>
  </si>
  <si>
    <t>manure</t>
  </si>
  <si>
    <t>(ii)</t>
  </si>
  <si>
    <t>Table 2</t>
  </si>
  <si>
    <t>slurry</t>
  </si>
  <si>
    <t>p.262</t>
  </si>
  <si>
    <t>compost</t>
  </si>
  <si>
    <t>C (g/kg DM)</t>
  </si>
  <si>
    <t>Table 2, Table 1</t>
  </si>
  <si>
    <t>(1)</t>
  </si>
  <si>
    <t>Computed</t>
  </si>
  <si>
    <t>digestate (slurry-based)</t>
  </si>
  <si>
    <t>digestate (biowaste)</t>
  </si>
  <si>
    <t>(5)</t>
  </si>
  <si>
    <t>Annexe 14</t>
  </si>
  <si>
    <t>raw sludge</t>
  </si>
  <si>
    <t>(iii)</t>
  </si>
  <si>
    <t>SM</t>
  </si>
  <si>
    <t>thickened sludge</t>
  </si>
  <si>
    <t>dewatered sludge</t>
  </si>
  <si>
    <t>digested sludge</t>
  </si>
  <si>
    <t>Drying efficiency (%DM)</t>
  </si>
  <si>
    <t>Digestate, slurry</t>
  </si>
  <si>
    <t>Assumption, based on volume loss by thermal drying (Table 2)</t>
  </si>
  <si>
    <t>Sludge</t>
  </si>
  <si>
    <t>Phase separation efficiency (%DM)</t>
  </si>
  <si>
    <t>Slurry, solid</t>
  </si>
  <si>
    <t>fiche 17</t>
  </si>
  <si>
    <t>Slurry, liquid</t>
  </si>
  <si>
    <t>fiche 18</t>
  </si>
  <si>
    <t>Digestate, solid</t>
  </si>
  <si>
    <t>(2a)</t>
  </si>
  <si>
    <t>Tableau 2-1-38b</t>
  </si>
  <si>
    <t>Digestate, liquid</t>
  </si>
  <si>
    <t>Weighting factors for cattle (v)</t>
  </si>
  <si>
    <t>Weighting factors for poultry (vi)</t>
  </si>
  <si>
    <t>Conversion factors from (iv)</t>
  </si>
  <si>
    <t>P2O5 = P *</t>
  </si>
  <si>
    <t>factor</t>
  </si>
  <si>
    <t>K2O = K *</t>
  </si>
  <si>
    <t>Mio t/y</t>
  </si>
  <si>
    <t>Composition of Commercial Organic Fertilisers (10)</t>
  </si>
  <si>
    <t>Organic fertilisers</t>
  </si>
  <si>
    <t>Organo-mineral fertilisers</t>
  </si>
  <si>
    <t>Proprietary compost</t>
  </si>
  <si>
    <t>Amendment</t>
  </si>
  <si>
    <t>4-3-5</t>
  </si>
  <si>
    <t>3-2-3</t>
  </si>
  <si>
    <t>7-6-8</t>
  </si>
  <si>
    <t>6-3-10</t>
  </si>
  <si>
    <t>5-5-10</t>
  </si>
  <si>
    <t>11-4-12</t>
  </si>
  <si>
    <t>Intrant: proprietary compost</t>
  </si>
  <si>
    <t>Intrant: torteaux</t>
  </si>
  <si>
    <t>Intrant: MO concentrèe</t>
  </si>
  <si>
    <t>Matière minérale</t>
  </si>
  <si>
    <t>Intrant: fumier ovin</t>
  </si>
  <si>
    <t>Intrant: pussière de laine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</si>
</sst>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 #,##0.00_-;_-* &quot;-&quot;??_-;_-@_-"/>
    <numFmt numFmtId="165" formatCode="0.000"/>
    <numFmt numFmtId="166" formatCode="_-* #,##0.0_-;\-* #,##0.0_-;_-* &quot;-&quot;??_-;_-@_-"/>
    <numFmt numFmtId="167" formatCode="0.0"/>
    <numFmt numFmtId="168" formatCode="_-* #,##0.000_-;\-* #,##0.000_-;_-* &quot;-&quot;??_-;_-@_-"/>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b/>
      <vertAlign val="subscript"/>
      <sz val="11"/>
      <color theme="1"/>
      <name val="Calibri"/>
      <family val="2"/>
      <scheme val="minor"/>
    </font>
    <font>
      <sz val="11"/>
      <color rgb="FFFF0000"/>
      <name val="Calibri"/>
      <family val="2"/>
      <scheme val="minor"/>
    </font>
    <font>
      <b/>
      <sz val="16"/>
      <color theme="1"/>
      <name val="Calibri"/>
      <family val="2"/>
      <scheme val="minor"/>
    </font>
    <font>
      <sz val="11"/>
      <color theme="0" tint="-0.34998626667073579"/>
      <name val="Calibri"/>
      <family val="2"/>
      <scheme val="minor"/>
    </font>
    <font>
      <sz val="11"/>
      <name val="Calibri"/>
      <family val="2"/>
      <scheme val="minor"/>
    </font>
    <font>
      <sz val="11"/>
      <color theme="4"/>
      <name val="Calibri"/>
      <family val="2"/>
      <scheme val="minor"/>
    </font>
    <font>
      <sz val="11"/>
      <color theme="9"/>
      <name val="Calibri"/>
      <family val="2"/>
      <scheme val="minor"/>
    </font>
    <font>
      <sz val="11"/>
      <color rgb="FF7030A0"/>
      <name val="Calibri"/>
      <family val="2"/>
      <scheme val="minor"/>
    </font>
    <font>
      <strike/>
      <sz val="11"/>
      <color rgb="FF7030A0"/>
      <name val="Calibri"/>
      <family val="2"/>
      <scheme val="minor"/>
    </font>
    <font>
      <sz val="11"/>
      <color theme="7" tint="-0.249977111117893"/>
      <name val="Calibri"/>
      <family val="2"/>
      <scheme val="minor"/>
    </font>
    <font>
      <sz val="11"/>
      <color theme="5"/>
      <name val="Calibri"/>
      <family val="2"/>
      <scheme val="minor"/>
    </font>
    <font>
      <sz val="11"/>
      <color theme="7"/>
      <name val="Calibri"/>
      <family val="2"/>
      <scheme val="minor"/>
    </font>
    <font>
      <b/>
      <sz val="11"/>
      <name val="Calibri"/>
      <family val="2"/>
      <scheme val="minor"/>
    </font>
    <font>
      <b/>
      <sz val="9"/>
      <color indexed="81"/>
      <name val="Tahoma"/>
      <family val="2"/>
    </font>
    <font>
      <sz val="9"/>
      <color indexed="81"/>
      <name val="Tahoma"/>
      <family val="2"/>
    </font>
    <font>
      <sz val="8"/>
      <color theme="1"/>
      <name val="Calibri"/>
      <family val="2"/>
      <scheme val="minor"/>
    </font>
    <font>
      <b/>
      <sz val="11"/>
      <color rgb="FF000000"/>
      <name val="Calibri"/>
      <family val="2"/>
    </font>
    <font>
      <sz val="10"/>
      <color rgb="FF000000"/>
      <name val="Calibri"/>
      <family val="2"/>
    </font>
    <font>
      <sz val="11"/>
      <color rgb="FF444444"/>
      <name val="Calibri"/>
      <family val="2"/>
      <charset val="1"/>
    </font>
    <font>
      <b/>
      <sz val="14"/>
      <color theme="1"/>
      <name val="Calibri"/>
      <family val="2"/>
      <scheme val="minor"/>
    </font>
    <font>
      <sz val="14"/>
      <color theme="1"/>
      <name val="Calibri"/>
      <family val="2"/>
      <scheme val="minor"/>
    </font>
    <font>
      <b/>
      <sz val="14"/>
      <color theme="0"/>
      <name val="Calibri"/>
      <family val="2"/>
      <scheme val="minor"/>
    </font>
    <font>
      <sz val="14"/>
      <name val="Calibri"/>
      <family val="2"/>
      <scheme val="minor"/>
    </font>
    <font>
      <sz val="8"/>
      <color theme="4"/>
      <name val="Calibri"/>
      <family val="2"/>
      <scheme val="minor"/>
    </font>
    <font>
      <sz val="8"/>
      <name val="Calibri"/>
      <family val="2"/>
      <scheme val="minor"/>
    </font>
    <font>
      <i/>
      <sz val="11"/>
      <color theme="1"/>
      <name val="Calibri"/>
      <family val="2"/>
      <scheme val="minor"/>
    </font>
    <font>
      <i/>
      <sz val="11"/>
      <color theme="4"/>
      <name val="Calibri"/>
      <family val="2"/>
      <scheme val="minor"/>
    </font>
    <font>
      <sz val="11"/>
      <color theme="4"/>
      <name val="Calibri"/>
      <family val="2"/>
    </font>
    <font>
      <i/>
      <sz val="14"/>
      <name val="Calibri"/>
      <family val="2"/>
      <scheme val="minor"/>
    </font>
    <font>
      <i/>
      <sz val="14"/>
      <color theme="1"/>
      <name val="Calibri"/>
      <family val="2"/>
      <scheme val="minor"/>
    </font>
    <font>
      <i/>
      <sz val="11"/>
      <name val="Calibri"/>
      <family val="2"/>
      <scheme val="minor"/>
    </font>
    <font>
      <sz val="11"/>
      <color rgb="FF00B050"/>
      <name val="Calibri"/>
      <family val="2"/>
      <scheme val="minor"/>
    </font>
    <font>
      <i/>
      <sz val="11"/>
      <color rgb="FF00B050"/>
      <name val="Calibri"/>
      <family val="2"/>
      <scheme val="minor"/>
    </font>
    <font>
      <sz val="10"/>
      <name val="Calibri"/>
      <family val="2"/>
    </font>
    <font>
      <b/>
      <i/>
      <sz val="11"/>
      <name val="Calibri"/>
      <family val="2"/>
      <scheme val="minor"/>
    </font>
    <font>
      <b/>
      <i/>
      <sz val="11"/>
      <color theme="1"/>
      <name val="Calibri"/>
      <family val="2"/>
      <scheme val="minor"/>
    </font>
    <font>
      <b/>
      <u/>
      <sz val="11"/>
      <color theme="4"/>
      <name val="Calibri"/>
      <family val="2"/>
      <scheme val="minor"/>
    </font>
    <font>
      <b/>
      <sz val="11"/>
      <color theme="9"/>
      <name val="Calibri"/>
      <family val="2"/>
      <scheme val="minor"/>
    </font>
    <font>
      <sz val="10"/>
      <name val="Calibri"/>
      <family val="2"/>
      <scheme val="minor"/>
    </font>
    <font>
      <sz val="10"/>
      <color theme="1"/>
      <name val="Calibri"/>
      <family val="2"/>
      <scheme val="minor"/>
    </font>
    <font>
      <sz val="11"/>
      <color rgb="FF000000"/>
      <name val="Calibri"/>
      <family val="2"/>
    </font>
    <font>
      <b/>
      <sz val="14"/>
      <color rgb="FF000000"/>
      <name val="Calibri"/>
      <family val="2"/>
    </font>
    <font>
      <b/>
      <sz val="9"/>
      <color rgb="FF000000"/>
      <name val="Calibri"/>
      <family val="2"/>
    </font>
    <font>
      <b/>
      <sz val="10"/>
      <color rgb="FF000000"/>
      <name val="Calibri"/>
      <family val="2"/>
    </font>
    <font>
      <sz val="14"/>
      <color rgb="FF000000"/>
      <name val="Calibri"/>
      <family val="2"/>
    </font>
    <font>
      <i/>
      <sz val="11"/>
      <color rgb="FF000000"/>
      <name val="Calibri"/>
      <family val="2"/>
    </font>
    <fon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bgColor indexed="64"/>
      </patternFill>
    </fill>
    <fill>
      <patternFill patternType="solid">
        <fgColor rgb="FFFFFFFF"/>
        <bgColor indexed="64"/>
      </patternFill>
    </fill>
    <fill>
      <patternFill patternType="solid">
        <fgColor theme="5" tint="0.79998168889431442"/>
        <bgColor indexed="64"/>
      </patternFill>
    </fill>
  </fills>
  <borders count="7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rgb="FF000000"/>
      </left>
      <right/>
      <top style="medium">
        <color rgb="FF000000"/>
      </top>
      <bottom style="thin">
        <color theme="1" tint="0.499984740745262"/>
      </bottom>
      <diagonal/>
    </border>
    <border>
      <left style="medium">
        <color rgb="FF000000"/>
      </left>
      <right/>
      <top style="thin">
        <color theme="1" tint="0.499984740745262"/>
      </top>
      <bottom style="thin">
        <color theme="1" tint="0.499984740745262"/>
      </bottom>
      <diagonal/>
    </border>
    <border>
      <left style="medium">
        <color rgb="FF000000"/>
      </left>
      <right/>
      <top style="thin">
        <color theme="1" tint="0.499984740745262"/>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thin">
        <color rgb="FF000000"/>
      </left>
      <right/>
      <top/>
      <bottom style="medium">
        <color rgb="FF000000"/>
      </bottom>
      <diagonal/>
    </border>
  </borders>
  <cellStyleXfs count="5">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492">
    <xf numFmtId="0" fontId="0" fillId="0" borderId="0" xfId="0"/>
    <xf numFmtId="0" fontId="2" fillId="0" borderId="0" xfId="0" applyFont="1"/>
    <xf numFmtId="0" fontId="3" fillId="0" borderId="0" xfId="2"/>
    <xf numFmtId="0" fontId="2" fillId="0" borderId="0" xfId="0" applyFont="1" applyAlignment="1">
      <alignment vertical="center" wrapText="1"/>
    </xf>
    <xf numFmtId="166" fontId="0" fillId="0" borderId="0" xfId="4" applyNumberFormat="1" applyFont="1" applyAlignment="1">
      <alignment vertical="top"/>
    </xf>
    <xf numFmtId="166" fontId="7" fillId="0" borderId="0" xfId="4" applyNumberFormat="1" applyFont="1" applyAlignment="1">
      <alignment vertical="top"/>
    </xf>
    <xf numFmtId="166" fontId="7" fillId="0" borderId="0" xfId="4" applyNumberFormat="1" applyFont="1" applyFill="1" applyAlignment="1">
      <alignment vertical="top"/>
    </xf>
    <xf numFmtId="9" fontId="7" fillId="0" borderId="0" xfId="3" applyFont="1" applyAlignment="1">
      <alignment vertical="top"/>
    </xf>
    <xf numFmtId="9" fontId="7" fillId="0" borderId="0" xfId="3" applyFont="1" applyFill="1" applyAlignment="1">
      <alignment vertical="top"/>
    </xf>
    <xf numFmtId="166" fontId="8" fillId="0" borderId="4" xfId="4" applyNumberFormat="1" applyFont="1" applyBorder="1" applyAlignment="1">
      <alignment horizontal="center" vertical="top" wrapText="1"/>
    </xf>
    <xf numFmtId="9" fontId="7" fillId="0" borderId="3" xfId="3" applyFont="1" applyFill="1" applyBorder="1" applyAlignment="1">
      <alignment horizontal="center" vertical="top" wrapText="1"/>
    </xf>
    <xf numFmtId="0" fontId="0" fillId="0" borderId="2" xfId="4" applyNumberFormat="1" applyFont="1" applyBorder="1" applyAlignment="1">
      <alignment horizontal="center" vertical="top" wrapText="1"/>
    </xf>
    <xf numFmtId="0" fontId="0" fillId="0" borderId="3" xfId="4" applyNumberFormat="1" applyFont="1" applyBorder="1" applyAlignment="1">
      <alignment horizontal="center" vertical="top"/>
    </xf>
    <xf numFmtId="0" fontId="0" fillId="0" borderId="4" xfId="4" applyNumberFormat="1" applyFont="1" applyBorder="1" applyAlignment="1">
      <alignment horizontal="center" vertical="top"/>
    </xf>
    <xf numFmtId="166" fontId="8" fillId="0" borderId="1" xfId="4" applyNumberFormat="1" applyFont="1" applyFill="1" applyBorder="1" applyAlignment="1">
      <alignment horizontal="center" vertical="top" wrapText="1"/>
    </xf>
    <xf numFmtId="166" fontId="7" fillId="0" borderId="1" xfId="4" applyNumberFormat="1" applyFont="1" applyFill="1" applyBorder="1" applyAlignment="1">
      <alignment horizontal="center" vertical="top" wrapText="1"/>
    </xf>
    <xf numFmtId="166" fontId="8" fillId="0" borderId="6" xfId="4" applyNumberFormat="1" applyFont="1" applyBorder="1" applyAlignment="1">
      <alignment horizontal="center" vertical="top" wrapText="1"/>
    </xf>
    <xf numFmtId="9" fontId="8" fillId="0" borderId="1" xfId="3" applyFont="1" applyBorder="1" applyAlignment="1">
      <alignment horizontal="center" vertical="top" wrapText="1"/>
    </xf>
    <xf numFmtId="9" fontId="7" fillId="0" borderId="1" xfId="3" applyFont="1" applyBorder="1" applyAlignment="1">
      <alignment horizontal="center" vertical="top" wrapText="1"/>
    </xf>
    <xf numFmtId="9" fontId="7" fillId="0" borderId="6" xfId="3" applyFont="1" applyBorder="1" applyAlignment="1">
      <alignment horizontal="center" vertical="top" wrapText="1"/>
    </xf>
    <xf numFmtId="9" fontId="7" fillId="0" borderId="1" xfId="3" applyFont="1" applyFill="1" applyBorder="1" applyAlignment="1">
      <alignment horizontal="center" vertical="top" wrapText="1"/>
    </xf>
    <xf numFmtId="166" fontId="7" fillId="0" borderId="1" xfId="4" applyNumberFormat="1" applyFont="1" applyBorder="1" applyAlignment="1">
      <alignment horizontal="center" vertical="top" wrapText="1"/>
    </xf>
    <xf numFmtId="166" fontId="7" fillId="0" borderId="6" xfId="4" applyNumberFormat="1" applyFont="1" applyBorder="1" applyAlignment="1">
      <alignment horizontal="center" vertical="top" wrapText="1"/>
    </xf>
    <xf numFmtId="166" fontId="0" fillId="0" borderId="0" xfId="4" applyNumberFormat="1" applyFont="1" applyAlignment="1">
      <alignment horizontal="center" vertical="top"/>
    </xf>
    <xf numFmtId="166" fontId="8" fillId="2" borderId="7" xfId="4" applyNumberFormat="1" applyFont="1" applyFill="1" applyBorder="1" applyAlignment="1">
      <alignment vertical="top" wrapText="1"/>
    </xf>
    <xf numFmtId="1" fontId="8" fillId="2" borderId="0" xfId="4" applyNumberFormat="1" applyFont="1" applyFill="1" applyBorder="1" applyAlignment="1">
      <alignment horizontal="center" vertical="top" wrapText="1"/>
    </xf>
    <xf numFmtId="166" fontId="8" fillId="2" borderId="0" xfId="4" applyNumberFormat="1" applyFont="1" applyFill="1" applyBorder="1" applyAlignment="1">
      <alignment horizontal="center" vertical="top" wrapText="1"/>
    </xf>
    <xf numFmtId="166" fontId="8" fillId="2" borderId="8" xfId="4" applyNumberFormat="1" applyFont="1" applyFill="1" applyBorder="1" applyAlignment="1">
      <alignment horizontal="center" vertical="top" wrapText="1"/>
    </xf>
    <xf numFmtId="166" fontId="8" fillId="2" borderId="7" xfId="4" applyNumberFormat="1" applyFont="1" applyFill="1" applyBorder="1" applyAlignment="1">
      <alignment vertical="top"/>
    </xf>
    <xf numFmtId="166" fontId="8" fillId="2" borderId="0" xfId="4" applyNumberFormat="1" applyFont="1" applyFill="1" applyBorder="1" applyAlignment="1">
      <alignment vertical="top"/>
    </xf>
    <xf numFmtId="166" fontId="8" fillId="2" borderId="8" xfId="4" applyNumberFormat="1" applyFont="1" applyFill="1" applyBorder="1" applyAlignment="1">
      <alignment vertical="top"/>
    </xf>
    <xf numFmtId="166" fontId="7" fillId="2" borderId="0" xfId="4" applyNumberFormat="1" applyFont="1" applyFill="1" applyBorder="1" applyAlignment="1">
      <alignment vertical="top" wrapText="1"/>
    </xf>
    <xf numFmtId="166" fontId="7" fillId="2" borderId="8" xfId="4" applyNumberFormat="1" applyFont="1" applyFill="1" applyBorder="1" applyAlignment="1">
      <alignment vertical="top" wrapText="1"/>
    </xf>
    <xf numFmtId="9" fontId="7" fillId="2" borderId="0" xfId="3" applyFont="1" applyFill="1" applyBorder="1" applyAlignment="1">
      <alignment vertical="top" wrapText="1"/>
    </xf>
    <xf numFmtId="9" fontId="7" fillId="2" borderId="8" xfId="3" applyFont="1" applyFill="1" applyBorder="1" applyAlignment="1">
      <alignment vertical="top" wrapText="1"/>
    </xf>
    <xf numFmtId="166" fontId="7" fillId="2" borderId="0" xfId="4" applyNumberFormat="1" applyFont="1" applyFill="1" applyBorder="1" applyAlignment="1">
      <alignment vertical="top"/>
    </xf>
    <xf numFmtId="166" fontId="7" fillId="2" borderId="8" xfId="4" applyNumberFormat="1" applyFont="1" applyFill="1" applyBorder="1" applyAlignment="1">
      <alignment vertical="top"/>
    </xf>
    <xf numFmtId="166" fontId="8" fillId="0" borderId="0" xfId="4" applyNumberFormat="1" applyFont="1" applyAlignment="1">
      <alignment vertical="top"/>
    </xf>
    <xf numFmtId="166" fontId="0" fillId="0" borderId="7" xfId="4" applyNumberFormat="1" applyFont="1" applyBorder="1" applyAlignment="1">
      <alignment horizontal="left" vertical="top" wrapText="1"/>
    </xf>
    <xf numFmtId="1" fontId="0" fillId="0" borderId="0" xfId="4" applyNumberFormat="1" applyFont="1" applyBorder="1" applyAlignment="1">
      <alignment horizontal="center" vertical="top" wrapText="1"/>
    </xf>
    <xf numFmtId="166" fontId="0" fillId="0" borderId="8" xfId="4" applyNumberFormat="1" applyFont="1" applyBorder="1" applyAlignment="1">
      <alignment horizontal="center" vertical="top" wrapText="1"/>
    </xf>
    <xf numFmtId="166" fontId="0" fillId="0" borderId="7" xfId="4" applyNumberFormat="1" applyFont="1" applyBorder="1" applyAlignment="1">
      <alignment vertical="top"/>
    </xf>
    <xf numFmtId="166" fontId="0" fillId="0" borderId="0" xfId="4" applyNumberFormat="1" applyFont="1" applyBorder="1" applyAlignment="1">
      <alignment vertical="top"/>
    </xf>
    <xf numFmtId="166" fontId="0" fillId="0" borderId="8" xfId="4" applyNumberFormat="1" applyFont="1" applyBorder="1" applyAlignment="1">
      <alignment vertical="top"/>
    </xf>
    <xf numFmtId="166" fontId="7" fillId="0" borderId="0" xfId="4" applyNumberFormat="1" applyFont="1" applyFill="1" applyBorder="1" applyAlignment="1">
      <alignment vertical="top" wrapText="1"/>
    </xf>
    <xf numFmtId="166" fontId="9" fillId="0" borderId="8" xfId="4" applyNumberFormat="1" applyFont="1" applyBorder="1" applyAlignment="1">
      <alignment vertical="top"/>
    </xf>
    <xf numFmtId="9" fontId="7" fillId="0" borderId="0" xfId="3" applyFont="1" applyBorder="1" applyAlignment="1">
      <alignment vertical="top" wrapText="1"/>
    </xf>
    <xf numFmtId="9" fontId="7" fillId="0" borderId="8" xfId="3" applyFont="1" applyBorder="1" applyAlignment="1">
      <alignment vertical="top" wrapText="1"/>
    </xf>
    <xf numFmtId="167" fontId="7" fillId="0" borderId="0" xfId="3" applyNumberFormat="1" applyFont="1" applyFill="1" applyBorder="1" applyAlignment="1">
      <alignment vertical="top" wrapText="1"/>
    </xf>
    <xf numFmtId="166" fontId="7" fillId="0" borderId="0" xfId="4" applyNumberFormat="1" applyFont="1" applyBorder="1" applyAlignment="1">
      <alignment vertical="top"/>
    </xf>
    <xf numFmtId="166" fontId="7" fillId="0" borderId="8" xfId="4" applyNumberFormat="1" applyFont="1" applyBorder="1" applyAlignment="1">
      <alignment vertical="top"/>
    </xf>
    <xf numFmtId="164" fontId="0" fillId="0" borderId="7" xfId="4" applyFont="1" applyBorder="1" applyAlignment="1">
      <alignment vertical="top"/>
    </xf>
    <xf numFmtId="164" fontId="0" fillId="0" borderId="0" xfId="4" applyFont="1" applyBorder="1" applyAlignment="1">
      <alignment vertical="top"/>
    </xf>
    <xf numFmtId="164" fontId="0" fillId="0" borderId="8" xfId="4" applyFont="1" applyBorder="1" applyAlignment="1">
      <alignment vertical="top"/>
    </xf>
    <xf numFmtId="166" fontId="7" fillId="3" borderId="7" xfId="4" applyNumberFormat="1" applyFont="1" applyFill="1" applyBorder="1" applyAlignment="1">
      <alignment horizontal="left" vertical="top" wrapText="1"/>
    </xf>
    <xf numFmtId="1" fontId="7" fillId="0" borderId="0" xfId="4" applyNumberFormat="1" applyFont="1" applyBorder="1" applyAlignment="1">
      <alignment horizontal="center" vertical="top" wrapText="1"/>
    </xf>
    <xf numFmtId="166" fontId="7" fillId="0" borderId="0" xfId="4" applyNumberFormat="1" applyFont="1" applyBorder="1" applyAlignment="1">
      <alignment horizontal="center" vertical="top" wrapText="1"/>
    </xf>
    <xf numFmtId="166" fontId="7" fillId="0" borderId="8" xfId="4" applyNumberFormat="1" applyFont="1" applyBorder="1" applyAlignment="1">
      <alignment horizontal="center" vertical="top" wrapText="1"/>
    </xf>
    <xf numFmtId="166" fontId="7" fillId="0" borderId="7" xfId="4" applyNumberFormat="1" applyFont="1" applyBorder="1" applyAlignment="1">
      <alignment vertical="top"/>
    </xf>
    <xf numFmtId="166" fontId="9" fillId="0" borderId="7" xfId="4" applyNumberFormat="1" applyFont="1" applyBorder="1" applyAlignment="1">
      <alignment vertical="top"/>
    </xf>
    <xf numFmtId="166" fontId="9" fillId="0" borderId="0" xfId="4" applyNumberFormat="1" applyFont="1" applyBorder="1" applyAlignment="1">
      <alignment vertical="top"/>
    </xf>
    <xf numFmtId="166" fontId="0" fillId="0" borderId="7" xfId="4" applyNumberFormat="1" applyFont="1" applyFill="1" applyBorder="1" applyAlignment="1">
      <alignment vertical="top"/>
    </xf>
    <xf numFmtId="166" fontId="7" fillId="0" borderId="0" xfId="4" applyNumberFormat="1" applyFont="1" applyFill="1" applyBorder="1" applyAlignment="1">
      <alignment vertical="top"/>
    </xf>
    <xf numFmtId="1" fontId="0" fillId="0" borderId="0" xfId="4" applyNumberFormat="1" applyFont="1" applyBorder="1" applyAlignment="1">
      <alignment horizontal="center" vertical="top"/>
    </xf>
    <xf numFmtId="166" fontId="0" fillId="0" borderId="8" xfId="4" applyNumberFormat="1" applyFont="1" applyBorder="1" applyAlignment="1">
      <alignment horizontal="center" vertical="top"/>
    </xf>
    <xf numFmtId="166" fontId="7" fillId="0" borderId="7" xfId="4" applyNumberFormat="1" applyFont="1" applyFill="1" applyBorder="1" applyAlignment="1">
      <alignment vertical="top"/>
    </xf>
    <xf numFmtId="166" fontId="7" fillId="0" borderId="8" xfId="4" applyNumberFormat="1" applyFont="1" applyFill="1" applyBorder="1" applyAlignment="1">
      <alignment vertical="top"/>
    </xf>
    <xf numFmtId="164" fontId="7" fillId="0" borderId="7" xfId="4" applyFont="1" applyBorder="1" applyAlignment="1">
      <alignment vertical="top"/>
    </xf>
    <xf numFmtId="164" fontId="7" fillId="0" borderId="0" xfId="4" applyFont="1" applyBorder="1" applyAlignment="1">
      <alignment vertical="top"/>
    </xf>
    <xf numFmtId="164" fontId="7" fillId="0" borderId="8" xfId="4" applyFont="1" applyBorder="1" applyAlignment="1">
      <alignment vertical="top"/>
    </xf>
    <xf numFmtId="166" fontId="0" fillId="0" borderId="7" xfId="4" applyNumberFormat="1" applyFont="1" applyBorder="1" applyAlignment="1">
      <alignment vertical="top" wrapText="1"/>
    </xf>
    <xf numFmtId="166" fontId="10" fillId="0" borderId="0" xfId="4" applyNumberFormat="1" applyFont="1" applyBorder="1" applyAlignment="1">
      <alignment vertical="top"/>
    </xf>
    <xf numFmtId="166" fontId="5" fillId="0" borderId="0" xfId="4" applyNumberFormat="1" applyFont="1" applyBorder="1" applyAlignment="1">
      <alignment vertical="top"/>
    </xf>
    <xf numFmtId="166" fontId="5" fillId="0" borderId="8" xfId="4" applyNumberFormat="1" applyFont="1" applyBorder="1" applyAlignment="1">
      <alignment vertical="top"/>
    </xf>
    <xf numFmtId="166" fontId="5" fillId="0" borderId="0" xfId="4" applyNumberFormat="1" applyFont="1" applyFill="1" applyBorder="1" applyAlignment="1">
      <alignment vertical="top" wrapText="1"/>
    </xf>
    <xf numFmtId="166" fontId="5" fillId="0" borderId="0" xfId="4" applyNumberFormat="1" applyFont="1" applyFill="1" applyBorder="1" applyAlignment="1">
      <alignment vertical="top"/>
    </xf>
    <xf numFmtId="166" fontId="5" fillId="0" borderId="8" xfId="4" applyNumberFormat="1" applyFont="1" applyFill="1" applyBorder="1" applyAlignment="1">
      <alignment vertical="top"/>
    </xf>
    <xf numFmtId="9" fontId="7" fillId="2" borderId="7" xfId="3" applyFont="1" applyFill="1" applyBorder="1" applyAlignment="1">
      <alignment vertical="top" wrapText="1"/>
    </xf>
    <xf numFmtId="164" fontId="8" fillId="2" borderId="7" xfId="4" applyFont="1" applyFill="1" applyBorder="1" applyAlignment="1">
      <alignment vertical="top"/>
    </xf>
    <xf numFmtId="164" fontId="8" fillId="2" borderId="0" xfId="4" applyFont="1" applyFill="1" applyBorder="1" applyAlignment="1">
      <alignment vertical="top"/>
    </xf>
    <xf numFmtId="164" fontId="8" fillId="2" borderId="8" xfId="4" applyFont="1" applyFill="1" applyBorder="1" applyAlignment="1">
      <alignment vertical="top"/>
    </xf>
    <xf numFmtId="166" fontId="5" fillId="0" borderId="7" xfId="4" applyNumberFormat="1" applyFont="1" applyBorder="1" applyAlignment="1">
      <alignment vertical="top" wrapText="1"/>
    </xf>
    <xf numFmtId="166" fontId="5" fillId="0" borderId="0" xfId="4" applyNumberFormat="1" applyFont="1" applyBorder="1" applyAlignment="1">
      <alignment vertical="top" wrapText="1"/>
    </xf>
    <xf numFmtId="166" fontId="5" fillId="0" borderId="8" xfId="4" applyNumberFormat="1" applyFont="1" applyBorder="1" applyAlignment="1">
      <alignment vertical="top" wrapText="1"/>
    </xf>
    <xf numFmtId="166" fontId="7" fillId="0" borderId="7" xfId="4" applyNumberFormat="1" applyFont="1" applyBorder="1" applyAlignment="1">
      <alignment vertical="top" wrapText="1"/>
    </xf>
    <xf numFmtId="166" fontId="7" fillId="0" borderId="0" xfId="4" applyNumberFormat="1" applyFont="1" applyBorder="1" applyAlignment="1">
      <alignment vertical="top" wrapText="1"/>
    </xf>
    <xf numFmtId="166" fontId="7" fillId="0" borderId="7" xfId="4" applyNumberFormat="1" applyFont="1" applyFill="1" applyBorder="1" applyAlignment="1">
      <alignment vertical="top" wrapText="1"/>
    </xf>
    <xf numFmtId="164" fontId="7" fillId="0" borderId="7" xfId="4" applyFont="1" applyBorder="1" applyAlignment="1">
      <alignment vertical="top" wrapText="1"/>
    </xf>
    <xf numFmtId="164" fontId="7" fillId="0" borderId="0" xfId="4" applyFont="1" applyBorder="1" applyAlignment="1">
      <alignment vertical="top" wrapText="1"/>
    </xf>
    <xf numFmtId="164" fontId="7" fillId="0" borderId="8" xfId="4" applyFont="1" applyBorder="1" applyAlignment="1">
      <alignment vertical="top" wrapText="1"/>
    </xf>
    <xf numFmtId="166" fontId="7" fillId="0" borderId="8" xfId="4" applyNumberFormat="1" applyFont="1" applyFill="1" applyBorder="1" applyAlignment="1">
      <alignment vertical="top" wrapText="1"/>
    </xf>
    <xf numFmtId="166" fontId="7" fillId="0" borderId="8" xfId="4" applyNumberFormat="1" applyFont="1" applyBorder="1" applyAlignment="1">
      <alignment vertical="top" wrapText="1"/>
    </xf>
    <xf numFmtId="166" fontId="5" fillId="0" borderId="7" xfId="4" applyNumberFormat="1" applyFont="1" applyFill="1" applyBorder="1" applyAlignment="1">
      <alignment vertical="top"/>
    </xf>
    <xf numFmtId="166" fontId="5" fillId="0" borderId="7" xfId="4" applyNumberFormat="1" applyFont="1" applyBorder="1" applyAlignment="1">
      <alignment vertical="top"/>
    </xf>
    <xf numFmtId="166" fontId="11" fillId="0" borderId="7" xfId="4" applyNumberFormat="1" applyFont="1" applyFill="1" applyBorder="1" applyAlignment="1">
      <alignment horizontal="center" vertical="top"/>
    </xf>
    <xf numFmtId="166" fontId="11" fillId="0" borderId="0" xfId="4" applyNumberFormat="1" applyFont="1" applyFill="1" applyBorder="1" applyAlignment="1">
      <alignment horizontal="center" vertical="top"/>
    </xf>
    <xf numFmtId="166" fontId="11" fillId="0" borderId="7" xfId="4" applyNumberFormat="1" applyFont="1" applyFill="1" applyBorder="1" applyAlignment="1">
      <alignment vertical="top" wrapText="1"/>
    </xf>
    <xf numFmtId="166" fontId="11" fillId="0" borderId="0" xfId="4" applyNumberFormat="1" applyFont="1" applyFill="1" applyBorder="1" applyAlignment="1">
      <alignment vertical="top" wrapText="1"/>
    </xf>
    <xf numFmtId="166" fontId="11" fillId="0" borderId="8" xfId="4" applyNumberFormat="1" applyFont="1" applyFill="1" applyBorder="1" applyAlignment="1">
      <alignment vertical="top" wrapText="1"/>
    </xf>
    <xf numFmtId="166" fontId="0" fillId="3" borderId="7" xfId="4" applyNumberFormat="1" applyFont="1" applyFill="1" applyBorder="1" applyAlignment="1">
      <alignment vertical="top"/>
    </xf>
    <xf numFmtId="166" fontId="0" fillId="3" borderId="0" xfId="4" applyNumberFormat="1" applyFont="1" applyFill="1" applyBorder="1" applyAlignment="1">
      <alignment vertical="top"/>
    </xf>
    <xf numFmtId="166" fontId="0" fillId="3" borderId="8" xfId="4" applyNumberFormat="1" applyFont="1" applyFill="1" applyBorder="1" applyAlignment="1">
      <alignment vertical="top"/>
    </xf>
    <xf numFmtId="166" fontId="12" fillId="0" borderId="7" xfId="4" applyNumberFormat="1" applyFont="1" applyFill="1" applyBorder="1" applyAlignment="1">
      <alignment horizontal="center" vertical="top"/>
    </xf>
    <xf numFmtId="166" fontId="12" fillId="0" borderId="0" xfId="4" applyNumberFormat="1" applyFont="1" applyFill="1" applyBorder="1" applyAlignment="1">
      <alignment horizontal="center" vertical="top"/>
    </xf>
    <xf numFmtId="166" fontId="12" fillId="0" borderId="8" xfId="4" applyNumberFormat="1" applyFont="1" applyFill="1" applyBorder="1" applyAlignment="1">
      <alignment horizontal="center" vertical="top"/>
    </xf>
    <xf numFmtId="164" fontId="0" fillId="3" borderId="7" xfId="4" applyFont="1" applyFill="1" applyBorder="1" applyAlignment="1">
      <alignment vertical="top"/>
    </xf>
    <xf numFmtId="164" fontId="0" fillId="3" borderId="0" xfId="4" applyFont="1" applyFill="1" applyBorder="1" applyAlignment="1">
      <alignment vertical="top"/>
    </xf>
    <xf numFmtId="164" fontId="0" fillId="3" borderId="8" xfId="4" applyFont="1" applyFill="1" applyBorder="1" applyAlignment="1">
      <alignment vertical="top"/>
    </xf>
    <xf numFmtId="166" fontId="9" fillId="0" borderId="7" xfId="4" applyNumberFormat="1" applyFont="1" applyBorder="1" applyAlignment="1">
      <alignment vertical="top" wrapText="1"/>
    </xf>
    <xf numFmtId="166" fontId="9" fillId="0" borderId="0" xfId="4" applyNumberFormat="1" applyFont="1" applyBorder="1" applyAlignment="1">
      <alignment vertical="top" wrapText="1"/>
    </xf>
    <xf numFmtId="166" fontId="9" fillId="0" borderId="7" xfId="4" applyNumberFormat="1" applyFont="1" applyFill="1" applyBorder="1" applyAlignment="1">
      <alignment vertical="top" wrapText="1"/>
    </xf>
    <xf numFmtId="166" fontId="9" fillId="0" borderId="0" xfId="4" applyNumberFormat="1" applyFont="1" applyFill="1" applyBorder="1" applyAlignment="1">
      <alignment vertical="top" wrapText="1"/>
    </xf>
    <xf numFmtId="164" fontId="9" fillId="0" borderId="7" xfId="4" applyFont="1" applyBorder="1" applyAlignment="1">
      <alignment vertical="top"/>
    </xf>
    <xf numFmtId="164" fontId="9" fillId="0" borderId="0" xfId="4" applyFont="1" applyBorder="1" applyAlignment="1">
      <alignment vertical="top"/>
    </xf>
    <xf numFmtId="164" fontId="9" fillId="0" borderId="8" xfId="4" applyFont="1" applyBorder="1" applyAlignment="1">
      <alignment vertical="top"/>
    </xf>
    <xf numFmtId="166" fontId="9" fillId="0" borderId="8" xfId="4" applyNumberFormat="1" applyFont="1" applyBorder="1" applyAlignment="1">
      <alignment vertical="top" wrapText="1"/>
    </xf>
    <xf numFmtId="166" fontId="8" fillId="0" borderId="8" xfId="4" applyNumberFormat="1" applyFont="1" applyBorder="1" applyAlignment="1">
      <alignment vertical="top"/>
    </xf>
    <xf numFmtId="164" fontId="9" fillId="0" borderId="0" xfId="4" applyFont="1" applyBorder="1" applyAlignment="1">
      <alignment vertical="top" wrapText="1"/>
    </xf>
    <xf numFmtId="164" fontId="11" fillId="0" borderId="0" xfId="4" applyFont="1" applyFill="1" applyBorder="1" applyAlignment="1">
      <alignment horizontal="center" vertical="top"/>
    </xf>
    <xf numFmtId="166" fontId="8" fillId="3" borderId="8" xfId="4" applyNumberFormat="1" applyFont="1" applyFill="1" applyBorder="1" applyAlignment="1">
      <alignment vertical="top"/>
    </xf>
    <xf numFmtId="166" fontId="13" fillId="0" borderId="7" xfId="4" applyNumberFormat="1" applyFont="1" applyBorder="1" applyAlignment="1">
      <alignment vertical="top" wrapText="1"/>
    </xf>
    <xf numFmtId="166" fontId="13" fillId="0" borderId="0" xfId="4" applyNumberFormat="1" applyFont="1" applyBorder="1" applyAlignment="1">
      <alignment vertical="top" wrapText="1"/>
    </xf>
    <xf numFmtId="166" fontId="13" fillId="0" borderId="8" xfId="4" applyNumberFormat="1" applyFont="1" applyBorder="1" applyAlignment="1">
      <alignment vertical="top" wrapText="1"/>
    </xf>
    <xf numFmtId="166" fontId="10" fillId="0" borderId="7" xfId="4" applyNumberFormat="1" applyFont="1" applyFill="1" applyBorder="1" applyAlignment="1">
      <alignment vertical="top"/>
    </xf>
    <xf numFmtId="166" fontId="10" fillId="0" borderId="0" xfId="4" applyNumberFormat="1" applyFont="1" applyFill="1" applyBorder="1" applyAlignment="1">
      <alignment vertical="top"/>
    </xf>
    <xf numFmtId="164" fontId="9" fillId="0" borderId="7" xfId="4" applyFont="1" applyBorder="1" applyAlignment="1">
      <alignment vertical="top" wrapText="1"/>
    </xf>
    <xf numFmtId="166" fontId="0" fillId="0" borderId="0" xfId="4" applyNumberFormat="1" applyFont="1" applyFill="1" applyBorder="1" applyAlignment="1">
      <alignment vertical="top"/>
    </xf>
    <xf numFmtId="166" fontId="8" fillId="2" borderId="0" xfId="4" applyNumberFormat="1" applyFont="1" applyFill="1" applyAlignment="1">
      <alignment vertical="top"/>
    </xf>
    <xf numFmtId="166" fontId="14" fillId="0" borderId="7" xfId="4" applyNumberFormat="1" applyFont="1" applyBorder="1" applyAlignment="1">
      <alignment vertical="top" wrapText="1"/>
    </xf>
    <xf numFmtId="166" fontId="14" fillId="0" borderId="0" xfId="4" applyNumberFormat="1" applyFont="1" applyBorder="1" applyAlignment="1">
      <alignment vertical="top" wrapText="1"/>
    </xf>
    <xf numFmtId="166" fontId="14" fillId="0" borderId="8" xfId="4" applyNumberFormat="1" applyFont="1" applyBorder="1" applyAlignment="1">
      <alignment vertical="top" wrapText="1"/>
    </xf>
    <xf numFmtId="166" fontId="15" fillId="0" borderId="7" xfId="4" applyNumberFormat="1" applyFont="1" applyFill="1" applyBorder="1" applyAlignment="1">
      <alignment vertical="top" wrapText="1"/>
    </xf>
    <xf numFmtId="166" fontId="15" fillId="0" borderId="0" xfId="4" applyNumberFormat="1" applyFont="1" applyFill="1" applyBorder="1" applyAlignment="1">
      <alignment vertical="top" wrapText="1"/>
    </xf>
    <xf numFmtId="164" fontId="15" fillId="0" borderId="0" xfId="4" applyFont="1" applyFill="1" applyBorder="1" applyAlignment="1">
      <alignment vertical="top" wrapText="1"/>
    </xf>
    <xf numFmtId="166" fontId="9" fillId="0" borderId="8" xfId="4" applyNumberFormat="1" applyFont="1" applyFill="1" applyBorder="1" applyAlignment="1">
      <alignment vertical="top" wrapText="1"/>
    </xf>
    <xf numFmtId="164" fontId="11" fillId="0" borderId="0" xfId="4" applyFont="1" applyFill="1" applyBorder="1" applyAlignment="1">
      <alignment vertical="top" wrapText="1"/>
    </xf>
    <xf numFmtId="164" fontId="7" fillId="0" borderId="0" xfId="4" applyFont="1" applyFill="1" applyBorder="1" applyAlignment="1">
      <alignment vertical="top" wrapText="1"/>
    </xf>
    <xf numFmtId="9" fontId="14" fillId="0" borderId="0" xfId="3" applyFont="1" applyBorder="1" applyAlignment="1">
      <alignment vertical="top" wrapText="1"/>
    </xf>
    <xf numFmtId="9" fontId="14" fillId="0" borderId="8" xfId="3" applyFont="1" applyBorder="1" applyAlignment="1">
      <alignment vertical="top" wrapText="1"/>
    </xf>
    <xf numFmtId="9" fontId="7" fillId="4" borderId="8" xfId="3" applyFont="1" applyFill="1" applyBorder="1" applyAlignment="1">
      <alignment vertical="top" wrapText="1"/>
    </xf>
    <xf numFmtId="166" fontId="8" fillId="3" borderId="0" xfId="4" applyNumberFormat="1" applyFont="1" applyFill="1" applyBorder="1" applyAlignment="1">
      <alignment vertical="top"/>
    </xf>
    <xf numFmtId="166" fontId="8" fillId="0" borderId="7" xfId="4" applyNumberFormat="1" applyFont="1" applyBorder="1" applyAlignment="1">
      <alignment vertical="top" wrapText="1"/>
    </xf>
    <xf numFmtId="1" fontId="8" fillId="0" borderId="0" xfId="4" applyNumberFormat="1" applyFont="1" applyBorder="1" applyAlignment="1">
      <alignment horizontal="center" vertical="top"/>
    </xf>
    <xf numFmtId="166" fontId="8" fillId="0" borderId="0" xfId="4" applyNumberFormat="1" applyFont="1" applyBorder="1" applyAlignment="1">
      <alignment horizontal="center" vertical="top"/>
    </xf>
    <xf numFmtId="166" fontId="8" fillId="0" borderId="8" xfId="4" applyNumberFormat="1" applyFont="1" applyBorder="1" applyAlignment="1">
      <alignment horizontal="center" vertical="top"/>
    </xf>
    <xf numFmtId="166" fontId="8" fillId="0" borderId="7" xfId="4" applyNumberFormat="1" applyFont="1" applyBorder="1" applyAlignment="1">
      <alignment vertical="top"/>
    </xf>
    <xf numFmtId="166" fontId="8" fillId="0" borderId="0" xfId="4" applyNumberFormat="1" applyFont="1" applyBorder="1" applyAlignment="1">
      <alignment vertical="top"/>
    </xf>
    <xf numFmtId="164" fontId="8" fillId="0" borderId="7" xfId="4" applyFont="1" applyBorder="1" applyAlignment="1">
      <alignment vertical="top"/>
    </xf>
    <xf numFmtId="164" fontId="8" fillId="0" borderId="0" xfId="4" applyFont="1" applyBorder="1" applyAlignment="1">
      <alignment vertical="top"/>
    </xf>
    <xf numFmtId="164" fontId="8" fillId="0" borderId="8" xfId="4" applyFont="1" applyBorder="1" applyAlignment="1">
      <alignment vertical="top"/>
    </xf>
    <xf numFmtId="1" fontId="7" fillId="0" borderId="0" xfId="4" applyNumberFormat="1" applyFont="1" applyBorder="1" applyAlignment="1">
      <alignment horizontal="center" vertical="top"/>
    </xf>
    <xf numFmtId="166" fontId="7" fillId="0" borderId="0" xfId="4" applyNumberFormat="1" applyFont="1" applyBorder="1" applyAlignment="1">
      <alignment horizontal="center" vertical="top"/>
    </xf>
    <xf numFmtId="166" fontId="7" fillId="0" borderId="8" xfId="4" applyNumberFormat="1" applyFont="1" applyBorder="1" applyAlignment="1">
      <alignment horizontal="center" vertical="top"/>
    </xf>
    <xf numFmtId="166" fontId="7" fillId="0" borderId="7" xfId="4" applyNumberFormat="1" applyFont="1" applyBorder="1" applyAlignment="1">
      <alignment horizontal="center" vertical="top"/>
    </xf>
    <xf numFmtId="164" fontId="7" fillId="0" borderId="7" xfId="4" applyFont="1" applyBorder="1" applyAlignment="1">
      <alignment horizontal="center" vertical="top"/>
    </xf>
    <xf numFmtId="164" fontId="7" fillId="0" borderId="0" xfId="4" applyFont="1" applyBorder="1" applyAlignment="1">
      <alignment horizontal="center" vertical="top"/>
    </xf>
    <xf numFmtId="164" fontId="7" fillId="0" borderId="8" xfId="4" applyFont="1" applyBorder="1" applyAlignment="1">
      <alignment horizontal="center" vertical="top"/>
    </xf>
    <xf numFmtId="166" fontId="0" fillId="3" borderId="0" xfId="4" applyNumberFormat="1" applyFont="1" applyFill="1" applyBorder="1" applyAlignment="1">
      <alignment vertical="top" wrapText="1"/>
    </xf>
    <xf numFmtId="166" fontId="0" fillId="3" borderId="8" xfId="4" applyNumberFormat="1" applyFont="1" applyFill="1" applyBorder="1" applyAlignment="1">
      <alignment vertical="top" wrapText="1"/>
    </xf>
    <xf numFmtId="166" fontId="9" fillId="0" borderId="8" xfId="4" applyNumberFormat="1" applyFont="1" applyFill="1" applyBorder="1" applyAlignment="1">
      <alignment vertical="top"/>
    </xf>
    <xf numFmtId="166" fontId="8" fillId="3" borderId="0" xfId="4" applyNumberFormat="1" applyFont="1" applyFill="1" applyBorder="1" applyAlignment="1">
      <alignment horizontal="center" vertical="top"/>
    </xf>
    <xf numFmtId="166" fontId="8" fillId="3" borderId="8" xfId="4" applyNumberFormat="1" applyFont="1" applyFill="1" applyBorder="1" applyAlignment="1">
      <alignment horizontal="center" vertical="top"/>
    </xf>
    <xf numFmtId="164" fontId="0" fillId="0" borderId="7" xfId="4" quotePrefix="1" applyFont="1" applyBorder="1" applyAlignment="1">
      <alignment vertical="top"/>
    </xf>
    <xf numFmtId="164" fontId="0" fillId="0" borderId="0" xfId="4" quotePrefix="1" applyFont="1" applyBorder="1" applyAlignment="1">
      <alignment vertical="top"/>
    </xf>
    <xf numFmtId="164" fontId="0" fillId="0" borderId="8" xfId="4" quotePrefix="1" applyFont="1" applyBorder="1" applyAlignment="1">
      <alignment vertical="top"/>
    </xf>
    <xf numFmtId="168" fontId="9" fillId="0" borderId="0" xfId="4" applyNumberFormat="1" applyFont="1" applyBorder="1" applyAlignment="1">
      <alignment vertical="top" wrapText="1"/>
    </xf>
    <xf numFmtId="168" fontId="7" fillId="0" borderId="0" xfId="4" applyNumberFormat="1" applyFont="1" applyBorder="1" applyAlignment="1">
      <alignment vertical="top" wrapText="1"/>
    </xf>
    <xf numFmtId="0" fontId="0" fillId="3" borderId="7" xfId="0" applyFill="1" applyBorder="1" applyAlignment="1">
      <alignment vertical="top" wrapText="1"/>
    </xf>
    <xf numFmtId="166" fontId="0" fillId="3" borderId="7" xfId="4" applyNumberFormat="1" applyFont="1" applyFill="1" applyBorder="1" applyAlignment="1">
      <alignment vertical="top" wrapText="1"/>
    </xf>
    <xf numFmtId="164" fontId="0" fillId="3" borderId="7" xfId="4" applyFont="1" applyFill="1" applyBorder="1" applyAlignment="1">
      <alignment vertical="top" wrapText="1"/>
    </xf>
    <xf numFmtId="164" fontId="7" fillId="3" borderId="0" xfId="4" applyFont="1" applyFill="1" applyBorder="1" applyAlignment="1">
      <alignment vertical="top"/>
    </xf>
    <xf numFmtId="164" fontId="7" fillId="3" borderId="8" xfId="4" applyFont="1" applyFill="1" applyBorder="1" applyAlignment="1">
      <alignment vertical="top"/>
    </xf>
    <xf numFmtId="166" fontId="0" fillId="0" borderId="0" xfId="4" applyNumberFormat="1" applyFont="1" applyBorder="1" applyAlignment="1">
      <alignment vertical="top" wrapText="1"/>
    </xf>
    <xf numFmtId="166" fontId="0" fillId="0" borderId="8" xfId="4" applyNumberFormat="1" applyFont="1" applyBorder="1" applyAlignment="1">
      <alignment vertical="top" wrapText="1"/>
    </xf>
    <xf numFmtId="164" fontId="9" fillId="0" borderId="8" xfId="4" applyFont="1" applyBorder="1" applyAlignment="1">
      <alignment vertical="top" wrapText="1"/>
    </xf>
    <xf numFmtId="166" fontId="8" fillId="0" borderId="7" xfId="4" applyNumberFormat="1" applyFont="1" applyBorder="1" applyAlignment="1">
      <alignment horizontal="center" vertical="top"/>
    </xf>
    <xf numFmtId="166" fontId="1" fillId="0" borderId="0" xfId="4" applyNumberFormat="1" applyFont="1" applyBorder="1" applyAlignment="1">
      <alignment horizontal="center" vertical="top"/>
    </xf>
    <xf numFmtId="166" fontId="1" fillId="0" borderId="8" xfId="4" applyNumberFormat="1" applyFont="1" applyBorder="1" applyAlignment="1">
      <alignment horizontal="center" vertical="top"/>
    </xf>
    <xf numFmtId="164" fontId="7" fillId="0" borderId="7" xfId="4" applyFont="1" applyFill="1" applyBorder="1" applyAlignment="1">
      <alignment vertical="top"/>
    </xf>
    <xf numFmtId="164" fontId="5" fillId="0" borderId="0" xfId="4" applyFont="1" applyFill="1" applyBorder="1" applyAlignment="1">
      <alignment vertical="top"/>
    </xf>
    <xf numFmtId="164" fontId="5" fillId="0" borderId="8" xfId="4" applyFont="1" applyFill="1" applyBorder="1" applyAlignment="1">
      <alignment vertical="top"/>
    </xf>
    <xf numFmtId="164" fontId="5" fillId="0" borderId="0" xfId="0" applyNumberFormat="1" applyFont="1" applyAlignment="1">
      <alignment vertical="top"/>
    </xf>
    <xf numFmtId="164" fontId="5" fillId="0" borderId="8" xfId="0" applyNumberFormat="1" applyFont="1" applyBorder="1" applyAlignment="1">
      <alignment vertical="top"/>
    </xf>
    <xf numFmtId="0" fontId="0" fillId="0" borderId="7" xfId="0" applyBorder="1" applyAlignment="1">
      <alignment vertical="top" wrapText="1"/>
    </xf>
    <xf numFmtId="9" fontId="7" fillId="0" borderId="0" xfId="3" applyFont="1" applyBorder="1" applyAlignment="1">
      <alignment vertical="top"/>
    </xf>
    <xf numFmtId="9" fontId="7" fillId="0" borderId="8" xfId="3" applyFont="1" applyBorder="1" applyAlignment="1">
      <alignment vertical="top"/>
    </xf>
    <xf numFmtId="0" fontId="0" fillId="3" borderId="7" xfId="0" applyFill="1" applyBorder="1" applyAlignment="1">
      <alignment vertical="top"/>
    </xf>
    <xf numFmtId="0" fontId="0" fillId="0" borderId="5" xfId="0" applyBorder="1" applyAlignment="1">
      <alignment vertical="top" wrapText="1"/>
    </xf>
    <xf numFmtId="1" fontId="0" fillId="0" borderId="1" xfId="4" applyNumberFormat="1" applyFont="1" applyBorder="1" applyAlignment="1">
      <alignment horizontal="center" vertical="top"/>
    </xf>
    <xf numFmtId="166" fontId="0" fillId="0" borderId="6" xfId="4" applyNumberFormat="1" applyFont="1" applyBorder="1" applyAlignment="1">
      <alignment horizontal="center" vertical="top"/>
    </xf>
    <xf numFmtId="166" fontId="0" fillId="0" borderId="5" xfId="4" applyNumberFormat="1" applyFont="1" applyBorder="1" applyAlignment="1">
      <alignment vertical="top"/>
    </xf>
    <xf numFmtId="166" fontId="0" fillId="0" borderId="1" xfId="4" applyNumberFormat="1" applyFont="1" applyBorder="1" applyAlignment="1">
      <alignment vertical="top"/>
    </xf>
    <xf numFmtId="166" fontId="0" fillId="0" borderId="6" xfId="4" applyNumberFormat="1" applyFont="1" applyBorder="1" applyAlignment="1">
      <alignment vertical="top"/>
    </xf>
    <xf numFmtId="166" fontId="7" fillId="0" borderId="1" xfId="4" applyNumberFormat="1" applyFont="1" applyBorder="1" applyAlignment="1">
      <alignment vertical="top"/>
    </xf>
    <xf numFmtId="166" fontId="7" fillId="0" borderId="1" xfId="4" applyNumberFormat="1" applyFont="1" applyFill="1" applyBorder="1" applyAlignment="1">
      <alignment vertical="top"/>
    </xf>
    <xf numFmtId="9" fontId="7" fillId="0" borderId="1" xfId="3" applyFont="1" applyBorder="1" applyAlignment="1">
      <alignment vertical="top"/>
    </xf>
    <xf numFmtId="9" fontId="7" fillId="0" borderId="6" xfId="3" applyFont="1" applyBorder="1" applyAlignment="1">
      <alignment vertical="top"/>
    </xf>
    <xf numFmtId="166" fontId="7" fillId="0" borderId="6" xfId="4" applyNumberFormat="1" applyFont="1" applyBorder="1" applyAlignment="1">
      <alignment vertical="top"/>
    </xf>
    <xf numFmtId="0" fontId="0" fillId="3" borderId="5" xfId="0" applyFill="1" applyBorder="1" applyAlignment="1">
      <alignment vertical="top"/>
    </xf>
    <xf numFmtId="166" fontId="0" fillId="0" borderId="0" xfId="4" applyNumberFormat="1" applyFont="1" applyAlignment="1">
      <alignment vertical="top" wrapText="1"/>
    </xf>
    <xf numFmtId="1" fontId="0" fillId="0" borderId="0" xfId="4" applyNumberFormat="1" applyFont="1" applyAlignment="1">
      <alignment horizontal="center" vertical="top"/>
    </xf>
    <xf numFmtId="0" fontId="1" fillId="0" borderId="0" xfId="4" applyNumberFormat="1" applyFont="1" applyAlignment="1">
      <alignment horizontal="left" vertical="top"/>
    </xf>
    <xf numFmtId="166" fontId="16" fillId="0" borderId="0" xfId="4" applyNumberFormat="1" applyFont="1" applyAlignment="1">
      <alignment horizontal="left" vertical="top"/>
    </xf>
    <xf numFmtId="166" fontId="0" fillId="0" borderId="9" xfId="4" applyNumberFormat="1" applyFont="1" applyBorder="1" applyAlignment="1">
      <alignment horizontal="center" vertical="top"/>
    </xf>
    <xf numFmtId="166" fontId="0" fillId="0" borderId="10" xfId="4" applyNumberFormat="1" applyFont="1" applyBorder="1" applyAlignment="1">
      <alignment horizontal="center" vertical="top"/>
    </xf>
    <xf numFmtId="166" fontId="0" fillId="0" borderId="10" xfId="4" applyNumberFormat="1" applyFont="1" applyBorder="1" applyAlignment="1">
      <alignment vertical="top"/>
    </xf>
    <xf numFmtId="166" fontId="0" fillId="0" borderId="11" xfId="4" applyNumberFormat="1" applyFont="1" applyBorder="1" applyAlignment="1">
      <alignment vertical="top"/>
    </xf>
    <xf numFmtId="166" fontId="0" fillId="0" borderId="9" xfId="4" applyNumberFormat="1" applyFont="1" applyBorder="1" applyAlignment="1">
      <alignment vertical="top"/>
    </xf>
    <xf numFmtId="166" fontId="7" fillId="0" borderId="10" xfId="4" applyNumberFormat="1" applyFont="1" applyBorder="1" applyAlignment="1">
      <alignment vertical="top"/>
    </xf>
    <xf numFmtId="166" fontId="7" fillId="0" borderId="11" xfId="4" applyNumberFormat="1" applyFont="1" applyBorder="1" applyAlignment="1">
      <alignment vertical="top"/>
    </xf>
    <xf numFmtId="166" fontId="7" fillId="0" borderId="10" xfId="4" applyNumberFormat="1" applyFont="1" applyFill="1" applyBorder="1" applyAlignment="1">
      <alignment vertical="top"/>
    </xf>
    <xf numFmtId="166" fontId="0" fillId="0" borderId="3" xfId="4" applyNumberFormat="1" applyFont="1" applyBorder="1" applyAlignment="1">
      <alignment vertical="top"/>
    </xf>
    <xf numFmtId="164" fontId="0" fillId="0" borderId="3" xfId="4" applyFont="1" applyBorder="1" applyAlignment="1">
      <alignment vertical="top"/>
    </xf>
    <xf numFmtId="164" fontId="0" fillId="0" borderId="4" xfId="4" applyFont="1" applyBorder="1" applyAlignment="1">
      <alignment vertical="top"/>
    </xf>
    <xf numFmtId="0" fontId="0" fillId="0" borderId="7" xfId="4" applyNumberFormat="1" applyFont="1" applyBorder="1" applyAlignment="1">
      <alignment vertical="top"/>
    </xf>
    <xf numFmtId="0" fontId="0" fillId="0" borderId="0" xfId="0" applyAlignment="1">
      <alignment vertical="top" wrapText="1"/>
    </xf>
    <xf numFmtId="164" fontId="8" fillId="0" borderId="0" xfId="4" applyFont="1" applyFill="1" applyBorder="1" applyAlignment="1">
      <alignment vertical="top" wrapText="1"/>
    </xf>
    <xf numFmtId="164" fontId="8" fillId="0" borderId="8" xfId="4" applyFont="1" applyFill="1" applyBorder="1" applyAlignment="1">
      <alignment vertical="top" wrapText="1"/>
    </xf>
    <xf numFmtId="1" fontId="0" fillId="0" borderId="7" xfId="4" quotePrefix="1" applyNumberFormat="1" applyFont="1" applyBorder="1" applyAlignment="1">
      <alignment horizontal="center" vertical="top"/>
    </xf>
    <xf numFmtId="0" fontId="0" fillId="0" borderId="0" xfId="4" applyNumberFormat="1" applyFont="1" applyBorder="1" applyAlignment="1">
      <alignment vertical="top"/>
    </xf>
    <xf numFmtId="0" fontId="0" fillId="0" borderId="1" xfId="0" applyBorder="1" applyAlignment="1">
      <alignment vertical="top" wrapText="1"/>
    </xf>
    <xf numFmtId="164" fontId="8" fillId="0" borderId="1" xfId="4" applyFont="1" applyFill="1" applyBorder="1" applyAlignment="1">
      <alignment vertical="top" wrapText="1"/>
    </xf>
    <xf numFmtId="164" fontId="8" fillId="0" borderId="6" xfId="4" applyFont="1" applyFill="1" applyBorder="1" applyAlignment="1">
      <alignment vertical="top" wrapText="1"/>
    </xf>
    <xf numFmtId="1" fontId="0" fillId="0" borderId="5" xfId="4" quotePrefix="1" applyNumberFormat="1" applyFont="1" applyBorder="1" applyAlignment="1">
      <alignment horizontal="center" vertical="top"/>
    </xf>
    <xf numFmtId="0" fontId="0" fillId="0" borderId="1" xfId="4" applyNumberFormat="1" applyFont="1" applyBorder="1" applyAlignment="1">
      <alignment vertical="top"/>
    </xf>
    <xf numFmtId="166" fontId="0" fillId="0" borderId="4" xfId="4" applyNumberFormat="1" applyFont="1" applyBorder="1" applyAlignment="1">
      <alignment vertical="top"/>
    </xf>
    <xf numFmtId="166" fontId="0" fillId="0" borderId="8" xfId="4" applyNumberFormat="1" applyFont="1" applyFill="1" applyBorder="1" applyAlignment="1">
      <alignment vertical="top"/>
    </xf>
    <xf numFmtId="166" fontId="8" fillId="0" borderId="0" xfId="4" applyNumberFormat="1" applyFont="1" applyFill="1" applyBorder="1" applyAlignment="1">
      <alignment vertical="top" wrapText="1"/>
    </xf>
    <xf numFmtId="166" fontId="8" fillId="0" borderId="8" xfId="4" applyNumberFormat="1" applyFont="1" applyFill="1" applyBorder="1" applyAlignment="1">
      <alignment vertical="top" wrapText="1"/>
    </xf>
    <xf numFmtId="166" fontId="8" fillId="0" borderId="1" xfId="4" applyNumberFormat="1" applyFont="1" applyFill="1" applyBorder="1" applyAlignment="1">
      <alignment vertical="top" wrapText="1"/>
    </xf>
    <xf numFmtId="166" fontId="8" fillId="0" borderId="6" xfId="4" applyNumberFormat="1" applyFont="1" applyFill="1" applyBorder="1" applyAlignment="1">
      <alignment vertical="top" wrapText="1"/>
    </xf>
    <xf numFmtId="166" fontId="8" fillId="0" borderId="3" xfId="4" applyNumberFormat="1" applyFont="1" applyBorder="1" applyAlignment="1">
      <alignment vertical="top" wrapText="1"/>
    </xf>
    <xf numFmtId="0" fontId="0" fillId="0" borderId="3" xfId="4" applyNumberFormat="1" applyFont="1" applyBorder="1" applyAlignment="1">
      <alignment vertical="top"/>
    </xf>
    <xf numFmtId="166" fontId="7" fillId="0" borderId="3" xfId="4" applyNumberFormat="1" applyFont="1" applyBorder="1" applyAlignment="1">
      <alignment vertical="top"/>
    </xf>
    <xf numFmtId="166" fontId="7" fillId="0" borderId="4" xfId="4" applyNumberFormat="1" applyFont="1" applyBorder="1" applyAlignment="1">
      <alignment vertical="top"/>
    </xf>
    <xf numFmtId="166" fontId="7" fillId="0" borderId="3" xfId="4" applyNumberFormat="1" applyFont="1" applyFill="1" applyBorder="1" applyAlignment="1">
      <alignment vertical="top"/>
    </xf>
    <xf numFmtId="166" fontId="0" fillId="0" borderId="1" xfId="4" applyNumberFormat="1" applyFont="1" applyBorder="1" applyAlignment="1">
      <alignment vertical="top" wrapText="1"/>
    </xf>
    <xf numFmtId="166" fontId="16" fillId="0" borderId="2" xfId="4" applyNumberFormat="1" applyFont="1" applyBorder="1" applyAlignment="1">
      <alignment horizontal="left" vertical="top"/>
    </xf>
    <xf numFmtId="166" fontId="8" fillId="0" borderId="3" xfId="4" applyNumberFormat="1" applyFont="1" applyBorder="1" applyAlignment="1">
      <alignment vertical="top"/>
    </xf>
    <xf numFmtId="166" fontId="8" fillId="0" borderId="4" xfId="4" applyNumberFormat="1" applyFont="1" applyBorder="1" applyAlignment="1">
      <alignment vertical="top"/>
    </xf>
    <xf numFmtId="166" fontId="2" fillId="0" borderId="2" xfId="4" applyNumberFormat="1" applyFont="1" applyBorder="1" applyAlignment="1">
      <alignment horizontal="left" vertical="top"/>
    </xf>
    <xf numFmtId="166" fontId="8" fillId="0" borderId="0" xfId="4" applyNumberFormat="1" applyFont="1" applyBorder="1" applyAlignment="1">
      <alignment vertical="top" wrapText="1"/>
    </xf>
    <xf numFmtId="166" fontId="0" fillId="0" borderId="4" xfId="4" applyNumberFormat="1" applyFont="1" applyBorder="1" applyAlignment="1">
      <alignment horizontal="left" vertical="top"/>
    </xf>
    <xf numFmtId="9" fontId="8" fillId="0" borderId="8" xfId="3" applyFont="1" applyBorder="1" applyAlignment="1">
      <alignment vertical="top"/>
    </xf>
    <xf numFmtId="166" fontId="0" fillId="0" borderId="6" xfId="4" applyNumberFormat="1" applyFont="1" applyBorder="1" applyAlignment="1">
      <alignment horizontal="left" vertical="top"/>
    </xf>
    <xf numFmtId="166" fontId="8" fillId="0" borderId="7" xfId="4" applyNumberFormat="1" applyFont="1" applyBorder="1" applyAlignment="1">
      <alignment horizontal="left" vertical="top"/>
    </xf>
    <xf numFmtId="166" fontId="0" fillId="0" borderId="7" xfId="4" applyNumberFormat="1" applyFont="1" applyBorder="1" applyAlignment="1">
      <alignment horizontal="left" vertical="top"/>
    </xf>
    <xf numFmtId="166" fontId="8" fillId="0" borderId="1" xfId="4" applyNumberFormat="1" applyFont="1" applyBorder="1" applyAlignment="1">
      <alignment vertical="top"/>
    </xf>
    <xf numFmtId="166" fontId="8" fillId="0" borderId="5" xfId="4" applyNumberFormat="1" applyFont="1" applyBorder="1" applyAlignment="1">
      <alignment vertical="top"/>
    </xf>
    <xf numFmtId="166" fontId="8" fillId="0" borderId="6" xfId="4" applyNumberFormat="1" applyFont="1" applyBorder="1" applyAlignment="1">
      <alignment vertical="top"/>
    </xf>
    <xf numFmtId="1" fontId="0" fillId="0" borderId="0" xfId="4" applyNumberFormat="1" applyFont="1" applyAlignment="1">
      <alignment horizontal="center" vertical="top" wrapText="1"/>
    </xf>
    <xf numFmtId="166" fontId="0" fillId="0" borderId="0" xfId="4" applyNumberFormat="1" applyFont="1" applyAlignment="1">
      <alignment horizontal="center" vertical="top" wrapText="1"/>
    </xf>
    <xf numFmtId="166" fontId="7" fillId="0" borderId="0" xfId="4" applyNumberFormat="1" applyFont="1" applyAlignment="1">
      <alignment horizontal="center" vertical="top" wrapText="1"/>
    </xf>
    <xf numFmtId="166" fontId="7" fillId="0" borderId="0" xfId="4" applyNumberFormat="1" applyFont="1" applyFill="1" applyAlignment="1">
      <alignment horizontal="center" vertical="top" wrapText="1"/>
    </xf>
    <xf numFmtId="9" fontId="7" fillId="0" borderId="0" xfId="3" applyFont="1" applyAlignment="1">
      <alignment horizontal="center" vertical="top" wrapText="1"/>
    </xf>
    <xf numFmtId="9" fontId="7" fillId="0" borderId="0" xfId="3" applyFont="1" applyFill="1" applyAlignment="1">
      <alignment horizontal="center" vertical="top" wrapText="1"/>
    </xf>
    <xf numFmtId="0" fontId="16"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16" fillId="0" borderId="7" xfId="0" applyFont="1" applyBorder="1" applyAlignment="1">
      <alignment vertical="top"/>
    </xf>
    <xf numFmtId="0" fontId="0" fillId="0" borderId="0" xfId="0" applyAlignment="1">
      <alignment vertical="top"/>
    </xf>
    <xf numFmtId="0" fontId="0" fillId="0" borderId="7" xfId="0" quotePrefix="1" applyBorder="1" applyAlignment="1">
      <alignment vertical="top"/>
    </xf>
    <xf numFmtId="0" fontId="0" fillId="0" borderId="8" xfId="0" applyBorder="1" applyAlignment="1">
      <alignment vertical="top"/>
    </xf>
    <xf numFmtId="0" fontId="0" fillId="0" borderId="7" xfId="0" applyBorder="1" applyAlignment="1">
      <alignment vertical="top"/>
    </xf>
    <xf numFmtId="9" fontId="0" fillId="0" borderId="0" xfId="3" applyFont="1" applyFill="1" applyBorder="1" applyAlignment="1">
      <alignment vertical="top"/>
    </xf>
    <xf numFmtId="9" fontId="0" fillId="0" borderId="7" xfId="3" applyFont="1" applyFill="1" applyBorder="1" applyAlignment="1">
      <alignment vertical="top"/>
    </xf>
    <xf numFmtId="9" fontId="0" fillId="0" borderId="8" xfId="3" applyFont="1" applyFill="1" applyBorder="1" applyAlignment="1">
      <alignment vertical="top"/>
    </xf>
    <xf numFmtId="0" fontId="0" fillId="0" borderId="5" xfId="0" applyBorder="1" applyAlignment="1">
      <alignment vertical="top"/>
    </xf>
    <xf numFmtId="9" fontId="0" fillId="0" borderId="1" xfId="3" applyFont="1" applyFill="1" applyBorder="1" applyAlignment="1">
      <alignment vertical="top"/>
    </xf>
    <xf numFmtId="0" fontId="0" fillId="0" borderId="1" xfId="0" applyBorder="1" applyAlignment="1">
      <alignment vertical="top"/>
    </xf>
    <xf numFmtId="0" fontId="0" fillId="0" borderId="6" xfId="0" applyBorder="1" applyAlignment="1">
      <alignment vertical="top"/>
    </xf>
    <xf numFmtId="0" fontId="19" fillId="0" borderId="0" xfId="0" applyFont="1" applyAlignment="1">
      <alignment vertical="center" wrapText="1"/>
    </xf>
    <xf numFmtId="0" fontId="0" fillId="0" borderId="0" xfId="0" applyAlignment="1">
      <alignment wrapText="1"/>
    </xf>
    <xf numFmtId="0" fontId="3" fillId="0" borderId="12" xfId="2" applyBorder="1"/>
    <xf numFmtId="0" fontId="0" fillId="0" borderId="12" xfId="0" applyBorder="1"/>
    <xf numFmtId="165" fontId="0" fillId="0" borderId="12" xfId="0" applyNumberFormat="1" applyBorder="1"/>
    <xf numFmtId="0" fontId="2" fillId="0" borderId="12" xfId="0" applyFont="1" applyBorder="1" applyAlignment="1">
      <alignment vertical="center" wrapText="1"/>
    </xf>
    <xf numFmtId="0" fontId="0" fillId="0" borderId="0" xfId="0" applyAlignment="1">
      <alignment vertical="center" wrapText="1"/>
    </xf>
    <xf numFmtId="0" fontId="27" fillId="0" borderId="0" xfId="0" applyFont="1" applyAlignment="1">
      <alignment vertical="center" wrapText="1"/>
    </xf>
    <xf numFmtId="0" fontId="5" fillId="0" borderId="0" xfId="0" applyFont="1" applyAlignment="1">
      <alignment wrapText="1"/>
    </xf>
    <xf numFmtId="0" fontId="29" fillId="0" borderId="0" xfId="0" applyFont="1"/>
    <xf numFmtId="166" fontId="8" fillId="0" borderId="0" xfId="4" applyNumberFormat="1" applyFont="1" applyFill="1" applyBorder="1" applyAlignment="1">
      <alignment vertical="top"/>
    </xf>
    <xf numFmtId="0" fontId="8" fillId="0" borderId="0" xfId="0" applyFont="1" applyAlignment="1">
      <alignment wrapText="1"/>
    </xf>
    <xf numFmtId="0" fontId="9" fillId="0" borderId="0" xfId="0" applyFont="1"/>
    <xf numFmtId="0" fontId="30" fillId="0" borderId="0" xfId="0" applyFont="1"/>
    <xf numFmtId="0" fontId="23" fillId="0" borderId="0" xfId="0" applyFont="1"/>
    <xf numFmtId="0" fontId="24" fillId="0" borderId="0" xfId="0" applyFont="1"/>
    <xf numFmtId="0" fontId="24" fillId="0" borderId="0" xfId="0" applyFont="1" applyAlignment="1">
      <alignment vertical="top"/>
    </xf>
    <xf numFmtId="0" fontId="25" fillId="0" borderId="0" xfId="0" applyFont="1" applyAlignment="1">
      <alignment horizontal="left" vertical="center"/>
    </xf>
    <xf numFmtId="0" fontId="8" fillId="0" borderId="0" xfId="0" applyFont="1"/>
    <xf numFmtId="0" fontId="28" fillId="0" borderId="0" xfId="0" applyFont="1" applyAlignment="1">
      <alignment vertical="center" wrapText="1"/>
    </xf>
    <xf numFmtId="0" fontId="19" fillId="0" borderId="0" xfId="0" applyFont="1" applyAlignment="1">
      <alignment horizontal="center" vertical="center" wrapText="1"/>
    </xf>
    <xf numFmtId="0" fontId="27" fillId="0" borderId="0" xfId="0" applyFont="1" applyAlignment="1">
      <alignment horizontal="center" vertical="center" wrapText="1"/>
    </xf>
    <xf numFmtId="0" fontId="5" fillId="0" borderId="0" xfId="0" applyFont="1" applyAlignment="1">
      <alignment horizontal="center" wrapText="1"/>
    </xf>
    <xf numFmtId="0" fontId="0" fillId="0" borderId="0" xfId="0" applyAlignment="1">
      <alignment horizontal="center" wrapText="1"/>
    </xf>
    <xf numFmtId="164" fontId="8" fillId="0" borderId="0" xfId="4" applyFont="1" applyFill="1" applyBorder="1" applyAlignment="1">
      <alignment vertical="center"/>
    </xf>
    <xf numFmtId="164" fontId="9" fillId="0" borderId="0" xfId="0" applyNumberFormat="1" applyFont="1" applyAlignment="1">
      <alignment vertical="center" wrapText="1"/>
    </xf>
    <xf numFmtId="164" fontId="9" fillId="0" borderId="0" xfId="0" applyNumberFormat="1" applyFont="1" applyAlignment="1">
      <alignment wrapText="1"/>
    </xf>
    <xf numFmtId="164" fontId="8" fillId="0" borderId="0" xfId="4" applyFont="1" applyFill="1" applyBorder="1" applyAlignment="1">
      <alignment vertical="top"/>
    </xf>
    <xf numFmtId="164" fontId="9" fillId="0" borderId="0" xfId="4" applyFont="1" applyFill="1" applyBorder="1" applyAlignment="1">
      <alignment vertical="top" wrapText="1"/>
    </xf>
    <xf numFmtId="164" fontId="31" fillId="0" borderId="0" xfId="1" applyNumberFormat="1" applyFont="1" applyFill="1" applyBorder="1" applyAlignment="1">
      <alignment vertical="top"/>
    </xf>
    <xf numFmtId="164" fontId="9" fillId="0" borderId="0" xfId="4" applyFont="1" applyFill="1" applyBorder="1" applyAlignment="1">
      <alignment vertical="top"/>
    </xf>
    <xf numFmtId="164" fontId="31" fillId="0" borderId="0" xfId="1" applyNumberFormat="1" applyFont="1" applyFill="1" applyBorder="1" applyAlignment="1">
      <alignment vertical="top" wrapText="1"/>
    </xf>
    <xf numFmtId="164" fontId="8" fillId="0" borderId="0" xfId="0" applyNumberFormat="1" applyFont="1" applyAlignment="1">
      <alignment wrapText="1"/>
    </xf>
    <xf numFmtId="0" fontId="34" fillId="0" borderId="0" xfId="0" applyFont="1"/>
    <xf numFmtId="0" fontId="0" fillId="0" borderId="15" xfId="0" applyBorder="1"/>
    <xf numFmtId="0" fontId="0" fillId="0" borderId="15" xfId="0" applyBorder="1" applyAlignment="1">
      <alignment wrapText="1"/>
    </xf>
    <xf numFmtId="0" fontId="21" fillId="0" borderId="28" xfId="0" applyFont="1" applyBorder="1"/>
    <xf numFmtId="0" fontId="0" fillId="0" borderId="28" xfId="0" applyBorder="1"/>
    <xf numFmtId="0" fontId="24" fillId="0" borderId="30" xfId="0" applyFont="1" applyBorder="1"/>
    <xf numFmtId="0" fontId="21" fillId="0" borderId="31" xfId="0" applyFont="1" applyBorder="1"/>
    <xf numFmtId="0" fontId="0" fillId="0" borderId="16" xfId="0" applyBorder="1" applyAlignment="1">
      <alignment vertical="center" wrapText="1"/>
    </xf>
    <xf numFmtId="0" fontId="16" fillId="0" borderId="32" xfId="0" applyFont="1" applyBorder="1" applyAlignment="1">
      <alignment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6" fillId="0" borderId="13" xfId="0" applyFont="1" applyBorder="1" applyAlignment="1">
      <alignment wrapText="1"/>
    </xf>
    <xf numFmtId="0" fontId="16" fillId="0" borderId="13" xfId="0" applyFont="1" applyBorder="1" applyAlignment="1">
      <alignment vertical="center" wrapText="1"/>
    </xf>
    <xf numFmtId="0" fontId="29" fillId="0" borderId="14" xfId="0" applyFont="1" applyBorder="1"/>
    <xf numFmtId="0" fontId="2" fillId="0" borderId="33" xfId="0" applyFont="1" applyBorder="1" applyAlignment="1">
      <alignment horizontal="center" vertical="center" wrapText="1"/>
    </xf>
    <xf numFmtId="164" fontId="9" fillId="0" borderId="15" xfId="0" applyNumberFormat="1" applyFont="1" applyBorder="1" applyAlignment="1">
      <alignment wrapText="1"/>
    </xf>
    <xf numFmtId="164" fontId="8" fillId="0" borderId="15" xfId="4" applyFont="1" applyFill="1" applyBorder="1" applyAlignment="1">
      <alignment vertical="top" wrapText="1"/>
    </xf>
    <xf numFmtId="164" fontId="8" fillId="0" borderId="15" xfId="4" applyFont="1" applyFill="1" applyBorder="1" applyAlignment="1">
      <alignment vertical="top"/>
    </xf>
    <xf numFmtId="0" fontId="29" fillId="0" borderId="15" xfId="0" applyFont="1" applyBorder="1"/>
    <xf numFmtId="164" fontId="8" fillId="0" borderId="15" xfId="0" applyNumberFormat="1" applyFont="1" applyBorder="1" applyAlignment="1">
      <alignment wrapText="1"/>
    </xf>
    <xf numFmtId="0" fontId="8" fillId="0" borderId="15" xfId="0" applyFont="1" applyBorder="1" applyAlignment="1">
      <alignment wrapText="1"/>
    </xf>
    <xf numFmtId="0" fontId="29" fillId="0" borderId="15" xfId="0" applyFont="1" applyBorder="1" applyAlignment="1">
      <alignment wrapText="1"/>
    </xf>
    <xf numFmtId="164" fontId="9" fillId="0" borderId="15" xfId="4" applyFont="1" applyFill="1" applyBorder="1" applyAlignment="1">
      <alignment vertical="top"/>
    </xf>
    <xf numFmtId="0" fontId="30" fillId="0" borderId="15" xfId="0" applyFont="1" applyBorder="1"/>
    <xf numFmtId="166" fontId="36" fillId="0" borderId="15" xfId="4" applyNumberFormat="1" applyFont="1" applyFill="1" applyBorder="1" applyAlignment="1">
      <alignment vertical="top"/>
    </xf>
    <xf numFmtId="0" fontId="36" fillId="0" borderId="15" xfId="0" applyFont="1" applyBorder="1"/>
    <xf numFmtId="0" fontId="8" fillId="0" borderId="15" xfId="0" applyFont="1" applyBorder="1"/>
    <xf numFmtId="0" fontId="34" fillId="0" borderId="15" xfId="0" applyFont="1" applyBorder="1"/>
    <xf numFmtId="166" fontId="8" fillId="0" borderId="15" xfId="4" applyNumberFormat="1" applyFont="1" applyFill="1" applyBorder="1" applyAlignment="1">
      <alignment vertical="top"/>
    </xf>
    <xf numFmtId="166" fontId="8" fillId="0" borderId="15" xfId="4" applyNumberFormat="1" applyFont="1" applyFill="1" applyBorder="1" applyAlignment="1">
      <alignment vertical="top" wrapText="1"/>
    </xf>
    <xf numFmtId="164" fontId="35" fillId="0" borderId="15" xfId="4" applyFont="1" applyFill="1" applyBorder="1" applyAlignment="1">
      <alignment vertical="top"/>
    </xf>
    <xf numFmtId="0" fontId="37" fillId="0" borderId="35" xfId="0" applyFont="1" applyBorder="1"/>
    <xf numFmtId="0" fontId="29" fillId="0" borderId="28" xfId="0" applyFont="1" applyBorder="1"/>
    <xf numFmtId="0" fontId="8" fillId="0" borderId="35" xfId="0" applyFont="1" applyBorder="1"/>
    <xf numFmtId="0" fontId="0" fillId="0" borderId="31" xfId="0" applyBorder="1"/>
    <xf numFmtId="0" fontId="0" fillId="0" borderId="36" xfId="0" applyBorder="1"/>
    <xf numFmtId="0" fontId="0" fillId="0" borderId="36" xfId="0" applyBorder="1" applyAlignment="1">
      <alignment wrapText="1"/>
    </xf>
    <xf numFmtId="164" fontId="9" fillId="0" borderId="36" xfId="0" applyNumberFormat="1" applyFont="1" applyBorder="1" applyAlignment="1">
      <alignment wrapText="1"/>
    </xf>
    <xf numFmtId="0" fontId="9" fillId="0" borderId="36" xfId="0" applyFont="1" applyBorder="1"/>
    <xf numFmtId="0" fontId="0" fillId="0" borderId="13" xfId="0" applyBorder="1"/>
    <xf numFmtId="0" fontId="2" fillId="0" borderId="34" xfId="0" applyFont="1" applyBorder="1" applyAlignment="1">
      <alignment vertical="center" wrapText="1"/>
    </xf>
    <xf numFmtId="0" fontId="16" fillId="0" borderId="29" xfId="0" applyFont="1" applyBorder="1" applyAlignment="1">
      <alignment horizontal="center" vertical="center"/>
    </xf>
    <xf numFmtId="0" fontId="38" fillId="0" borderId="29" xfId="0" applyFont="1" applyBorder="1" applyAlignment="1">
      <alignment horizontal="center"/>
    </xf>
    <xf numFmtId="164" fontId="9" fillId="0" borderId="6" xfId="0" applyNumberFormat="1" applyFont="1" applyBorder="1" applyAlignment="1">
      <alignment wrapText="1"/>
    </xf>
    <xf numFmtId="164" fontId="8" fillId="0" borderId="11" xfId="4" applyFont="1" applyFill="1" applyBorder="1" applyAlignment="1">
      <alignment vertical="top" wrapText="1"/>
    </xf>
    <xf numFmtId="0" fontId="8" fillId="0" borderId="11" xfId="0" applyFont="1" applyBorder="1" applyAlignment="1">
      <alignment wrapText="1"/>
    </xf>
    <xf numFmtId="164" fontId="8" fillId="0" borderId="11" xfId="4" applyFont="1" applyFill="1" applyBorder="1" applyAlignment="1">
      <alignment vertical="top"/>
    </xf>
    <xf numFmtId="164" fontId="9" fillId="0" borderId="11" xfId="4" applyFont="1" applyFill="1" applyBorder="1" applyAlignment="1">
      <alignment vertical="top"/>
    </xf>
    <xf numFmtId="166" fontId="36" fillId="0" borderId="11" xfId="4" applyNumberFormat="1" applyFont="1" applyFill="1" applyBorder="1" applyAlignment="1">
      <alignment vertical="top"/>
    </xf>
    <xf numFmtId="164" fontId="9" fillId="0" borderId="11" xfId="0" applyNumberFormat="1" applyFont="1" applyBorder="1" applyAlignment="1">
      <alignment wrapText="1"/>
    </xf>
    <xf numFmtId="166" fontId="8" fillId="0" borderId="11" xfId="4" applyNumberFormat="1" applyFont="1" applyFill="1" applyBorder="1" applyAlignment="1">
      <alignment vertical="top"/>
    </xf>
    <xf numFmtId="164" fontId="35" fillId="0" borderId="11" xfId="4" applyFont="1" applyFill="1" applyBorder="1" applyAlignment="1">
      <alignment vertical="top"/>
    </xf>
    <xf numFmtId="0" fontId="2" fillId="0" borderId="32" xfId="0" applyFont="1" applyBorder="1" applyAlignment="1">
      <alignment horizontal="center" wrapText="1"/>
    </xf>
    <xf numFmtId="165" fontId="16" fillId="0" borderId="37" xfId="0" applyNumberFormat="1" applyFont="1" applyBorder="1" applyAlignment="1">
      <alignment horizontal="center"/>
    </xf>
    <xf numFmtId="0" fontId="26" fillId="0" borderId="38" xfId="0" applyFont="1" applyBorder="1"/>
    <xf numFmtId="165" fontId="16" fillId="0" borderId="29" xfId="0" applyNumberFormat="1" applyFont="1" applyBorder="1" applyAlignment="1">
      <alignment horizontal="center"/>
    </xf>
    <xf numFmtId="0" fontId="26" fillId="0" borderId="30" xfId="0" applyFont="1" applyBorder="1"/>
    <xf numFmtId="0" fontId="33" fillId="0" borderId="30" xfId="0" applyFont="1" applyBorder="1"/>
    <xf numFmtId="165" fontId="16" fillId="0" borderId="39" xfId="0" applyNumberFormat="1" applyFont="1" applyBorder="1" applyAlignment="1">
      <alignment horizontal="center"/>
    </xf>
    <xf numFmtId="0" fontId="8" fillId="0" borderId="41" xfId="0" applyFont="1" applyBorder="1"/>
    <xf numFmtId="0" fontId="8" fillId="0" borderId="41" xfId="0" applyFont="1" applyBorder="1" applyAlignment="1">
      <alignment wrapText="1"/>
    </xf>
    <xf numFmtId="0" fontId="26" fillId="0" borderId="40" xfId="0" applyFont="1" applyBorder="1"/>
    <xf numFmtId="0" fontId="0" fillId="0" borderId="42" xfId="0" applyBorder="1"/>
    <xf numFmtId="0" fontId="0" fillId="0" borderId="21" xfId="0" applyBorder="1"/>
    <xf numFmtId="0" fontId="29" fillId="0" borderId="21" xfId="0" applyFont="1" applyBorder="1"/>
    <xf numFmtId="0" fontId="8" fillId="0" borderId="21" xfId="0" applyFont="1" applyBorder="1"/>
    <xf numFmtId="0" fontId="0" fillId="0" borderId="43" xfId="0" applyBorder="1"/>
    <xf numFmtId="0" fontId="8" fillId="0" borderId="44" xfId="0" applyFont="1" applyBorder="1"/>
    <xf numFmtId="0" fontId="8" fillId="0" borderId="17" xfId="0" applyFont="1" applyBorder="1"/>
    <xf numFmtId="0" fontId="34" fillId="0" borderId="17" xfId="0" applyFont="1" applyBorder="1"/>
    <xf numFmtId="0" fontId="8" fillId="0" borderId="18" xfId="0" applyFont="1" applyBorder="1"/>
    <xf numFmtId="0" fontId="8" fillId="0" borderId="19" xfId="0" applyFont="1" applyBorder="1"/>
    <xf numFmtId="165" fontId="8" fillId="0" borderId="25" xfId="0" applyNumberFormat="1" applyFont="1" applyBorder="1" applyAlignment="1">
      <alignment horizontal="center"/>
    </xf>
    <xf numFmtId="0" fontId="26" fillId="0" borderId="46" xfId="0" applyFont="1" applyBorder="1"/>
    <xf numFmtId="0" fontId="29" fillId="0" borderId="0" xfId="0" applyFont="1" applyAlignment="1">
      <alignment wrapText="1"/>
    </xf>
    <xf numFmtId="0" fontId="32" fillId="0" borderId="46" xfId="0" applyFont="1" applyBorder="1"/>
    <xf numFmtId="0" fontId="24" fillId="0" borderId="46" xfId="0" applyFont="1" applyBorder="1"/>
    <xf numFmtId="0" fontId="33" fillId="0" borderId="46" xfId="0" applyFont="1" applyBorder="1"/>
    <xf numFmtId="165" fontId="8" fillId="0" borderId="26" xfId="0" applyNumberFormat="1" applyFont="1" applyBorder="1" applyAlignment="1">
      <alignment horizontal="center"/>
    </xf>
    <xf numFmtId="0" fontId="0" fillId="0" borderId="27" xfId="0" applyBorder="1"/>
    <xf numFmtId="0" fontId="0" fillId="0" borderId="27" xfId="0" applyBorder="1" applyAlignment="1">
      <alignment wrapText="1"/>
    </xf>
    <xf numFmtId="0" fontId="24" fillId="0" borderId="47" xfId="0" applyFont="1" applyBorder="1"/>
    <xf numFmtId="0" fontId="2" fillId="0" borderId="16" xfId="0" applyFont="1" applyBorder="1" applyAlignment="1">
      <alignment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39" fillId="0" borderId="13" xfId="0" applyFont="1" applyBorder="1"/>
    <xf numFmtId="0" fontId="2" fillId="0" borderId="13" xfId="0" applyFont="1" applyBorder="1"/>
    <xf numFmtId="166" fontId="0" fillId="0" borderId="5" xfId="4" applyNumberFormat="1" applyFont="1" applyBorder="1" applyAlignment="1">
      <alignment horizontal="center" vertical="top" wrapText="1"/>
    </xf>
    <xf numFmtId="166" fontId="0" fillId="0" borderId="1" xfId="4" applyNumberFormat="1" applyFont="1" applyBorder="1" applyAlignment="1">
      <alignment horizontal="center" vertical="top" wrapText="1"/>
    </xf>
    <xf numFmtId="166" fontId="0" fillId="0" borderId="6" xfId="4" applyNumberFormat="1" applyFont="1" applyBorder="1" applyAlignment="1">
      <alignment horizontal="center" vertical="top" wrapText="1"/>
    </xf>
    <xf numFmtId="166" fontId="7" fillId="0" borderId="3" xfId="4" applyNumberFormat="1" applyFont="1" applyFill="1" applyBorder="1" applyAlignment="1">
      <alignment horizontal="center" vertical="top" wrapText="1"/>
    </xf>
    <xf numFmtId="166" fontId="0" fillId="0" borderId="2" xfId="4" applyNumberFormat="1" applyFont="1" applyBorder="1" applyAlignment="1">
      <alignment horizontal="center" vertical="top"/>
    </xf>
    <xf numFmtId="166" fontId="0" fillId="0" borderId="3" xfId="4" applyNumberFormat="1" applyFont="1" applyBorder="1" applyAlignment="1">
      <alignment horizontal="center" vertical="top"/>
    </xf>
    <xf numFmtId="166" fontId="0" fillId="0" borderId="7" xfId="4" applyNumberFormat="1" applyFont="1" applyBorder="1" applyAlignment="1">
      <alignment horizontal="center" vertical="top"/>
    </xf>
    <xf numFmtId="166" fontId="0" fillId="0" borderId="0" xfId="4" applyNumberFormat="1" applyFont="1" applyBorder="1" applyAlignment="1">
      <alignment horizontal="center" vertical="top"/>
    </xf>
    <xf numFmtId="166" fontId="0" fillId="0" borderId="5" xfId="4" applyNumberFormat="1" applyFont="1" applyBorder="1" applyAlignment="1">
      <alignment horizontal="center" vertical="top"/>
    </xf>
    <xf numFmtId="166" fontId="0" fillId="0" borderId="1" xfId="4" applyNumberFormat="1" applyFont="1" applyBorder="1" applyAlignment="1">
      <alignment horizontal="center" vertical="top"/>
    </xf>
    <xf numFmtId="166" fontId="0" fillId="0" borderId="0" xfId="4" applyNumberFormat="1" applyFont="1" applyBorder="1" applyAlignment="1">
      <alignment horizontal="center" vertical="top" wrapText="1"/>
    </xf>
    <xf numFmtId="0" fontId="2" fillId="0" borderId="0" xfId="0" applyFont="1" applyAlignment="1">
      <alignment wrapText="1"/>
    </xf>
    <xf numFmtId="0" fontId="10" fillId="0" borderId="18" xfId="0" applyFont="1" applyBorder="1"/>
    <xf numFmtId="0" fontId="8" fillId="0" borderId="45" xfId="0" applyFont="1" applyBorder="1"/>
    <xf numFmtId="0" fontId="34" fillId="0" borderId="18" xfId="0" applyFont="1" applyBorder="1"/>
    <xf numFmtId="0" fontId="8" fillId="0" borderId="20" xfId="0" applyFont="1" applyBorder="1"/>
    <xf numFmtId="0" fontId="42" fillId="0" borderId="30" xfId="0" applyFont="1" applyBorder="1"/>
    <xf numFmtId="0" fontId="41" fillId="0" borderId="17" xfId="0" applyFont="1" applyBorder="1" applyAlignment="1">
      <alignment horizontal="center"/>
    </xf>
    <xf numFmtId="0" fontId="16" fillId="0" borderId="17" xfId="0" applyFont="1" applyBorder="1" applyAlignment="1">
      <alignment horizontal="center"/>
    </xf>
    <xf numFmtId="0" fontId="38" fillId="0" borderId="17" xfId="0" applyFont="1" applyBorder="1" applyAlignment="1">
      <alignment horizontal="center"/>
    </xf>
    <xf numFmtId="0" fontId="16" fillId="0" borderId="19" xfId="0" applyFont="1" applyBorder="1" applyAlignment="1">
      <alignment horizontal="center"/>
    </xf>
    <xf numFmtId="0" fontId="43" fillId="0" borderId="0" xfId="0" applyFont="1" applyAlignment="1">
      <alignment horizontal="center" vertical="center"/>
    </xf>
    <xf numFmtId="0" fontId="43" fillId="0" borderId="0" xfId="0" applyFont="1" applyAlignment="1">
      <alignment horizontal="center" vertical="center" wrapText="1"/>
    </xf>
    <xf numFmtId="0" fontId="2" fillId="0" borderId="48" xfId="0" applyFont="1" applyBorder="1" applyAlignment="1">
      <alignment vertical="center" wrapText="1"/>
    </xf>
    <xf numFmtId="0" fontId="3" fillId="0" borderId="49" xfId="2" applyBorder="1"/>
    <xf numFmtId="0" fontId="3" fillId="0" borderId="50" xfId="2" applyBorder="1"/>
    <xf numFmtId="0" fontId="22" fillId="5" borderId="15" xfId="0" applyFont="1" applyFill="1" applyBorder="1" applyAlignment="1">
      <alignment wrapText="1"/>
    </xf>
    <xf numFmtId="0" fontId="20" fillId="0" borderId="51" xfId="0" applyFont="1" applyBorder="1"/>
    <xf numFmtId="0" fontId="20" fillId="0" borderId="52" xfId="0" applyFont="1" applyBorder="1"/>
    <xf numFmtId="0" fontId="20" fillId="0" borderId="53" xfId="0" applyFont="1" applyBorder="1"/>
    <xf numFmtId="0" fontId="22" fillId="5" borderId="29" xfId="0" applyFont="1" applyFill="1" applyBorder="1" applyAlignment="1">
      <alignment wrapText="1"/>
    </xf>
    <xf numFmtId="0" fontId="22" fillId="5" borderId="30" xfId="0" applyFont="1" applyFill="1" applyBorder="1" applyAlignment="1">
      <alignment wrapText="1"/>
    </xf>
    <xf numFmtId="0" fontId="22" fillId="5" borderId="39" xfId="0" applyFont="1" applyFill="1" applyBorder="1" applyAlignment="1">
      <alignment wrapText="1"/>
    </xf>
    <xf numFmtId="0" fontId="22" fillId="5" borderId="41" xfId="0" applyFont="1" applyFill="1" applyBorder="1" applyAlignment="1">
      <alignment wrapText="1"/>
    </xf>
    <xf numFmtId="0" fontId="22" fillId="5" borderId="40" xfId="0" applyFont="1" applyFill="1" applyBorder="1" applyAlignment="1">
      <alignment wrapText="1"/>
    </xf>
    <xf numFmtId="0" fontId="44" fillId="0" borderId="0" xfId="0" applyFont="1"/>
    <xf numFmtId="0" fontId="0" fillId="0" borderId="0" xfId="0" applyAlignment="1">
      <alignment vertical="center"/>
    </xf>
    <xf numFmtId="0" fontId="44" fillId="0" borderId="0" xfId="0" applyFont="1" applyAlignment="1">
      <alignment wrapText="1"/>
    </xf>
    <xf numFmtId="0" fontId="45" fillId="0" borderId="0" xfId="0" applyFont="1"/>
    <xf numFmtId="0" fontId="44" fillId="0" borderId="0" xfId="0" applyFont="1" applyAlignment="1">
      <alignment vertical="center" wrapText="1"/>
    </xf>
    <xf numFmtId="0" fontId="44" fillId="0" borderId="0" xfId="0" applyFont="1" applyAlignment="1">
      <alignment vertical="center"/>
    </xf>
    <xf numFmtId="0" fontId="50" fillId="0" borderId="0" xfId="0" applyFont="1"/>
    <xf numFmtId="0" fontId="50" fillId="0" borderId="0" xfId="0" applyFont="1" applyAlignment="1">
      <alignment vertical="center"/>
    </xf>
    <xf numFmtId="0" fontId="20" fillId="0" borderId="0" xfId="0" applyFont="1" applyAlignment="1">
      <alignment vertical="center" wrapText="1"/>
    </xf>
    <xf numFmtId="0" fontId="44" fillId="0" borderId="54" xfId="0" applyFont="1" applyBorder="1" applyAlignment="1">
      <alignment wrapText="1"/>
    </xf>
    <xf numFmtId="0" fontId="20" fillId="0" borderId="58" xfId="0" applyFont="1" applyBorder="1" applyAlignment="1">
      <alignment vertical="center" wrapText="1"/>
    </xf>
    <xf numFmtId="0" fontId="44" fillId="0" borderId="59" xfId="0" applyFont="1" applyBorder="1" applyAlignment="1">
      <alignment vertical="center"/>
    </xf>
    <xf numFmtId="0" fontId="49" fillId="0" borderId="59" xfId="0" applyFont="1" applyBorder="1" applyAlignment="1">
      <alignment vertical="center"/>
    </xf>
    <xf numFmtId="0" fontId="44" fillId="0" borderId="61" xfId="0" applyFont="1" applyBorder="1" applyAlignment="1">
      <alignment vertical="center"/>
    </xf>
    <xf numFmtId="0" fontId="20" fillId="0" borderId="55" xfId="0" applyFont="1" applyBorder="1" applyAlignment="1">
      <alignment vertical="center" wrapText="1"/>
    </xf>
    <xf numFmtId="0" fontId="44" fillId="0" borderId="56" xfId="0" applyFont="1" applyBorder="1"/>
    <xf numFmtId="0" fontId="44" fillId="0" borderId="56" xfId="0" applyFont="1" applyBorder="1" applyAlignment="1">
      <alignment wrapText="1"/>
    </xf>
    <xf numFmtId="0" fontId="49" fillId="0" borderId="56" xfId="0" applyFont="1" applyBorder="1"/>
    <xf numFmtId="0" fontId="49" fillId="0" borderId="57" xfId="0" applyFont="1" applyBorder="1"/>
    <xf numFmtId="0" fontId="20" fillId="0" borderId="63" xfId="0" applyFont="1" applyBorder="1" applyAlignment="1">
      <alignment vertical="center" wrapText="1"/>
    </xf>
    <xf numFmtId="0" fontId="44" fillId="0" borderId="64" xfId="0" applyFont="1" applyBorder="1"/>
    <xf numFmtId="0" fontId="20" fillId="0" borderId="65" xfId="0" applyFont="1" applyBorder="1" applyAlignment="1">
      <alignment vertical="center" wrapText="1"/>
    </xf>
    <xf numFmtId="0" fontId="46" fillId="0" borderId="66" xfId="0" applyFont="1" applyBorder="1" applyAlignment="1">
      <alignment horizontal="left" vertical="center" wrapText="1"/>
    </xf>
    <xf numFmtId="0" fontId="46" fillId="0" borderId="67" xfId="0" applyFont="1" applyBorder="1" applyAlignment="1">
      <alignment horizontal="left" vertical="center" wrapText="1"/>
    </xf>
    <xf numFmtId="0" fontId="20" fillId="0" borderId="68" xfId="0" applyFont="1" applyBorder="1" applyAlignment="1">
      <alignment vertical="center" wrapText="1"/>
    </xf>
    <xf numFmtId="0" fontId="47" fillId="0" borderId="69" xfId="0" applyFont="1" applyBorder="1" applyAlignment="1">
      <alignment vertical="center" wrapText="1"/>
    </xf>
    <xf numFmtId="0" fontId="44" fillId="0" borderId="59" xfId="0" applyFont="1" applyBorder="1"/>
    <xf numFmtId="0" fontId="48" fillId="0" borderId="60" xfId="0" applyFont="1" applyBorder="1"/>
    <xf numFmtId="0" fontId="44" fillId="0" borderId="61" xfId="0" applyFont="1" applyBorder="1"/>
    <xf numFmtId="0" fontId="44" fillId="0" borderId="70" xfId="0" applyFont="1" applyBorder="1" applyAlignment="1">
      <alignment wrapText="1"/>
    </xf>
    <xf numFmtId="0" fontId="48" fillId="0" borderId="62" xfId="0" applyFont="1" applyBorder="1"/>
    <xf numFmtId="0" fontId="44" fillId="0" borderId="64" xfId="0" applyFont="1" applyBorder="1" applyAlignment="1">
      <alignment vertical="center"/>
    </xf>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166" fontId="0" fillId="0" borderId="2" xfId="4" applyNumberFormat="1" applyFont="1" applyBorder="1" applyAlignment="1">
      <alignment horizontal="center" vertical="top"/>
    </xf>
    <xf numFmtId="166" fontId="0" fillId="0" borderId="3" xfId="4" applyNumberFormat="1" applyFont="1" applyBorder="1" applyAlignment="1">
      <alignment horizontal="center" vertical="top"/>
    </xf>
    <xf numFmtId="166" fontId="0" fillId="0" borderId="7" xfId="4" applyNumberFormat="1" applyFont="1" applyBorder="1" applyAlignment="1">
      <alignment horizontal="center" vertical="top"/>
    </xf>
    <xf numFmtId="166" fontId="0" fillId="0" borderId="0" xfId="4" applyNumberFormat="1" applyFont="1" applyBorder="1" applyAlignment="1">
      <alignment horizontal="center" vertical="top"/>
    </xf>
    <xf numFmtId="166" fontId="0" fillId="0" borderId="5" xfId="4" applyNumberFormat="1" applyFont="1" applyBorder="1" applyAlignment="1">
      <alignment horizontal="center" vertical="top"/>
    </xf>
    <xf numFmtId="166" fontId="0" fillId="0" borderId="1" xfId="4" applyNumberFormat="1" applyFont="1" applyBorder="1" applyAlignment="1">
      <alignment horizontal="center" vertical="top"/>
    </xf>
    <xf numFmtId="166" fontId="0" fillId="0" borderId="2" xfId="4" applyNumberFormat="1" applyFont="1" applyBorder="1" applyAlignment="1">
      <alignment horizontal="center" vertical="top" wrapText="1"/>
    </xf>
    <xf numFmtId="166" fontId="0" fillId="0" borderId="3" xfId="4" applyNumberFormat="1" applyFont="1" applyBorder="1" applyAlignment="1">
      <alignment horizontal="center" vertical="top" wrapText="1"/>
    </xf>
    <xf numFmtId="166" fontId="0" fillId="0" borderId="5" xfId="4" applyNumberFormat="1" applyFont="1" applyBorder="1" applyAlignment="1">
      <alignment horizontal="center" vertical="top" wrapText="1"/>
    </xf>
    <xf numFmtId="166" fontId="0" fillId="0" borderId="1" xfId="4" applyNumberFormat="1" applyFont="1" applyBorder="1" applyAlignment="1">
      <alignment horizontal="center" vertical="top" wrapText="1"/>
    </xf>
    <xf numFmtId="166" fontId="0" fillId="0" borderId="7" xfId="4" applyNumberFormat="1" applyFont="1" applyBorder="1" applyAlignment="1">
      <alignment horizontal="center" vertical="top" wrapText="1"/>
    </xf>
    <xf numFmtId="166" fontId="0" fillId="0" borderId="0" xfId="4" applyNumberFormat="1" applyFont="1" applyBorder="1" applyAlignment="1">
      <alignment horizontal="center" vertical="top" wrapText="1"/>
    </xf>
    <xf numFmtId="0" fontId="0" fillId="0" borderId="7" xfId="0" applyBorder="1" applyAlignment="1">
      <alignment horizontal="center" vertical="top"/>
    </xf>
    <xf numFmtId="0" fontId="0" fillId="0" borderId="0" xfId="0" applyAlignment="1">
      <alignment horizontal="center" vertical="top"/>
    </xf>
    <xf numFmtId="0" fontId="0" fillId="0" borderId="8" xfId="0" applyBorder="1" applyAlignment="1">
      <alignment horizontal="center" vertical="top"/>
    </xf>
    <xf numFmtId="9" fontId="8" fillId="0" borderId="3" xfId="3" applyFont="1" applyBorder="1" applyAlignment="1">
      <alignment horizontal="center" vertical="top" wrapText="1"/>
    </xf>
    <xf numFmtId="9" fontId="8" fillId="0" borderId="4" xfId="3" applyFont="1" applyBorder="1" applyAlignment="1">
      <alignment horizontal="center" vertical="top" wrapText="1"/>
    </xf>
    <xf numFmtId="166" fontId="0" fillId="0" borderId="4" xfId="4" applyNumberFormat="1"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1" xfId="0" applyBorder="1" applyAlignment="1">
      <alignment horizontal="center" vertical="top" wrapText="1"/>
    </xf>
    <xf numFmtId="166" fontId="8" fillId="0" borderId="3" xfId="4" applyNumberFormat="1" applyFont="1" applyFill="1" applyBorder="1" applyAlignment="1">
      <alignment horizontal="center" vertical="top" wrapText="1"/>
    </xf>
    <xf numFmtId="166" fontId="7" fillId="0" borderId="3" xfId="4" applyNumberFormat="1" applyFont="1" applyFill="1" applyBorder="1" applyAlignment="1">
      <alignment horizontal="center" vertical="top" wrapText="1"/>
    </xf>
    <xf numFmtId="0" fontId="2" fillId="0" borderId="1" xfId="4" applyNumberFormat="1" applyFont="1" applyBorder="1" applyAlignment="1">
      <alignment horizontal="left" vertical="top" wrapText="1"/>
    </xf>
    <xf numFmtId="1" fontId="0" fillId="0" borderId="3" xfId="4" applyNumberFormat="1" applyFont="1" applyBorder="1" applyAlignment="1">
      <alignment horizontal="center" vertical="top" wrapText="1"/>
    </xf>
    <xf numFmtId="1" fontId="0" fillId="0" borderId="1" xfId="4" applyNumberFormat="1" applyFont="1" applyBorder="1" applyAlignment="1">
      <alignment horizontal="center" vertical="top" wrapText="1"/>
    </xf>
    <xf numFmtId="166" fontId="0" fillId="0" borderId="6" xfId="4" applyNumberFormat="1" applyFont="1" applyBorder="1" applyAlignment="1">
      <alignment horizontal="center" vertical="top" wrapText="1"/>
    </xf>
  </cellXfs>
  <cellStyles count="5">
    <cellStyle name="Milliers" xfId="1" builtinId="3"/>
    <cellStyle name="Milliers 2" xfId="4"/>
    <cellStyle name="Normal" xfId="0" builtinId="0"/>
    <cellStyle name="Normal 4" xfId="2"/>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0</xdr:row>
      <xdr:rowOff>542925</xdr:rowOff>
    </xdr:from>
    <xdr:to>
      <xdr:col>0</xdr:col>
      <xdr:colOff>4206240</xdr:colOff>
      <xdr:row>0</xdr:row>
      <xdr:rowOff>836295</xdr:rowOff>
    </xdr:to>
    <xdr:pic>
      <xdr:nvPicPr>
        <xdr:cNvPr id="2" name="Picture 1" descr="CC0">
          <a:extLst>
            <a:ext uri="{FF2B5EF4-FFF2-40B4-BE49-F238E27FC236}">
              <a16:creationId xmlns:a16="http://schemas.microsoft.com/office/drawing/2014/main" xmlns="" id="{915DEE46-3AA4-4D0E-A711-BA4B554E1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4230" y="544830"/>
          <a:ext cx="838200" cy="293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0"/>
  <sheetViews>
    <sheetView tabSelected="1" zoomScaleNormal="100" workbookViewId="0">
      <selection activeCell="A2" sqref="A2"/>
    </sheetView>
  </sheetViews>
  <sheetFormatPr baseColWidth="10" defaultColWidth="11.42578125" defaultRowHeight="15" x14ac:dyDescent="0.25"/>
  <cols>
    <col min="1" max="1" width="136.28515625" customWidth="1"/>
  </cols>
  <sheetData>
    <row r="1" spans="1:1" x14ac:dyDescent="0.25">
      <c r="A1" s="403" t="s">
        <v>0</v>
      </c>
    </row>
    <row r="2" spans="1:1" x14ac:dyDescent="0.25">
      <c r="A2" s="272"/>
    </row>
    <row r="3" spans="1:1" x14ac:dyDescent="0.25">
      <c r="A3" s="272" t="s">
        <v>1</v>
      </c>
    </row>
    <row r="4" spans="1:1" ht="45" x14ac:dyDescent="0.25">
      <c r="A4" s="272" t="s">
        <v>2</v>
      </c>
    </row>
    <row r="5" spans="1:1" x14ac:dyDescent="0.25">
      <c r="A5" s="272" t="s">
        <v>3</v>
      </c>
    </row>
    <row r="6" spans="1:1" ht="30" x14ac:dyDescent="0.25">
      <c r="A6" s="272" t="s">
        <v>4</v>
      </c>
    </row>
    <row r="7" spans="1:1" ht="60" x14ac:dyDescent="0.25">
      <c r="A7" s="272" t="s">
        <v>5</v>
      </c>
    </row>
    <row r="8" spans="1:1" ht="30" x14ac:dyDescent="0.25">
      <c r="A8" s="272" t="s">
        <v>6</v>
      </c>
    </row>
    <row r="9" spans="1:1" ht="30" x14ac:dyDescent="0.25">
      <c r="A9" s="272" t="s">
        <v>7</v>
      </c>
    </row>
    <row r="10" spans="1:1" ht="30" x14ac:dyDescent="0.25">
      <c r="A10" s="272" t="s">
        <v>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110" zoomScaleNormal="110" workbookViewId="0">
      <selection activeCell="A23" sqref="A23"/>
    </sheetView>
  </sheetViews>
  <sheetFormatPr baseColWidth="10" defaultColWidth="11.42578125" defaultRowHeight="15" x14ac:dyDescent="0.25"/>
  <cols>
    <col min="1" max="1" width="44.5703125" customWidth="1"/>
    <col min="2" max="2" width="19.7109375" customWidth="1"/>
    <col min="3" max="3" width="21.28515625" customWidth="1"/>
    <col min="4" max="4" width="18.42578125" customWidth="1"/>
    <col min="5" max="5" width="17.28515625" customWidth="1"/>
    <col min="6" max="6" width="19.85546875" customWidth="1"/>
    <col min="7" max="7" width="19.28515625" customWidth="1"/>
    <col min="8" max="8" width="19.7109375" bestFit="1" customWidth="1"/>
  </cols>
  <sheetData>
    <row r="1" spans="1:8" s="277" customFormat="1" ht="33" x14ac:dyDescent="0.25">
      <c r="A1" s="276" t="s">
        <v>9</v>
      </c>
      <c r="B1" s="276"/>
      <c r="C1" s="276" t="s">
        <v>10</v>
      </c>
      <c r="D1" s="276" t="s">
        <v>11</v>
      </c>
      <c r="E1" s="276" t="s">
        <v>12</v>
      </c>
      <c r="F1" s="276" t="s">
        <v>13</v>
      </c>
      <c r="G1" s="276" t="s">
        <v>14</v>
      </c>
      <c r="H1" s="276" t="s">
        <v>15</v>
      </c>
    </row>
    <row r="2" spans="1:8" x14ac:dyDescent="0.25">
      <c r="A2" s="273" t="s">
        <v>16</v>
      </c>
      <c r="B2" s="273" t="s">
        <v>17</v>
      </c>
      <c r="C2" s="275">
        <v>2.9000000000000001E-2</v>
      </c>
      <c r="D2" s="273">
        <v>3.97</v>
      </c>
      <c r="E2" s="274" t="s">
        <v>18</v>
      </c>
      <c r="F2" s="273"/>
      <c r="G2" s="274"/>
      <c r="H2" s="274"/>
    </row>
    <row r="3" spans="1:8" x14ac:dyDescent="0.25">
      <c r="A3" s="273" t="s">
        <v>19</v>
      </c>
      <c r="B3" s="273" t="s">
        <v>17</v>
      </c>
      <c r="C3" s="275">
        <v>3.2000000000000001E-2</v>
      </c>
      <c r="D3" s="273">
        <v>4.18</v>
      </c>
      <c r="E3" s="274" t="s">
        <v>18</v>
      </c>
      <c r="F3" s="273"/>
      <c r="G3" s="274"/>
      <c r="H3" s="274"/>
    </row>
    <row r="4" spans="1:8" x14ac:dyDescent="0.25">
      <c r="A4" s="273" t="s">
        <v>20</v>
      </c>
      <c r="B4" s="273" t="s">
        <v>17</v>
      </c>
      <c r="C4" s="275">
        <v>0.10300000000000001</v>
      </c>
      <c r="D4" s="273">
        <v>4.99</v>
      </c>
      <c r="E4" s="274" t="s">
        <v>18</v>
      </c>
      <c r="F4" s="273"/>
      <c r="G4" s="274"/>
      <c r="H4" s="274"/>
    </row>
    <row r="5" spans="1:8" x14ac:dyDescent="0.25">
      <c r="A5" s="273" t="s">
        <v>21</v>
      </c>
      <c r="B5" s="273" t="s">
        <v>17</v>
      </c>
      <c r="C5" s="275">
        <v>3.9949999999999999E-2</v>
      </c>
      <c r="D5" s="273">
        <v>4.99</v>
      </c>
      <c r="E5" s="274" t="s">
        <v>18</v>
      </c>
      <c r="F5" s="273"/>
      <c r="G5" s="274"/>
      <c r="H5" s="274"/>
    </row>
    <row r="6" spans="1:8" x14ac:dyDescent="0.25">
      <c r="A6" s="273" t="s">
        <v>22</v>
      </c>
      <c r="B6" s="273" t="s">
        <v>17</v>
      </c>
      <c r="C6" s="275">
        <v>0.16600000000000001</v>
      </c>
      <c r="D6" s="273">
        <v>4.54</v>
      </c>
      <c r="E6" s="274" t="s">
        <v>18</v>
      </c>
      <c r="F6" s="273"/>
      <c r="G6" s="274"/>
      <c r="H6" s="274"/>
    </row>
    <row r="7" spans="1:8" x14ac:dyDescent="0.25">
      <c r="A7" s="273" t="s">
        <v>23</v>
      </c>
      <c r="B7" s="273" t="s">
        <v>17</v>
      </c>
      <c r="C7" s="275">
        <v>5.4000000000000006E-2</v>
      </c>
      <c r="D7" s="273">
        <v>4.54</v>
      </c>
      <c r="E7" s="274" t="s">
        <v>18</v>
      </c>
      <c r="F7" s="273"/>
      <c r="G7" s="274"/>
      <c r="H7" s="274"/>
    </row>
    <row r="8" spans="1:8" x14ac:dyDescent="0.25">
      <c r="A8" s="273" t="s">
        <v>24</v>
      </c>
      <c r="B8" s="273" t="s">
        <v>17</v>
      </c>
      <c r="C8" s="275">
        <v>6.1999999999999993E-2</v>
      </c>
      <c r="D8" s="273">
        <v>4.54</v>
      </c>
      <c r="E8" s="274" t="s">
        <v>18</v>
      </c>
      <c r="F8" s="273"/>
      <c r="G8" s="274"/>
      <c r="H8" s="274"/>
    </row>
    <row r="9" spans="1:8" x14ac:dyDescent="0.25">
      <c r="A9" s="273" t="s">
        <v>25</v>
      </c>
      <c r="B9" s="273" t="s">
        <v>17</v>
      </c>
      <c r="C9" s="275">
        <v>0.11</v>
      </c>
      <c r="D9" s="273">
        <v>4.51</v>
      </c>
      <c r="E9" s="274" t="s">
        <v>18</v>
      </c>
      <c r="F9" s="273"/>
      <c r="G9" s="274"/>
      <c r="H9" s="274"/>
    </row>
    <row r="10" spans="1:8" x14ac:dyDescent="0.25">
      <c r="A10" s="273" t="s">
        <v>26</v>
      </c>
      <c r="B10" s="273" t="s">
        <v>17</v>
      </c>
      <c r="C10" s="274">
        <v>0</v>
      </c>
      <c r="D10" s="273">
        <v>1.45</v>
      </c>
      <c r="E10" s="274" t="s">
        <v>27</v>
      </c>
      <c r="F10" s="274"/>
      <c r="G10" s="274"/>
      <c r="H10" s="274"/>
    </row>
    <row r="11" spans="1:8" x14ac:dyDescent="0.25">
      <c r="A11" s="273" t="s">
        <v>28</v>
      </c>
      <c r="B11" s="273" t="s">
        <v>17</v>
      </c>
      <c r="C11" s="274">
        <v>2.3E-2</v>
      </c>
      <c r="D11" s="273">
        <v>1.82</v>
      </c>
      <c r="E11" s="274" t="s">
        <v>27</v>
      </c>
      <c r="F11" s="274"/>
      <c r="G11" s="274"/>
      <c r="H11" s="274"/>
    </row>
    <row r="12" spans="1:8" x14ac:dyDescent="0.25">
      <c r="A12" s="273" t="s">
        <v>29</v>
      </c>
      <c r="B12" s="273" t="s">
        <v>17</v>
      </c>
      <c r="C12" s="274">
        <v>2.3E-2</v>
      </c>
      <c r="D12" s="273">
        <v>3.02</v>
      </c>
      <c r="E12" s="274" t="s">
        <v>27</v>
      </c>
      <c r="F12" s="274"/>
      <c r="G12" s="274"/>
      <c r="H12" s="274"/>
    </row>
    <row r="13" spans="1:8" x14ac:dyDescent="0.25">
      <c r="A13" s="273" t="s">
        <v>30</v>
      </c>
      <c r="B13" s="273" t="s">
        <v>17</v>
      </c>
      <c r="C13" s="274">
        <v>0</v>
      </c>
      <c r="D13" s="273">
        <v>1.45</v>
      </c>
      <c r="E13" s="274" t="s">
        <v>27</v>
      </c>
      <c r="F13" s="274"/>
      <c r="G13" s="274"/>
      <c r="H13" s="274"/>
    </row>
    <row r="14" spans="1:8" x14ac:dyDescent="0.25">
      <c r="A14" s="273" t="s">
        <v>31</v>
      </c>
      <c r="B14" s="273" t="s">
        <v>17</v>
      </c>
      <c r="C14" s="274">
        <v>0</v>
      </c>
      <c r="D14" s="273">
        <v>0.71</v>
      </c>
      <c r="E14" s="274" t="s">
        <v>32</v>
      </c>
      <c r="F14" s="274"/>
      <c r="G14" s="274"/>
      <c r="H14" s="274"/>
    </row>
    <row r="15" spans="1:8" x14ac:dyDescent="0.25">
      <c r="A15" s="273" t="s">
        <v>33</v>
      </c>
      <c r="B15" s="273" t="s">
        <v>17</v>
      </c>
      <c r="C15" s="274">
        <v>2.3E-2</v>
      </c>
      <c r="D15" s="273">
        <v>2.74</v>
      </c>
      <c r="E15" s="274" t="s">
        <v>32</v>
      </c>
      <c r="F15" s="274"/>
      <c r="G15" s="274"/>
      <c r="H15" s="274"/>
    </row>
    <row r="16" spans="1:8" x14ac:dyDescent="0.25">
      <c r="A16" s="273" t="s">
        <v>34</v>
      </c>
      <c r="B16" s="273" t="s">
        <v>17</v>
      </c>
      <c r="C16" s="274">
        <v>0</v>
      </c>
      <c r="D16" s="273">
        <v>0.71</v>
      </c>
      <c r="E16" s="274" t="s">
        <v>32</v>
      </c>
      <c r="F16" s="274"/>
      <c r="G16" s="274"/>
      <c r="H16" s="274"/>
    </row>
    <row r="17" spans="1:8" x14ac:dyDescent="0.25">
      <c r="A17" s="273" t="s">
        <v>35</v>
      </c>
      <c r="B17" s="273" t="s">
        <v>36</v>
      </c>
      <c r="C17" s="274">
        <v>7.8999999999999987E-2</v>
      </c>
      <c r="D17" s="273"/>
      <c r="E17" s="274"/>
      <c r="F17" s="273">
        <v>3.97</v>
      </c>
      <c r="G17" s="273">
        <v>1.83</v>
      </c>
      <c r="H17" s="273">
        <v>0.71</v>
      </c>
    </row>
    <row r="18" spans="1:8" x14ac:dyDescent="0.25">
      <c r="A18" s="273" t="s">
        <v>37</v>
      </c>
      <c r="B18" s="273" t="s">
        <v>36</v>
      </c>
      <c r="C18" s="274">
        <v>0</v>
      </c>
      <c r="D18" s="274"/>
      <c r="E18" s="274"/>
      <c r="F18" s="274"/>
      <c r="G18" s="273">
        <v>1.45</v>
      </c>
      <c r="H18" s="273">
        <v>0.71</v>
      </c>
    </row>
    <row r="19" spans="1:8" x14ac:dyDescent="0.25">
      <c r="A19" s="273" t="s">
        <v>38</v>
      </c>
      <c r="B19" s="273" t="s">
        <v>36</v>
      </c>
      <c r="C19" s="274">
        <v>7.8999999999999987E-2</v>
      </c>
      <c r="D19" s="273"/>
      <c r="E19" s="274"/>
      <c r="F19" s="273">
        <v>2.74</v>
      </c>
      <c r="G19" s="274"/>
      <c r="H19" s="273">
        <v>0.71</v>
      </c>
    </row>
    <row r="20" spans="1:8" x14ac:dyDescent="0.25">
      <c r="A20" s="2"/>
      <c r="B20" s="2"/>
      <c r="D20" s="2"/>
      <c r="F20" s="2"/>
    </row>
    <row r="21" spans="1:8" x14ac:dyDescent="0.25">
      <c r="A21" s="2" t="s">
        <v>39</v>
      </c>
      <c r="B21" s="2"/>
      <c r="D21" s="2"/>
      <c r="F21" s="2"/>
    </row>
    <row r="22" spans="1:8" x14ac:dyDescent="0.25">
      <c r="A22" s="2" t="s">
        <v>40</v>
      </c>
    </row>
    <row r="24" spans="1:8" x14ac:dyDescent="0.25">
      <c r="A24" t="s">
        <v>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C23" sqref="C23"/>
    </sheetView>
  </sheetViews>
  <sheetFormatPr baseColWidth="10" defaultColWidth="9.140625" defaultRowHeight="15" x14ac:dyDescent="0.25"/>
  <cols>
    <col min="1" max="1" width="45.28515625" customWidth="1"/>
    <col min="2" max="9" width="22.85546875" customWidth="1"/>
  </cols>
  <sheetData>
    <row r="1" spans="1:9" x14ac:dyDescent="0.25">
      <c r="A1" s="415" t="s">
        <v>9</v>
      </c>
      <c r="B1" s="419" t="s">
        <v>42</v>
      </c>
      <c r="C1" s="420"/>
      <c r="D1" s="420"/>
      <c r="E1" s="420"/>
      <c r="F1" s="420"/>
      <c r="G1" s="420"/>
      <c r="H1" s="420"/>
      <c r="I1" s="421"/>
    </row>
    <row r="2" spans="1:9" ht="30" x14ac:dyDescent="0.25">
      <c r="A2" s="416" t="s">
        <v>16</v>
      </c>
      <c r="B2" s="422" t="s">
        <v>43</v>
      </c>
      <c r="C2" s="418" t="s">
        <v>44</v>
      </c>
      <c r="D2" s="418"/>
      <c r="E2" s="418"/>
      <c r="F2" s="418"/>
      <c r="G2" s="418"/>
      <c r="H2" s="418"/>
      <c r="I2" s="423"/>
    </row>
    <row r="3" spans="1:9" x14ac:dyDescent="0.25">
      <c r="A3" s="416" t="s">
        <v>19</v>
      </c>
      <c r="B3" s="422" t="s">
        <v>45</v>
      </c>
      <c r="C3" s="418"/>
      <c r="D3" s="418"/>
      <c r="E3" s="418"/>
      <c r="F3" s="418"/>
      <c r="G3" s="418"/>
      <c r="H3" s="418"/>
      <c r="I3" s="423"/>
    </row>
    <row r="4" spans="1:9" ht="30" x14ac:dyDescent="0.25">
      <c r="A4" s="416" t="s">
        <v>20</v>
      </c>
      <c r="B4" s="422" t="s">
        <v>46</v>
      </c>
      <c r="C4" s="418" t="s">
        <v>47</v>
      </c>
      <c r="D4" s="418"/>
      <c r="E4" s="418"/>
      <c r="F4" s="418"/>
      <c r="G4" s="418"/>
      <c r="H4" s="418"/>
      <c r="I4" s="423"/>
    </row>
    <row r="5" spans="1:9" x14ac:dyDescent="0.25">
      <c r="A5" s="416" t="s">
        <v>21</v>
      </c>
      <c r="B5" s="422"/>
      <c r="C5" s="418"/>
      <c r="D5" s="418"/>
      <c r="E5" s="418"/>
      <c r="F5" s="418"/>
      <c r="G5" s="418"/>
      <c r="H5" s="418"/>
      <c r="I5" s="423"/>
    </row>
    <row r="6" spans="1:9" ht="30" x14ac:dyDescent="0.25">
      <c r="A6" s="416" t="s">
        <v>22</v>
      </c>
      <c r="B6" s="422" t="s">
        <v>48</v>
      </c>
      <c r="C6" s="418" t="s">
        <v>49</v>
      </c>
      <c r="D6" s="418"/>
      <c r="E6" s="418"/>
      <c r="F6" s="418"/>
      <c r="G6" s="418"/>
      <c r="H6" s="418"/>
      <c r="I6" s="423"/>
    </row>
    <row r="7" spans="1:9" ht="30" x14ac:dyDescent="0.25">
      <c r="A7" s="416" t="s">
        <v>23</v>
      </c>
      <c r="B7" s="422" t="s">
        <v>50</v>
      </c>
      <c r="C7" s="418"/>
      <c r="D7" s="418"/>
      <c r="E7" s="418"/>
      <c r="F7" s="418"/>
      <c r="G7" s="418"/>
      <c r="H7" s="418"/>
      <c r="I7" s="423"/>
    </row>
    <row r="8" spans="1:9" x14ac:dyDescent="0.25">
      <c r="A8" s="416" t="s">
        <v>24</v>
      </c>
      <c r="B8" s="422"/>
      <c r="C8" s="418"/>
      <c r="D8" s="418"/>
      <c r="E8" s="418"/>
      <c r="F8" s="418"/>
      <c r="G8" s="418"/>
      <c r="H8" s="418"/>
      <c r="I8" s="423"/>
    </row>
    <row r="9" spans="1:9" ht="30" x14ac:dyDescent="0.25">
      <c r="A9" s="416" t="s">
        <v>25</v>
      </c>
      <c r="B9" s="422" t="s">
        <v>51</v>
      </c>
      <c r="C9" s="418" t="s">
        <v>49</v>
      </c>
      <c r="D9" s="418" t="s">
        <v>52</v>
      </c>
      <c r="E9" s="418"/>
      <c r="F9" s="418"/>
      <c r="G9" s="418"/>
      <c r="H9" s="418"/>
      <c r="I9" s="423"/>
    </row>
    <row r="10" spans="1:9" x14ac:dyDescent="0.25">
      <c r="A10" s="416" t="s">
        <v>26</v>
      </c>
      <c r="B10" s="422" t="s">
        <v>53</v>
      </c>
      <c r="C10" s="418"/>
      <c r="D10" s="418"/>
      <c r="E10" s="418"/>
      <c r="F10" s="418"/>
      <c r="G10" s="418"/>
      <c r="H10" s="418"/>
      <c r="I10" s="423"/>
    </row>
    <row r="11" spans="1:9" ht="30" x14ac:dyDescent="0.25">
      <c r="A11" s="416" t="s">
        <v>28</v>
      </c>
      <c r="B11" s="422" t="s">
        <v>54</v>
      </c>
      <c r="C11" s="418"/>
      <c r="D11" s="418"/>
      <c r="E11" s="418"/>
      <c r="F11" s="418"/>
      <c r="G11" s="418"/>
      <c r="H11" s="418"/>
      <c r="I11" s="423"/>
    </row>
    <row r="12" spans="1:9" ht="45" x14ac:dyDescent="0.25">
      <c r="A12" s="416" t="s">
        <v>29</v>
      </c>
      <c r="B12" s="422" t="s">
        <v>55</v>
      </c>
      <c r="C12" s="418"/>
      <c r="D12" s="418"/>
      <c r="E12" s="418"/>
      <c r="F12" s="418"/>
      <c r="G12" s="418"/>
      <c r="H12" s="418"/>
      <c r="I12" s="423"/>
    </row>
    <row r="13" spans="1:9" ht="30" x14ac:dyDescent="0.25">
      <c r="A13" s="416" t="s">
        <v>30</v>
      </c>
      <c r="B13" s="422" t="s">
        <v>56</v>
      </c>
      <c r="C13" s="418" t="s">
        <v>57</v>
      </c>
      <c r="D13" s="418" t="s">
        <v>58</v>
      </c>
      <c r="E13" s="418"/>
      <c r="F13" s="418"/>
      <c r="G13" s="418"/>
      <c r="H13" s="418"/>
      <c r="I13" s="423"/>
    </row>
    <row r="14" spans="1:9" ht="30" x14ac:dyDescent="0.25">
      <c r="A14" s="416" t="s">
        <v>31</v>
      </c>
      <c r="B14" s="422" t="s">
        <v>59</v>
      </c>
      <c r="C14" s="418"/>
      <c r="D14" s="418"/>
      <c r="E14" s="418"/>
      <c r="F14" s="418"/>
      <c r="G14" s="418"/>
      <c r="H14" s="418"/>
      <c r="I14" s="423"/>
    </row>
    <row r="15" spans="1:9" ht="30" x14ac:dyDescent="0.25">
      <c r="A15" s="416" t="s">
        <v>33</v>
      </c>
      <c r="B15" s="422" t="s">
        <v>60</v>
      </c>
      <c r="C15" s="418" t="s">
        <v>61</v>
      </c>
      <c r="D15" s="418"/>
      <c r="E15" s="418"/>
      <c r="F15" s="418"/>
      <c r="G15" s="418"/>
      <c r="H15" s="418"/>
      <c r="I15" s="423"/>
    </row>
    <row r="16" spans="1:9" ht="30" x14ac:dyDescent="0.25">
      <c r="A16" s="416" t="s">
        <v>34</v>
      </c>
      <c r="B16" s="422" t="s">
        <v>62</v>
      </c>
      <c r="C16" s="418" t="s">
        <v>63</v>
      </c>
      <c r="D16" s="418"/>
      <c r="E16" s="418"/>
      <c r="F16" s="418"/>
      <c r="G16" s="418"/>
      <c r="H16" s="418"/>
      <c r="I16" s="423"/>
    </row>
    <row r="17" spans="1:9" ht="60" x14ac:dyDescent="0.25">
      <c r="A17" s="416" t="s">
        <v>35</v>
      </c>
      <c r="B17" s="422" t="s">
        <v>64</v>
      </c>
      <c r="C17" s="418" t="s">
        <v>65</v>
      </c>
      <c r="D17" s="418" t="s">
        <v>66</v>
      </c>
      <c r="E17" s="418" t="s">
        <v>67</v>
      </c>
      <c r="F17" s="418" t="s">
        <v>66</v>
      </c>
      <c r="G17" s="418" t="s">
        <v>68</v>
      </c>
      <c r="H17" s="418" t="s">
        <v>69</v>
      </c>
      <c r="I17" s="423" t="s">
        <v>70</v>
      </c>
    </row>
    <row r="18" spans="1:9" ht="45" x14ac:dyDescent="0.25">
      <c r="A18" s="416" t="s">
        <v>37</v>
      </c>
      <c r="B18" s="422" t="s">
        <v>71</v>
      </c>
      <c r="C18" s="418" t="s">
        <v>72</v>
      </c>
      <c r="D18" s="418" t="s">
        <v>73</v>
      </c>
      <c r="E18" s="418"/>
      <c r="F18" s="418"/>
      <c r="G18" s="418"/>
      <c r="H18" s="418"/>
      <c r="I18" s="423"/>
    </row>
    <row r="19" spans="1:9" ht="15.75" thickBot="1" x14ac:dyDescent="0.3">
      <c r="A19" s="417" t="s">
        <v>38</v>
      </c>
      <c r="B19" s="424"/>
      <c r="C19" s="425"/>
      <c r="D19" s="425"/>
      <c r="E19" s="425"/>
      <c r="F19" s="425"/>
      <c r="G19" s="425"/>
      <c r="H19" s="425"/>
      <c r="I19" s="426"/>
    </row>
    <row r="22" spans="1:9" x14ac:dyDescent="0.25">
      <c r="C22" s="413"/>
    </row>
    <row r="23" spans="1:9" x14ac:dyDescent="0.25">
      <c r="C23" s="413"/>
    </row>
    <row r="24" spans="1:9" x14ac:dyDescent="0.25">
      <c r="C24" s="413"/>
    </row>
    <row r="26" spans="1:9" x14ac:dyDescent="0.25">
      <c r="H26" s="414"/>
      <c r="I26" s="4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3" sqref="C3"/>
    </sheetView>
  </sheetViews>
  <sheetFormatPr baseColWidth="10" defaultColWidth="11.42578125" defaultRowHeight="15" x14ac:dyDescent="0.25"/>
  <cols>
    <col min="1" max="1" width="24.140625" customWidth="1"/>
    <col min="2" max="2" width="23" customWidth="1"/>
    <col min="3" max="3" width="25.7109375" customWidth="1"/>
  </cols>
  <sheetData>
    <row r="1" spans="1:4" s="3" customFormat="1" ht="30" x14ac:dyDescent="0.25">
      <c r="A1" s="3" t="s">
        <v>74</v>
      </c>
      <c r="B1" s="3" t="s">
        <v>75</v>
      </c>
      <c r="C1" s="3" t="s">
        <v>76</v>
      </c>
      <c r="D1" s="3" t="s">
        <v>77</v>
      </c>
    </row>
    <row r="2" spans="1:4" x14ac:dyDescent="0.25">
      <c r="A2" t="s">
        <v>78</v>
      </c>
      <c r="B2">
        <v>0.94</v>
      </c>
      <c r="C2" s="427">
        <v>0.31125282999999998</v>
      </c>
      <c r="D2" t="s">
        <v>79</v>
      </c>
    </row>
    <row r="3" spans="1:4" x14ac:dyDescent="0.25">
      <c r="A3" t="s">
        <v>80</v>
      </c>
      <c r="B3">
        <v>0.55000000000000004</v>
      </c>
      <c r="C3" s="427">
        <v>1.2572187399999999</v>
      </c>
      <c r="D3" t="s">
        <v>79</v>
      </c>
    </row>
    <row r="4" spans="1:4" x14ac:dyDescent="0.25">
      <c r="A4" t="s">
        <v>81</v>
      </c>
      <c r="B4">
        <v>0.35</v>
      </c>
      <c r="C4" s="427">
        <v>0.10013922</v>
      </c>
      <c r="D4"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E5" sqref="E5"/>
    </sheetView>
  </sheetViews>
  <sheetFormatPr baseColWidth="10" defaultColWidth="11.42578125" defaultRowHeight="15" x14ac:dyDescent="0.25"/>
  <cols>
    <col min="1" max="1" width="20.28515625" customWidth="1"/>
    <col min="2" max="2" width="23.7109375" customWidth="1"/>
  </cols>
  <sheetData>
    <row r="1" spans="1:4" x14ac:dyDescent="0.25">
      <c r="A1" s="1" t="s">
        <v>82</v>
      </c>
      <c r="B1" s="1" t="s">
        <v>83</v>
      </c>
      <c r="C1" s="1" t="s">
        <v>84</v>
      </c>
      <c r="D1" s="1"/>
    </row>
    <row r="2" spans="1:4" x14ac:dyDescent="0.25">
      <c r="A2" t="s">
        <v>85</v>
      </c>
      <c r="B2" t="s">
        <v>86</v>
      </c>
      <c r="C2">
        <v>0.3</v>
      </c>
    </row>
    <row r="3" spans="1:4" x14ac:dyDescent="0.25">
      <c r="A3" t="s">
        <v>85</v>
      </c>
      <c r="B3" t="s">
        <v>87</v>
      </c>
      <c r="C3">
        <v>0.5</v>
      </c>
    </row>
    <row r="4" spans="1:4" x14ac:dyDescent="0.25">
      <c r="A4" t="s">
        <v>85</v>
      </c>
      <c r="B4" t="s">
        <v>88</v>
      </c>
      <c r="C4">
        <v>0.75</v>
      </c>
    </row>
    <row r="5" spans="1:4" x14ac:dyDescent="0.25">
      <c r="A5" t="s">
        <v>85</v>
      </c>
      <c r="B5" t="s">
        <v>89</v>
      </c>
      <c r="C5">
        <v>0.95</v>
      </c>
    </row>
    <row r="6" spans="1:4" x14ac:dyDescent="0.25">
      <c r="A6" t="s">
        <v>85</v>
      </c>
      <c r="B6" t="s">
        <v>90</v>
      </c>
      <c r="C6">
        <v>1</v>
      </c>
    </row>
    <row r="7" spans="1:4" x14ac:dyDescent="0.25">
      <c r="A7" t="s">
        <v>91</v>
      </c>
      <c r="B7" t="s">
        <v>86</v>
      </c>
      <c r="C7">
        <v>0.21</v>
      </c>
    </row>
    <row r="8" spans="1:4" x14ac:dyDescent="0.25">
      <c r="A8" t="s">
        <v>91</v>
      </c>
      <c r="B8" t="s">
        <v>87</v>
      </c>
      <c r="C8">
        <v>0.35</v>
      </c>
    </row>
    <row r="9" spans="1:4" x14ac:dyDescent="0.25">
      <c r="A9" t="s">
        <v>91</v>
      </c>
      <c r="B9" t="s">
        <v>88</v>
      </c>
      <c r="C9">
        <v>0.53</v>
      </c>
    </row>
    <row r="10" spans="1:4" x14ac:dyDescent="0.25">
      <c r="A10" t="s">
        <v>91</v>
      </c>
      <c r="B10" t="s">
        <v>89</v>
      </c>
      <c r="C10">
        <v>0.67</v>
      </c>
    </row>
    <row r="11" spans="1:4" x14ac:dyDescent="0.25">
      <c r="A11" t="s">
        <v>91</v>
      </c>
      <c r="B11" t="s">
        <v>90</v>
      </c>
      <c r="C11">
        <v>0.7</v>
      </c>
    </row>
    <row r="12" spans="1:4" x14ac:dyDescent="0.25">
      <c r="A12" t="s">
        <v>92</v>
      </c>
      <c r="C12">
        <v>0.3</v>
      </c>
    </row>
    <row r="13" spans="1:4" x14ac:dyDescent="0.25">
      <c r="A13" t="s">
        <v>93</v>
      </c>
      <c r="B13" t="s">
        <v>86</v>
      </c>
      <c r="C13">
        <v>0.3</v>
      </c>
    </row>
    <row r="14" spans="1:4" x14ac:dyDescent="0.25">
      <c r="A14" t="s">
        <v>93</v>
      </c>
      <c r="B14" t="s">
        <v>87</v>
      </c>
      <c r="C14">
        <v>0.5</v>
      </c>
    </row>
    <row r="15" spans="1:4" x14ac:dyDescent="0.25">
      <c r="A15" t="s">
        <v>93</v>
      </c>
      <c r="B15" t="s">
        <v>88</v>
      </c>
      <c r="C15">
        <v>0.75</v>
      </c>
    </row>
    <row r="16" spans="1:4" x14ac:dyDescent="0.25">
      <c r="A16" t="s">
        <v>93</v>
      </c>
      <c r="B16" t="s">
        <v>89</v>
      </c>
      <c r="C16">
        <v>0.95</v>
      </c>
    </row>
    <row r="17" spans="1:3" x14ac:dyDescent="0.25">
      <c r="A17" t="s">
        <v>93</v>
      </c>
      <c r="B17" t="s">
        <v>90</v>
      </c>
      <c r="C17">
        <v>1</v>
      </c>
    </row>
    <row r="18" spans="1:3" x14ac:dyDescent="0.25">
      <c r="A18" t="s">
        <v>90</v>
      </c>
      <c r="B18" t="s">
        <v>86</v>
      </c>
      <c r="C18">
        <v>0.3</v>
      </c>
    </row>
    <row r="19" spans="1:3" x14ac:dyDescent="0.25">
      <c r="A19" t="s">
        <v>90</v>
      </c>
      <c r="B19" t="s">
        <v>87</v>
      </c>
      <c r="C19">
        <v>0.5</v>
      </c>
    </row>
    <row r="20" spans="1:3" x14ac:dyDescent="0.25">
      <c r="A20" t="s">
        <v>90</v>
      </c>
      <c r="B20" t="s">
        <v>88</v>
      </c>
      <c r="C20">
        <v>0.75</v>
      </c>
    </row>
    <row r="21" spans="1:3" x14ac:dyDescent="0.25">
      <c r="A21" t="s">
        <v>90</v>
      </c>
      <c r="B21" t="s">
        <v>89</v>
      </c>
      <c r="C21">
        <v>0.95</v>
      </c>
    </row>
    <row r="22" spans="1:3" x14ac:dyDescent="0.25">
      <c r="A22" t="s">
        <v>90</v>
      </c>
      <c r="B22" t="s">
        <v>90</v>
      </c>
      <c r="C22">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zoomScale="70" zoomScaleNormal="70" workbookViewId="0">
      <selection activeCell="E11" sqref="E11"/>
    </sheetView>
  </sheetViews>
  <sheetFormatPr baseColWidth="10" defaultColWidth="11.42578125" defaultRowHeight="18.75" x14ac:dyDescent="0.3"/>
  <cols>
    <col min="1" max="1" width="45.28515625" style="272" customWidth="1"/>
    <col min="2" max="2" width="9.85546875" style="282" customWidth="1"/>
    <col min="3" max="3" width="76.28515625" style="272" customWidth="1"/>
    <col min="4" max="4" width="18" style="294" customWidth="1"/>
    <col min="5" max="5" width="75.7109375" style="272" customWidth="1"/>
    <col min="6" max="6" width="34" style="272" customWidth="1"/>
    <col min="7" max="7" width="6.7109375" style="272" customWidth="1"/>
    <col min="8" max="8" width="5.85546875" style="272" customWidth="1"/>
    <col min="9" max="9" width="23.28515625" style="286" customWidth="1"/>
    <col min="10" max="10" width="11.5703125" style="282"/>
    <col min="11" max="14" width="15.28515625" style="282" customWidth="1"/>
    <col min="15" max="15" width="37" customWidth="1"/>
  </cols>
  <sheetData>
    <row r="1" spans="1:15" x14ac:dyDescent="0.3">
      <c r="A1" s="271"/>
      <c r="B1" s="290"/>
      <c r="C1" s="271"/>
      <c r="D1" s="291"/>
      <c r="E1" s="271"/>
      <c r="F1" s="271"/>
      <c r="I1" s="285" t="s">
        <v>94</v>
      </c>
    </row>
    <row r="2" spans="1:15" x14ac:dyDescent="0.3">
      <c r="A2" s="278"/>
      <c r="B2" s="290"/>
      <c r="C2" s="278"/>
      <c r="D2" s="292"/>
      <c r="E2" s="278"/>
      <c r="F2" s="278"/>
    </row>
    <row r="3" spans="1:15" ht="19.5" thickBot="1" x14ac:dyDescent="0.3">
      <c r="A3" s="279"/>
      <c r="C3" s="279"/>
      <c r="D3" s="293"/>
      <c r="E3" s="279"/>
      <c r="F3" s="279"/>
      <c r="I3" s="287"/>
    </row>
    <row r="4" spans="1:15" x14ac:dyDescent="0.25">
      <c r="I4" s="288"/>
      <c r="J4" s="459" t="s">
        <v>95</v>
      </c>
      <c r="K4" s="460"/>
      <c r="L4" s="460"/>
      <c r="M4" s="460"/>
      <c r="N4" s="460"/>
      <c r="O4" s="461"/>
    </row>
    <row r="5" spans="1:15" s="391" customFormat="1" ht="124.9" customHeight="1" thickBot="1" x14ac:dyDescent="0.3">
      <c r="A5" s="386" t="s">
        <v>96</v>
      </c>
      <c r="B5" s="312" t="s">
        <v>97</v>
      </c>
      <c r="C5" s="344" t="s">
        <v>98</v>
      </c>
      <c r="D5" s="356" t="s">
        <v>99</v>
      </c>
      <c r="E5" s="387" t="s">
        <v>100</v>
      </c>
      <c r="F5" s="388" t="s">
        <v>101</v>
      </c>
      <c r="G5" s="387" t="s">
        <v>102</v>
      </c>
      <c r="H5" s="387" t="s">
        <v>103</v>
      </c>
      <c r="I5" s="389" t="s">
        <v>104</v>
      </c>
      <c r="J5" s="315" t="s">
        <v>105</v>
      </c>
      <c r="K5" s="315" t="s">
        <v>106</v>
      </c>
      <c r="L5" s="315" t="s">
        <v>107</v>
      </c>
      <c r="M5" s="315" t="s">
        <v>108</v>
      </c>
      <c r="N5" s="316" t="s">
        <v>109</v>
      </c>
      <c r="O5" s="390" t="s">
        <v>110</v>
      </c>
    </row>
    <row r="6" spans="1:15" x14ac:dyDescent="0.3">
      <c r="A6" s="366" t="s">
        <v>111</v>
      </c>
      <c r="B6" s="371">
        <v>0.4</v>
      </c>
      <c r="C6" s="405" t="s">
        <v>112</v>
      </c>
      <c r="D6" s="376">
        <v>45.655534000000003</v>
      </c>
      <c r="E6" t="s">
        <v>113</v>
      </c>
      <c r="F6" t="s">
        <v>114</v>
      </c>
      <c r="G6" s="272" t="s">
        <v>115</v>
      </c>
      <c r="H6" s="272" t="s">
        <v>116</v>
      </c>
      <c r="I6" s="380" t="s">
        <v>117</v>
      </c>
      <c r="J6" s="295">
        <f>46/10</f>
        <v>4.5999999999999996</v>
      </c>
      <c r="K6" s="295">
        <v>15.4</v>
      </c>
      <c r="L6" s="296">
        <v>51</v>
      </c>
      <c r="M6" s="295">
        <v>2.2999999999999998</v>
      </c>
      <c r="N6" s="295">
        <v>0.22</v>
      </c>
      <c r="O6" s="280" t="s">
        <v>118</v>
      </c>
    </row>
    <row r="7" spans="1:15" x14ac:dyDescent="0.3">
      <c r="A7" s="367" t="s">
        <v>119</v>
      </c>
      <c r="B7" s="372">
        <v>0.71</v>
      </c>
      <c r="C7" s="374" t="s">
        <v>120</v>
      </c>
      <c r="D7" s="376">
        <v>667.65674000000001</v>
      </c>
      <c r="E7" t="s">
        <v>121</v>
      </c>
      <c r="F7" t="s">
        <v>114</v>
      </c>
      <c r="G7" s="272" t="s">
        <v>115</v>
      </c>
      <c r="H7" s="272" t="s">
        <v>122</v>
      </c>
      <c r="I7" s="377" t="s">
        <v>123</v>
      </c>
      <c r="J7" s="297">
        <v>51.155000000000001</v>
      </c>
      <c r="K7" s="297">
        <v>128.77399933288859</v>
      </c>
      <c r="L7" s="297">
        <v>72.833333333333329</v>
      </c>
      <c r="M7" s="297">
        <v>8.7492525000000008</v>
      </c>
      <c r="N7" s="297">
        <v>0.70089416666666671</v>
      </c>
      <c r="O7" s="283" t="s">
        <v>124</v>
      </c>
    </row>
    <row r="8" spans="1:15" x14ac:dyDescent="0.3">
      <c r="A8" s="367" t="s">
        <v>125</v>
      </c>
      <c r="B8" s="372">
        <v>0.81</v>
      </c>
      <c r="C8" s="374" t="s">
        <v>126</v>
      </c>
      <c r="D8" s="376">
        <v>667.65674000000001</v>
      </c>
      <c r="E8" s="280" t="s">
        <v>121</v>
      </c>
      <c r="F8" s="280" t="s">
        <v>127</v>
      </c>
      <c r="G8" s="378" t="s">
        <v>115</v>
      </c>
      <c r="H8" s="378" t="s">
        <v>122</v>
      </c>
      <c r="I8" s="379" t="s">
        <v>123</v>
      </c>
      <c r="J8" s="297">
        <v>59.7</v>
      </c>
      <c r="K8" s="297">
        <v>207</v>
      </c>
      <c r="L8" s="297">
        <v>46</v>
      </c>
      <c r="M8" s="297">
        <v>21.6</v>
      </c>
      <c r="N8" s="297">
        <v>2</v>
      </c>
      <c r="O8" s="283" t="s">
        <v>128</v>
      </c>
    </row>
    <row r="9" spans="1:15" x14ac:dyDescent="0.3">
      <c r="A9" s="367" t="s">
        <v>129</v>
      </c>
      <c r="B9" s="372">
        <v>0.71</v>
      </c>
      <c r="C9" s="374" t="s">
        <v>120</v>
      </c>
      <c r="D9" s="376">
        <v>620.12873000000002</v>
      </c>
      <c r="E9" t="s">
        <v>130</v>
      </c>
      <c r="F9" t="s">
        <v>114</v>
      </c>
      <c r="G9" s="272" t="s">
        <v>115</v>
      </c>
      <c r="H9" s="272" t="s">
        <v>122</v>
      </c>
      <c r="I9" s="380" t="s">
        <v>131</v>
      </c>
      <c r="J9" s="216">
        <v>62.29</v>
      </c>
      <c r="K9" s="298">
        <v>158.32555036691127</v>
      </c>
      <c r="L9" s="298">
        <f>AVERAGE(52,77)</f>
        <v>64.5</v>
      </c>
      <c r="M9" s="298">
        <v>8.6583100000000002</v>
      </c>
      <c r="N9" s="298">
        <v>6.2290000000000005E-2</v>
      </c>
      <c r="O9" s="280" t="s">
        <v>132</v>
      </c>
    </row>
    <row r="10" spans="1:15" x14ac:dyDescent="0.3">
      <c r="A10" s="367" t="s">
        <v>133</v>
      </c>
      <c r="B10" s="372">
        <v>0.71</v>
      </c>
      <c r="C10" s="374" t="s">
        <v>134</v>
      </c>
      <c r="D10" s="376">
        <v>491.88958000000002</v>
      </c>
      <c r="E10" t="s">
        <v>135</v>
      </c>
      <c r="F10" t="s">
        <v>114</v>
      </c>
      <c r="G10" s="272" t="s">
        <v>115</v>
      </c>
      <c r="H10" s="272" t="s">
        <v>122</v>
      </c>
      <c r="I10" s="380" t="s">
        <v>136</v>
      </c>
      <c r="J10" s="299">
        <v>59.4</v>
      </c>
      <c r="K10" s="300">
        <v>143.73582388258839</v>
      </c>
      <c r="L10" s="301">
        <f>AVERAGE(80,55)</f>
        <v>67.5</v>
      </c>
      <c r="M10" s="302">
        <v>8.2260650000000002</v>
      </c>
      <c r="N10" s="299">
        <v>0.249055</v>
      </c>
      <c r="O10" s="284" t="s">
        <v>137</v>
      </c>
    </row>
    <row r="11" spans="1:15" x14ac:dyDescent="0.3">
      <c r="A11" s="367" t="s">
        <v>138</v>
      </c>
      <c r="B11" s="372">
        <v>0.71</v>
      </c>
      <c r="C11" s="374" t="s">
        <v>120</v>
      </c>
      <c r="D11" s="376">
        <v>632.32793000000004</v>
      </c>
      <c r="E11" t="s">
        <v>138</v>
      </c>
      <c r="F11" t="s">
        <v>114</v>
      </c>
      <c r="G11" s="272" t="s">
        <v>115</v>
      </c>
      <c r="H11" s="272" t="s">
        <v>122</v>
      </c>
      <c r="I11" s="380" t="s">
        <v>139</v>
      </c>
      <c r="J11" s="216">
        <v>56.6</v>
      </c>
      <c r="K11" s="303">
        <v>129.14609739826551</v>
      </c>
      <c r="L11" s="303">
        <v>79.5</v>
      </c>
      <c r="M11" s="303">
        <v>7.7938199999999993</v>
      </c>
      <c r="N11" s="303">
        <v>0.43581999999999999</v>
      </c>
      <c r="O11" s="280" t="s">
        <v>132</v>
      </c>
    </row>
    <row r="12" spans="1:15" x14ac:dyDescent="0.3">
      <c r="A12" s="367" t="s">
        <v>140</v>
      </c>
      <c r="B12" s="372">
        <v>0.81</v>
      </c>
      <c r="C12" s="374" t="s">
        <v>126</v>
      </c>
      <c r="D12" s="376">
        <v>617.15065000000004</v>
      </c>
      <c r="E12" t="s">
        <v>141</v>
      </c>
      <c r="F12" t="s">
        <v>114</v>
      </c>
      <c r="G12" s="272" t="s">
        <v>115</v>
      </c>
      <c r="H12" s="272" t="s">
        <v>122</v>
      </c>
      <c r="I12" s="380" t="s">
        <v>142</v>
      </c>
      <c r="J12" s="216">
        <v>49.2</v>
      </c>
      <c r="K12" s="303">
        <v>134.00933955970646</v>
      </c>
      <c r="L12" s="303">
        <v>80.5</v>
      </c>
      <c r="M12" s="303">
        <v>8.4673200000000008</v>
      </c>
      <c r="N12" s="303">
        <v>1.0332000000000001</v>
      </c>
      <c r="O12" s="280" t="s">
        <v>132</v>
      </c>
    </row>
    <row r="13" spans="1:15" x14ac:dyDescent="0.3">
      <c r="A13" s="367" t="s">
        <v>143</v>
      </c>
      <c r="B13" s="372">
        <v>0.4</v>
      </c>
      <c r="C13" s="405" t="s">
        <v>112</v>
      </c>
      <c r="D13" s="376">
        <v>33.751362999999998</v>
      </c>
      <c r="E13" t="s">
        <v>144</v>
      </c>
      <c r="F13" t="s">
        <v>114</v>
      </c>
      <c r="G13" s="272" t="s">
        <v>115</v>
      </c>
      <c r="H13" s="272" t="s">
        <v>116</v>
      </c>
      <c r="I13" s="377" t="s">
        <v>145</v>
      </c>
      <c r="J13" s="282">
        <v>16.116666666666667</v>
      </c>
      <c r="K13" s="282">
        <v>61.045948544220515</v>
      </c>
      <c r="L13" s="282">
        <v>90.5</v>
      </c>
      <c r="M13" s="282">
        <v>5.6326833333333335</v>
      </c>
      <c r="N13" s="282">
        <v>2.9935902814423927</v>
      </c>
      <c r="O13" s="280" t="s">
        <v>132</v>
      </c>
    </row>
    <row r="14" spans="1:15" x14ac:dyDescent="0.3">
      <c r="A14" s="367" t="s">
        <v>146</v>
      </c>
      <c r="B14" s="372">
        <v>0.4</v>
      </c>
      <c r="C14" s="405" t="s">
        <v>112</v>
      </c>
      <c r="D14" s="376">
        <v>21.135784999999998</v>
      </c>
      <c r="E14" t="s">
        <v>147</v>
      </c>
      <c r="F14" t="s">
        <v>114</v>
      </c>
      <c r="G14" s="272" t="s">
        <v>115</v>
      </c>
      <c r="H14" s="272" t="s">
        <v>116</v>
      </c>
      <c r="I14" s="380" t="s">
        <v>148</v>
      </c>
      <c r="J14" s="298">
        <v>5.55</v>
      </c>
      <c r="K14" s="216">
        <v>26.64</v>
      </c>
      <c r="L14" s="298">
        <v>42.56</v>
      </c>
      <c r="M14" s="216">
        <v>4.6897499999999992</v>
      </c>
      <c r="N14" s="216">
        <v>2.8138499999999995</v>
      </c>
      <c r="O14" s="280" t="s">
        <v>132</v>
      </c>
    </row>
    <row r="15" spans="1:15" x14ac:dyDescent="0.3">
      <c r="A15" s="367" t="s">
        <v>149</v>
      </c>
      <c r="B15" s="372">
        <v>0.4</v>
      </c>
      <c r="C15" s="405" t="s">
        <v>112</v>
      </c>
      <c r="D15" s="376">
        <v>166.35594</v>
      </c>
      <c r="E15" t="s">
        <v>150</v>
      </c>
      <c r="F15" t="s">
        <v>114</v>
      </c>
      <c r="G15" s="272" t="s">
        <v>115</v>
      </c>
      <c r="H15" s="272" t="s">
        <v>122</v>
      </c>
      <c r="I15" s="380" t="s">
        <v>151</v>
      </c>
      <c r="J15" s="281">
        <v>33.299999999999997</v>
      </c>
      <c r="K15" s="281">
        <v>150</v>
      </c>
      <c r="L15" s="281">
        <v>54</v>
      </c>
      <c r="M15" s="281">
        <v>7.9</v>
      </c>
      <c r="N15" s="281">
        <v>2.4</v>
      </c>
      <c r="O15" s="280" t="s">
        <v>132</v>
      </c>
    </row>
    <row r="16" spans="1:15" x14ac:dyDescent="0.3">
      <c r="A16" s="367" t="s">
        <v>152</v>
      </c>
      <c r="B16" s="372">
        <v>0.79</v>
      </c>
      <c r="C16" s="374" t="s">
        <v>153</v>
      </c>
      <c r="D16" s="376">
        <v>11.098212</v>
      </c>
      <c r="E16" t="s">
        <v>154</v>
      </c>
      <c r="F16" t="s">
        <v>114</v>
      </c>
      <c r="G16" s="272" t="s">
        <v>115</v>
      </c>
      <c r="H16" s="272" t="s">
        <v>122</v>
      </c>
      <c r="I16" s="380" t="s">
        <v>155</v>
      </c>
      <c r="J16" s="298">
        <v>19.866507936507936</v>
      </c>
      <c r="K16" s="298">
        <v>90.068095238095225</v>
      </c>
      <c r="L16" s="298">
        <v>65</v>
      </c>
      <c r="M16" s="298">
        <v>4.7949206349206355</v>
      </c>
      <c r="N16" s="298">
        <v>0.92047619047619045</v>
      </c>
      <c r="O16" s="280" t="s">
        <v>132</v>
      </c>
    </row>
    <row r="17" spans="1:15" x14ac:dyDescent="0.3">
      <c r="A17" s="367" t="s">
        <v>156</v>
      </c>
      <c r="B17" s="372">
        <v>0.9</v>
      </c>
      <c r="C17" s="374" t="s">
        <v>157</v>
      </c>
      <c r="D17" s="376">
        <v>11.098212</v>
      </c>
      <c r="E17" s="280" t="s">
        <v>154</v>
      </c>
      <c r="F17" s="280" t="s">
        <v>127</v>
      </c>
      <c r="G17" s="378" t="s">
        <v>115</v>
      </c>
      <c r="H17" s="378" t="s">
        <v>122</v>
      </c>
      <c r="I17" s="381" t="s">
        <v>155</v>
      </c>
      <c r="J17" s="301">
        <v>30</v>
      </c>
      <c r="K17" s="301">
        <v>120</v>
      </c>
      <c r="L17" s="301">
        <v>67</v>
      </c>
      <c r="M17" s="301">
        <v>6.7</v>
      </c>
      <c r="N17" s="301">
        <v>2.8</v>
      </c>
      <c r="O17" s="284" t="s">
        <v>158</v>
      </c>
    </row>
    <row r="18" spans="1:15" x14ac:dyDescent="0.3">
      <c r="A18" s="367" t="s">
        <v>159</v>
      </c>
      <c r="B18" s="372">
        <v>0.9</v>
      </c>
      <c r="C18" s="374" t="s">
        <v>120</v>
      </c>
      <c r="D18" s="376">
        <v>11.098212</v>
      </c>
      <c r="E18" s="280" t="s">
        <v>154</v>
      </c>
      <c r="F18" s="280" t="s">
        <v>127</v>
      </c>
      <c r="G18" s="378" t="s">
        <v>115</v>
      </c>
      <c r="H18" s="378" t="s">
        <v>122</v>
      </c>
      <c r="I18" s="381" t="s">
        <v>155</v>
      </c>
      <c r="J18" s="301">
        <v>35</v>
      </c>
      <c r="K18" s="301">
        <v>135</v>
      </c>
      <c r="L18" s="301">
        <v>49</v>
      </c>
      <c r="M18" s="301">
        <v>4.84</v>
      </c>
      <c r="N18" s="301">
        <v>1.4</v>
      </c>
      <c r="O18" s="284" t="s">
        <v>160</v>
      </c>
    </row>
    <row r="19" spans="1:15" x14ac:dyDescent="0.3">
      <c r="A19" s="367" t="s">
        <v>161</v>
      </c>
      <c r="B19" s="372">
        <v>0.79</v>
      </c>
      <c r="C19" s="374" t="s">
        <v>162</v>
      </c>
      <c r="D19" s="376">
        <v>20.201854000000001</v>
      </c>
      <c r="E19" s="289" t="s">
        <v>163</v>
      </c>
      <c r="F19" t="s">
        <v>114</v>
      </c>
      <c r="G19" s="272" t="s">
        <v>115</v>
      </c>
      <c r="H19" s="272" t="s">
        <v>116</v>
      </c>
      <c r="I19" s="380" t="s">
        <v>164</v>
      </c>
      <c r="J19" s="298">
        <v>64.120999999999995</v>
      </c>
      <c r="K19" s="298">
        <v>269.45999999999998</v>
      </c>
      <c r="L19" s="298">
        <v>42.25</v>
      </c>
      <c r="M19" s="298">
        <v>21.679000000000002</v>
      </c>
      <c r="N19" s="298">
        <v>2.9659999999999997</v>
      </c>
      <c r="O19" s="280" t="s">
        <v>132</v>
      </c>
    </row>
    <row r="20" spans="1:15" s="280" customFormat="1" x14ac:dyDescent="0.3">
      <c r="A20" s="368" t="s">
        <v>165</v>
      </c>
      <c r="B20" s="373">
        <v>0.54</v>
      </c>
      <c r="C20" s="406" t="s">
        <v>166</v>
      </c>
      <c r="D20" s="376">
        <v>20.201854000000001</v>
      </c>
      <c r="E20" s="304" t="s">
        <v>163</v>
      </c>
      <c r="F20" s="280" t="s">
        <v>127</v>
      </c>
      <c r="G20" s="378" t="s">
        <v>115</v>
      </c>
      <c r="H20" s="378" t="s">
        <v>116</v>
      </c>
      <c r="I20" s="381" t="s">
        <v>164</v>
      </c>
      <c r="J20" s="301">
        <v>10.4</v>
      </c>
      <c r="K20" s="301">
        <v>211</v>
      </c>
      <c r="L20" s="301">
        <v>16</v>
      </c>
      <c r="M20" s="301">
        <v>6.1</v>
      </c>
      <c r="N20" s="301">
        <v>2.8</v>
      </c>
      <c r="O20" s="284" t="s">
        <v>167</v>
      </c>
    </row>
    <row r="21" spans="1:15" s="280" customFormat="1" x14ac:dyDescent="0.3">
      <c r="A21" s="368" t="s">
        <v>168</v>
      </c>
      <c r="B21" s="373">
        <v>0.54</v>
      </c>
      <c r="C21" s="406" t="s">
        <v>169</v>
      </c>
      <c r="D21" s="376">
        <v>20.201854000000001</v>
      </c>
      <c r="E21" s="304" t="s">
        <v>163</v>
      </c>
      <c r="F21" s="280" t="s">
        <v>127</v>
      </c>
      <c r="G21" s="378" t="s">
        <v>115</v>
      </c>
      <c r="H21" s="378" t="s">
        <v>116</v>
      </c>
      <c r="I21" s="381" t="s">
        <v>164</v>
      </c>
      <c r="J21" s="301">
        <v>49.3</v>
      </c>
      <c r="K21" s="301">
        <v>211</v>
      </c>
      <c r="L21" s="301">
        <v>16</v>
      </c>
      <c r="M21" s="301">
        <v>25.5</v>
      </c>
      <c r="N21" s="301">
        <v>7.4</v>
      </c>
      <c r="O21" s="284" t="s">
        <v>170</v>
      </c>
    </row>
    <row r="22" spans="1:15" s="280" customFormat="1" x14ac:dyDescent="0.3">
      <c r="A22" s="368" t="s">
        <v>171</v>
      </c>
      <c r="B22" s="373">
        <v>0.69</v>
      </c>
      <c r="C22" s="406" t="s">
        <v>172</v>
      </c>
      <c r="D22" s="376">
        <v>20.201854000000001</v>
      </c>
      <c r="E22" s="304" t="s">
        <v>163</v>
      </c>
      <c r="F22" s="280" t="s">
        <v>127</v>
      </c>
      <c r="G22" s="378" t="s">
        <v>115</v>
      </c>
      <c r="H22" s="378" t="s">
        <v>116</v>
      </c>
      <c r="I22" s="381" t="s">
        <v>164</v>
      </c>
      <c r="J22" s="301">
        <v>80</v>
      </c>
      <c r="K22" s="301">
        <v>85</v>
      </c>
      <c r="L22" s="301">
        <v>16</v>
      </c>
      <c r="M22" s="301">
        <v>37</v>
      </c>
      <c r="N22" s="301">
        <v>3.8</v>
      </c>
      <c r="O22" s="284" t="s">
        <v>173</v>
      </c>
    </row>
    <row r="23" spans="1:15" s="280" customFormat="1" x14ac:dyDescent="0.3">
      <c r="A23" s="368" t="s">
        <v>174</v>
      </c>
      <c r="B23" s="373">
        <v>0.69</v>
      </c>
      <c r="C23" s="406" t="s">
        <v>162</v>
      </c>
      <c r="D23" s="376">
        <v>20.201854000000001</v>
      </c>
      <c r="E23" s="304" t="s">
        <v>163</v>
      </c>
      <c r="F23" s="280" t="s">
        <v>127</v>
      </c>
      <c r="G23" s="378" t="s">
        <v>115</v>
      </c>
      <c r="H23" s="378" t="s">
        <v>116</v>
      </c>
      <c r="I23" s="381" t="s">
        <v>164</v>
      </c>
      <c r="J23" s="301">
        <v>84.8</v>
      </c>
      <c r="K23" s="301">
        <v>216</v>
      </c>
      <c r="L23" s="301">
        <v>41</v>
      </c>
      <c r="M23" s="301">
        <v>39.5</v>
      </c>
      <c r="N23" s="301">
        <v>3.2</v>
      </c>
      <c r="O23" s="284" t="s">
        <v>170</v>
      </c>
    </row>
    <row r="24" spans="1:15" x14ac:dyDescent="0.3">
      <c r="A24" s="367" t="s">
        <v>175</v>
      </c>
      <c r="B24" s="372">
        <v>0.81</v>
      </c>
      <c r="C24" s="374" t="s">
        <v>176</v>
      </c>
      <c r="D24" s="376">
        <v>73.821132000000006</v>
      </c>
      <c r="E24" t="s">
        <v>177</v>
      </c>
      <c r="F24" t="s">
        <v>114</v>
      </c>
      <c r="G24" s="272" t="s">
        <v>115</v>
      </c>
      <c r="H24" s="272" t="s">
        <v>122</v>
      </c>
      <c r="I24" s="380" t="s">
        <v>178</v>
      </c>
      <c r="J24" s="298">
        <v>3.63</v>
      </c>
      <c r="K24" s="298">
        <v>11</v>
      </c>
      <c r="L24" s="298">
        <v>50</v>
      </c>
      <c r="M24" s="298">
        <v>3.5</v>
      </c>
      <c r="N24" s="298">
        <v>2.5</v>
      </c>
      <c r="O24" s="280" t="s">
        <v>132</v>
      </c>
    </row>
    <row r="25" spans="1:15" s="280" customFormat="1" x14ac:dyDescent="0.3">
      <c r="A25" s="368" t="s">
        <v>179</v>
      </c>
      <c r="B25" s="373">
        <v>0.81</v>
      </c>
      <c r="C25" s="374" t="s">
        <v>126</v>
      </c>
      <c r="D25" s="376">
        <v>37.574413999999997</v>
      </c>
      <c r="E25" s="280" t="s">
        <v>180</v>
      </c>
      <c r="F25" s="280" t="s">
        <v>127</v>
      </c>
      <c r="G25" s="378" t="s">
        <v>115</v>
      </c>
      <c r="H25" s="378"/>
      <c r="I25" s="381" t="s">
        <v>181</v>
      </c>
      <c r="J25" s="297">
        <v>63</v>
      </c>
      <c r="K25" s="297">
        <v>32</v>
      </c>
      <c r="L25" s="297">
        <v>10</v>
      </c>
      <c r="M25" s="297">
        <v>4</v>
      </c>
      <c r="N25" s="297">
        <v>0.4</v>
      </c>
      <c r="O25" s="284" t="s">
        <v>182</v>
      </c>
    </row>
    <row r="26" spans="1:15" s="280" customFormat="1" x14ac:dyDescent="0.3">
      <c r="A26" s="368" t="s">
        <v>183</v>
      </c>
      <c r="B26" s="373">
        <v>0.81</v>
      </c>
      <c r="C26" s="374" t="s">
        <v>126</v>
      </c>
      <c r="D26" s="376">
        <v>37.574413999999997</v>
      </c>
      <c r="E26" s="280" t="s">
        <v>180</v>
      </c>
      <c r="F26" s="280" t="s">
        <v>127</v>
      </c>
      <c r="G26" s="378" t="s">
        <v>115</v>
      </c>
      <c r="H26" s="378"/>
      <c r="I26" s="381" t="s">
        <v>181</v>
      </c>
      <c r="J26" s="297"/>
      <c r="K26" s="297">
        <v>22</v>
      </c>
      <c r="L26" s="297">
        <v>55</v>
      </c>
      <c r="M26" s="297"/>
      <c r="N26" s="297"/>
    </row>
    <row r="27" spans="1:15" s="280" customFormat="1" x14ac:dyDescent="0.3">
      <c r="A27" s="368" t="s">
        <v>184</v>
      </c>
      <c r="B27" s="373">
        <v>0.81</v>
      </c>
      <c r="C27" s="374" t="s">
        <v>120</v>
      </c>
      <c r="D27" s="376">
        <v>37.574413999999997</v>
      </c>
      <c r="E27" s="280" t="s">
        <v>180</v>
      </c>
      <c r="F27" s="280" t="s">
        <v>127</v>
      </c>
      <c r="G27" s="378" t="s">
        <v>115</v>
      </c>
      <c r="H27" s="378"/>
      <c r="I27" s="381" t="s">
        <v>181</v>
      </c>
      <c r="J27" s="297">
        <v>55</v>
      </c>
      <c r="K27" s="297">
        <v>248</v>
      </c>
      <c r="L27" s="297">
        <v>55</v>
      </c>
      <c r="M27" s="297">
        <v>25</v>
      </c>
      <c r="N27" s="297">
        <v>0.6</v>
      </c>
      <c r="O27" s="284" t="s">
        <v>185</v>
      </c>
    </row>
    <row r="28" spans="1:15" x14ac:dyDescent="0.3">
      <c r="A28" s="367" t="s">
        <v>186</v>
      </c>
      <c r="B28" s="372">
        <v>0.81</v>
      </c>
      <c r="C28" s="374" t="s">
        <v>126</v>
      </c>
      <c r="D28" s="376">
        <v>171.39847</v>
      </c>
      <c r="E28" t="s">
        <v>187</v>
      </c>
      <c r="F28" t="s">
        <v>114</v>
      </c>
      <c r="G28" s="272" t="s">
        <v>115</v>
      </c>
      <c r="H28" s="272" t="s">
        <v>116</v>
      </c>
      <c r="I28" s="380" t="s">
        <v>188</v>
      </c>
      <c r="J28" s="216">
        <v>95</v>
      </c>
      <c r="K28" s="216">
        <v>378.09999999999991</v>
      </c>
      <c r="L28" s="298">
        <v>91</v>
      </c>
      <c r="M28" s="216">
        <v>24.700000000000003</v>
      </c>
      <c r="N28" s="216">
        <v>9.3119000000000014</v>
      </c>
      <c r="O28" s="280" t="s">
        <v>132</v>
      </c>
    </row>
    <row r="29" spans="1:15" x14ac:dyDescent="0.3">
      <c r="A29" s="367" t="s">
        <v>189</v>
      </c>
      <c r="B29" s="372">
        <v>0.81</v>
      </c>
      <c r="C29" s="374" t="s">
        <v>126</v>
      </c>
      <c r="D29" s="376">
        <v>171.39847</v>
      </c>
      <c r="E29" t="s">
        <v>187</v>
      </c>
      <c r="F29" t="s">
        <v>114</v>
      </c>
      <c r="G29" s="272" t="s">
        <v>115</v>
      </c>
      <c r="H29" s="272" t="s">
        <v>116</v>
      </c>
      <c r="I29" s="380" t="s">
        <v>188</v>
      </c>
      <c r="J29" s="216">
        <v>95</v>
      </c>
      <c r="K29" s="216">
        <v>378.09999999999991</v>
      </c>
      <c r="L29" s="298">
        <v>91</v>
      </c>
      <c r="M29" s="216">
        <v>24.700000000000003</v>
      </c>
      <c r="N29" s="216">
        <v>9.3119000000000014</v>
      </c>
      <c r="O29" s="280" t="s">
        <v>132</v>
      </c>
    </row>
    <row r="30" spans="1:15" s="289" customFormat="1" x14ac:dyDescent="0.3">
      <c r="A30" s="369" t="s">
        <v>190</v>
      </c>
      <c r="B30" s="372">
        <v>0.4</v>
      </c>
      <c r="C30" s="374" t="s">
        <v>191</v>
      </c>
      <c r="D30" s="376">
        <v>208.04329000000001</v>
      </c>
      <c r="E30" s="289" t="s">
        <v>192</v>
      </c>
      <c r="F30" s="289" t="s">
        <v>114</v>
      </c>
      <c r="G30" s="282" t="s">
        <v>115</v>
      </c>
      <c r="H30" s="282" t="s">
        <v>116</v>
      </c>
      <c r="I30" s="377" t="s">
        <v>193</v>
      </c>
      <c r="J30" s="216">
        <v>4.2</v>
      </c>
      <c r="K30" s="216">
        <v>16.128</v>
      </c>
      <c r="L30" s="298">
        <v>52</v>
      </c>
      <c r="M30" s="216">
        <v>2.9651999999999998</v>
      </c>
      <c r="N30" s="216">
        <v>0.27300000000000002</v>
      </c>
      <c r="O30" s="304" t="s">
        <v>132</v>
      </c>
    </row>
    <row r="31" spans="1:15" s="289" customFormat="1" x14ac:dyDescent="0.3">
      <c r="A31" s="369" t="s">
        <v>194</v>
      </c>
      <c r="B31" s="372">
        <v>0.4</v>
      </c>
      <c r="C31" s="374" t="s">
        <v>191</v>
      </c>
      <c r="D31" s="376">
        <v>849.97949000000006</v>
      </c>
      <c r="E31" s="289" t="s">
        <v>195</v>
      </c>
      <c r="F31" s="289" t="s">
        <v>114</v>
      </c>
      <c r="G31" s="282" t="s">
        <v>115</v>
      </c>
      <c r="H31" s="282" t="s">
        <v>116</v>
      </c>
      <c r="I31" s="377" t="s">
        <v>196</v>
      </c>
      <c r="J31" s="216">
        <v>25.2</v>
      </c>
      <c r="K31" s="298">
        <v>55.555555555555557</v>
      </c>
      <c r="L31" s="298">
        <v>45</v>
      </c>
      <c r="M31" s="216">
        <v>9</v>
      </c>
      <c r="N31" s="216">
        <v>0.45</v>
      </c>
      <c r="O31" s="304" t="s">
        <v>132</v>
      </c>
    </row>
    <row r="32" spans="1:15" s="289" customFormat="1" x14ac:dyDescent="0.3">
      <c r="A32" s="369" t="s">
        <v>197</v>
      </c>
      <c r="B32" s="372">
        <v>0.4</v>
      </c>
      <c r="C32" s="374" t="s">
        <v>191</v>
      </c>
      <c r="D32" s="376">
        <v>1439.1822999999999</v>
      </c>
      <c r="E32" s="289" t="s">
        <v>198</v>
      </c>
      <c r="F32" s="289" t="s">
        <v>114</v>
      </c>
      <c r="G32" s="282" t="s">
        <v>115</v>
      </c>
      <c r="H32" s="282" t="s">
        <v>122</v>
      </c>
      <c r="I32" s="377" t="s">
        <v>199</v>
      </c>
      <c r="J32" s="216">
        <v>25</v>
      </c>
      <c r="K32" s="216">
        <v>55.25</v>
      </c>
      <c r="L32" s="298">
        <v>48.5</v>
      </c>
      <c r="M32" s="216">
        <v>5.2</v>
      </c>
      <c r="N32" s="216">
        <v>7.4999999999999997E-2</v>
      </c>
      <c r="O32" s="304" t="s">
        <v>132</v>
      </c>
    </row>
    <row r="33" spans="1:15" x14ac:dyDescent="0.3">
      <c r="A33" s="367" t="s">
        <v>200</v>
      </c>
      <c r="B33" s="372">
        <v>0.55000000000000004</v>
      </c>
      <c r="C33" s="374" t="s">
        <v>201</v>
      </c>
      <c r="D33" s="376">
        <v>33.934629000000001</v>
      </c>
      <c r="E33" t="s">
        <v>202</v>
      </c>
      <c r="F33" t="s">
        <v>114</v>
      </c>
      <c r="G33" s="272" t="s">
        <v>115</v>
      </c>
      <c r="H33" s="272" t="s">
        <v>116</v>
      </c>
      <c r="I33" s="380" t="s">
        <v>203</v>
      </c>
      <c r="J33" s="298">
        <v>9.1</v>
      </c>
      <c r="K33" s="298">
        <v>39.6</v>
      </c>
      <c r="L33" s="298">
        <v>68</v>
      </c>
      <c r="M33" s="298">
        <v>3.4</v>
      </c>
      <c r="N33" s="298">
        <v>1.3</v>
      </c>
      <c r="O33" s="280" t="s">
        <v>132</v>
      </c>
    </row>
    <row r="34" spans="1:15" ht="19.5" thickBot="1" x14ac:dyDescent="0.35">
      <c r="A34" s="370" t="s">
        <v>204</v>
      </c>
      <c r="B34" s="375">
        <v>0.4</v>
      </c>
      <c r="C34" s="407" t="s">
        <v>205</v>
      </c>
      <c r="D34" s="382">
        <v>18.472549999999998</v>
      </c>
      <c r="E34" s="383" t="s">
        <v>206</v>
      </c>
      <c r="F34" s="383" t="s">
        <v>114</v>
      </c>
      <c r="G34" s="384" t="s">
        <v>115</v>
      </c>
      <c r="H34" s="384" t="s">
        <v>116</v>
      </c>
      <c r="I34" s="385" t="s">
        <v>207</v>
      </c>
      <c r="J34" s="298">
        <v>3.63</v>
      </c>
      <c r="K34" s="298">
        <v>11</v>
      </c>
      <c r="L34" s="298">
        <v>50</v>
      </c>
      <c r="M34" s="298">
        <v>3.5</v>
      </c>
      <c r="N34" s="298">
        <v>2.5</v>
      </c>
      <c r="O34" s="280" t="s">
        <v>132</v>
      </c>
    </row>
    <row r="35" spans="1:15" x14ac:dyDescent="0.3">
      <c r="A35"/>
      <c r="J35" s="303"/>
      <c r="K35" s="303"/>
      <c r="L35" s="303"/>
      <c r="M35" s="303"/>
      <c r="N35" s="303"/>
    </row>
    <row r="36" spans="1:15" ht="15" x14ac:dyDescent="0.25">
      <c r="I36" s="282"/>
      <c r="M36"/>
      <c r="N36"/>
    </row>
    <row r="37" spans="1:15" ht="15" x14ac:dyDescent="0.25">
      <c r="I37" s="282"/>
      <c r="M37"/>
      <c r="N37"/>
    </row>
    <row r="38" spans="1:15" ht="15" x14ac:dyDescent="0.25">
      <c r="I38" s="282"/>
      <c r="M38"/>
      <c r="N38"/>
    </row>
    <row r="39" spans="1:15" ht="15" x14ac:dyDescent="0.25">
      <c r="I39" s="282"/>
      <c r="M39"/>
      <c r="N39"/>
    </row>
    <row r="40" spans="1:15" ht="15" x14ac:dyDescent="0.25">
      <c r="I40" s="282"/>
      <c r="M40"/>
      <c r="N40"/>
    </row>
    <row r="41" spans="1:15" ht="15" x14ac:dyDescent="0.25">
      <c r="I41" s="282"/>
      <c r="M41"/>
      <c r="N41"/>
    </row>
    <row r="42" spans="1:15" ht="15" x14ac:dyDescent="0.25">
      <c r="I42" s="282"/>
      <c r="M42"/>
      <c r="N42"/>
    </row>
    <row r="43" spans="1:15" ht="15" x14ac:dyDescent="0.25">
      <c r="I43" s="282"/>
      <c r="M43"/>
      <c r="N43"/>
    </row>
    <row r="44" spans="1:15" ht="15" x14ac:dyDescent="0.25">
      <c r="I44" s="282"/>
      <c r="M44"/>
      <c r="N44"/>
    </row>
    <row r="45" spans="1:15" ht="15" x14ac:dyDescent="0.25">
      <c r="I45" s="282"/>
      <c r="M45"/>
      <c r="N45"/>
    </row>
    <row r="46" spans="1:15" ht="15" x14ac:dyDescent="0.25">
      <c r="I46" s="282"/>
      <c r="M46"/>
      <c r="N46"/>
    </row>
    <row r="47" spans="1:15" ht="15" x14ac:dyDescent="0.25">
      <c r="I47" s="282"/>
      <c r="M47"/>
      <c r="N47"/>
    </row>
  </sheetData>
  <autoFilter ref="A5:O34"/>
  <mergeCells count="1">
    <mergeCell ref="J4:O4"/>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J10" sqref="J10"/>
    </sheetView>
  </sheetViews>
  <sheetFormatPr baseColWidth="10" defaultColWidth="9.140625" defaultRowHeight="15" x14ac:dyDescent="0.25"/>
  <cols>
    <col min="1" max="1" width="59.85546875" style="433" customWidth="1"/>
    <col min="2" max="3" width="9.140625" style="433"/>
    <col min="4" max="4" width="88.42578125" style="433" customWidth="1"/>
    <col min="5" max="5" width="20.5703125" style="434" customWidth="1"/>
    <col min="6" max="6" width="17.140625" style="434" customWidth="1"/>
    <col min="7" max="7" width="28.140625" style="433" customWidth="1"/>
    <col min="8" max="8" width="40" style="433" customWidth="1"/>
  </cols>
  <sheetData>
    <row r="1" spans="1:8" ht="18.75" x14ac:dyDescent="0.3">
      <c r="A1" s="427"/>
      <c r="B1" s="429"/>
      <c r="C1" s="429"/>
      <c r="D1" s="430"/>
      <c r="E1" s="435" t="s">
        <v>208</v>
      </c>
      <c r="F1" s="431"/>
      <c r="G1" s="429"/>
      <c r="H1" s="429"/>
    </row>
    <row r="2" spans="1:8" s="428" customFormat="1" ht="79.5" customHeight="1" x14ac:dyDescent="0.25">
      <c r="A2" s="448" t="s">
        <v>209</v>
      </c>
      <c r="B2" s="449" t="s">
        <v>210</v>
      </c>
      <c r="C2" s="450" t="s">
        <v>211</v>
      </c>
      <c r="D2" s="451" t="s">
        <v>212</v>
      </c>
      <c r="E2" s="452" t="s">
        <v>213</v>
      </c>
      <c r="F2" s="437" t="s">
        <v>97</v>
      </c>
      <c r="G2" s="446" t="s">
        <v>98</v>
      </c>
      <c r="H2" s="441" t="s">
        <v>214</v>
      </c>
    </row>
    <row r="3" spans="1:8" ht="18.75" x14ac:dyDescent="0.3">
      <c r="A3" s="453" t="s">
        <v>113</v>
      </c>
      <c r="B3" s="436" t="s">
        <v>115</v>
      </c>
      <c r="C3" s="436" t="s">
        <v>116</v>
      </c>
      <c r="D3" s="454" t="s">
        <v>117</v>
      </c>
      <c r="E3" s="432" t="s">
        <v>215</v>
      </c>
      <c r="F3" s="438" t="s">
        <v>216</v>
      </c>
      <c r="G3" s="427" t="s">
        <v>112</v>
      </c>
      <c r="H3" s="442" t="s">
        <v>111</v>
      </c>
    </row>
    <row r="4" spans="1:8" ht="18.75" x14ac:dyDescent="0.3">
      <c r="A4" s="453" t="s">
        <v>217</v>
      </c>
      <c r="B4" s="436" t="s">
        <v>115</v>
      </c>
      <c r="C4" s="436" t="s">
        <v>122</v>
      </c>
      <c r="D4" s="454" t="s">
        <v>218</v>
      </c>
      <c r="E4" s="431" t="s">
        <v>219</v>
      </c>
      <c r="F4" s="438" t="s">
        <v>220</v>
      </c>
      <c r="G4" s="427" t="s">
        <v>126</v>
      </c>
      <c r="H4" s="443" t="s">
        <v>208</v>
      </c>
    </row>
    <row r="5" spans="1:8" ht="18.75" x14ac:dyDescent="0.3">
      <c r="A5" s="453" t="s">
        <v>121</v>
      </c>
      <c r="B5" s="436" t="s">
        <v>115</v>
      </c>
      <c r="C5" s="436" t="s">
        <v>122</v>
      </c>
      <c r="D5" s="454" t="s">
        <v>123</v>
      </c>
      <c r="E5" s="432" t="s">
        <v>221</v>
      </c>
      <c r="F5" s="438" t="s">
        <v>222</v>
      </c>
      <c r="G5" s="427" t="s">
        <v>120</v>
      </c>
      <c r="H5" s="442" t="s">
        <v>119</v>
      </c>
    </row>
    <row r="6" spans="1:8" ht="18.75" x14ac:dyDescent="0.3">
      <c r="A6" s="453" t="s">
        <v>130</v>
      </c>
      <c r="B6" s="436" t="s">
        <v>115</v>
      </c>
      <c r="C6" s="436" t="s">
        <v>122</v>
      </c>
      <c r="D6" s="454" t="s">
        <v>131</v>
      </c>
      <c r="E6" s="432" t="s">
        <v>223</v>
      </c>
      <c r="F6" s="438" t="s">
        <v>222</v>
      </c>
      <c r="G6" s="427" t="s">
        <v>120</v>
      </c>
      <c r="H6" s="442" t="s">
        <v>129</v>
      </c>
    </row>
    <row r="7" spans="1:8" ht="18.75" x14ac:dyDescent="0.3">
      <c r="A7" s="453" t="s">
        <v>135</v>
      </c>
      <c r="B7" s="436" t="s">
        <v>115</v>
      </c>
      <c r="C7" s="436" t="s">
        <v>122</v>
      </c>
      <c r="D7" s="454" t="s">
        <v>136</v>
      </c>
      <c r="E7" s="432" t="s">
        <v>224</v>
      </c>
      <c r="F7" s="438" t="s">
        <v>222</v>
      </c>
      <c r="G7" s="427" t="s">
        <v>134</v>
      </c>
      <c r="H7" s="442" t="s">
        <v>133</v>
      </c>
    </row>
    <row r="8" spans="1:8" ht="18.75" x14ac:dyDescent="0.3">
      <c r="A8" s="453" t="s">
        <v>138</v>
      </c>
      <c r="B8" s="436" t="s">
        <v>115</v>
      </c>
      <c r="C8" s="436" t="s">
        <v>122</v>
      </c>
      <c r="D8" s="454" t="s">
        <v>139</v>
      </c>
      <c r="E8" s="432" t="s">
        <v>225</v>
      </c>
      <c r="F8" s="438" t="s">
        <v>222</v>
      </c>
      <c r="G8" s="427" t="s">
        <v>120</v>
      </c>
      <c r="H8" s="442" t="s">
        <v>138</v>
      </c>
    </row>
    <row r="9" spans="1:8" ht="18.75" x14ac:dyDescent="0.3">
      <c r="A9" s="453" t="s">
        <v>226</v>
      </c>
      <c r="B9" s="436" t="s">
        <v>115</v>
      </c>
      <c r="C9" s="436" t="s">
        <v>122</v>
      </c>
      <c r="D9" s="454" t="s">
        <v>227</v>
      </c>
      <c r="E9" s="432" t="s">
        <v>228</v>
      </c>
      <c r="F9" s="438" t="s">
        <v>222</v>
      </c>
      <c r="G9" s="427" t="s">
        <v>120</v>
      </c>
      <c r="H9" s="442" t="s">
        <v>119</v>
      </c>
    </row>
    <row r="10" spans="1:8" ht="18.75" x14ac:dyDescent="0.3">
      <c r="A10" s="453" t="s">
        <v>141</v>
      </c>
      <c r="B10" s="436" t="s">
        <v>115</v>
      </c>
      <c r="C10" s="436" t="s">
        <v>122</v>
      </c>
      <c r="D10" s="454" t="s">
        <v>142</v>
      </c>
      <c r="E10" s="432" t="s">
        <v>229</v>
      </c>
      <c r="F10" s="438" t="s">
        <v>220</v>
      </c>
      <c r="G10" s="427" t="s">
        <v>126</v>
      </c>
      <c r="H10" s="442" t="s">
        <v>140</v>
      </c>
    </row>
    <row r="11" spans="1:8" ht="18.75" x14ac:dyDescent="0.3">
      <c r="A11" s="453" t="s">
        <v>230</v>
      </c>
      <c r="B11" s="436" t="s">
        <v>115</v>
      </c>
      <c r="C11" s="436" t="s">
        <v>122</v>
      </c>
      <c r="D11" s="454" t="s">
        <v>231</v>
      </c>
      <c r="E11" s="432" t="s">
        <v>232</v>
      </c>
      <c r="F11" s="438" t="s">
        <v>222</v>
      </c>
      <c r="G11" s="427" t="s">
        <v>120</v>
      </c>
      <c r="H11" s="442" t="s">
        <v>138</v>
      </c>
    </row>
    <row r="12" spans="1:8" ht="18.75" x14ac:dyDescent="0.3">
      <c r="A12" s="453" t="s">
        <v>233</v>
      </c>
      <c r="B12" s="436" t="s">
        <v>115</v>
      </c>
      <c r="C12" s="436" t="s">
        <v>122</v>
      </c>
      <c r="D12" s="454" t="s">
        <v>234</v>
      </c>
      <c r="E12" s="432" t="s">
        <v>235</v>
      </c>
      <c r="F12" s="438" t="s">
        <v>222</v>
      </c>
      <c r="G12" s="427" t="s">
        <v>120</v>
      </c>
      <c r="H12" s="442" t="s">
        <v>119</v>
      </c>
    </row>
    <row r="13" spans="1:8" ht="18.75" x14ac:dyDescent="0.3">
      <c r="A13" s="453" t="s">
        <v>236</v>
      </c>
      <c r="B13" s="436" t="s">
        <v>115</v>
      </c>
      <c r="C13" s="436" t="s">
        <v>122</v>
      </c>
      <c r="D13" s="454" t="s">
        <v>237</v>
      </c>
      <c r="E13" s="432" t="s">
        <v>238</v>
      </c>
      <c r="F13" s="438" t="s">
        <v>222</v>
      </c>
      <c r="G13" s="427" t="s">
        <v>120</v>
      </c>
      <c r="H13" s="442" t="s">
        <v>119</v>
      </c>
    </row>
    <row r="14" spans="1:8" ht="18.75" x14ac:dyDescent="0.3">
      <c r="A14" s="453" t="s">
        <v>239</v>
      </c>
      <c r="B14" s="436" t="s">
        <v>115</v>
      </c>
      <c r="C14" s="436" t="s">
        <v>116</v>
      </c>
      <c r="D14" s="454" t="s">
        <v>240</v>
      </c>
      <c r="E14" s="432" t="s">
        <v>241</v>
      </c>
      <c r="F14" s="438" t="s">
        <v>216</v>
      </c>
      <c r="G14" s="427" t="s">
        <v>112</v>
      </c>
      <c r="H14" s="442" t="s">
        <v>143</v>
      </c>
    </row>
    <row r="15" spans="1:8" ht="18.75" x14ac:dyDescent="0.3">
      <c r="A15" s="453" t="s">
        <v>144</v>
      </c>
      <c r="B15" s="436" t="s">
        <v>115</v>
      </c>
      <c r="C15" s="436" t="s">
        <v>116</v>
      </c>
      <c r="D15" s="454" t="s">
        <v>145</v>
      </c>
      <c r="E15" s="432" t="s">
        <v>242</v>
      </c>
      <c r="F15" s="438" t="s">
        <v>216</v>
      </c>
      <c r="G15" s="427" t="s">
        <v>112</v>
      </c>
      <c r="H15" s="442" t="s">
        <v>143</v>
      </c>
    </row>
    <row r="16" spans="1:8" ht="18.75" x14ac:dyDescent="0.3">
      <c r="A16" s="453" t="s">
        <v>243</v>
      </c>
      <c r="B16" s="436" t="s">
        <v>115</v>
      </c>
      <c r="C16" s="436" t="s">
        <v>116</v>
      </c>
      <c r="D16" s="454" t="s">
        <v>244</v>
      </c>
      <c r="E16" s="432" t="s">
        <v>245</v>
      </c>
      <c r="F16" s="438" t="s">
        <v>216</v>
      </c>
      <c r="G16" s="427" t="s">
        <v>112</v>
      </c>
      <c r="H16" s="442" t="s">
        <v>143</v>
      </c>
    </row>
    <row r="17" spans="1:8" ht="18.75" x14ac:dyDescent="0.3">
      <c r="A17" s="453" t="s">
        <v>246</v>
      </c>
      <c r="B17" s="436" t="s">
        <v>115</v>
      </c>
      <c r="C17" s="436" t="s">
        <v>116</v>
      </c>
      <c r="D17" s="454" t="s">
        <v>247</v>
      </c>
      <c r="E17" s="432" t="s">
        <v>248</v>
      </c>
      <c r="F17" s="438" t="s">
        <v>216</v>
      </c>
      <c r="G17" s="427" t="s">
        <v>112</v>
      </c>
      <c r="H17" s="442" t="s">
        <v>143</v>
      </c>
    </row>
    <row r="18" spans="1:8" ht="18.75" x14ac:dyDescent="0.3">
      <c r="A18" s="453" t="s">
        <v>249</v>
      </c>
      <c r="B18" s="436" t="s">
        <v>115</v>
      </c>
      <c r="C18" s="436" t="s">
        <v>116</v>
      </c>
      <c r="D18" s="454" t="s">
        <v>250</v>
      </c>
      <c r="E18" s="432" t="s">
        <v>251</v>
      </c>
      <c r="F18" s="438" t="s">
        <v>216</v>
      </c>
      <c r="G18" s="427" t="s">
        <v>112</v>
      </c>
      <c r="H18" s="442" t="s">
        <v>143</v>
      </c>
    </row>
    <row r="19" spans="1:8" ht="18.75" x14ac:dyDescent="0.3">
      <c r="A19" s="453" t="s">
        <v>252</v>
      </c>
      <c r="B19" s="436" t="s">
        <v>115</v>
      </c>
      <c r="C19" s="436" t="s">
        <v>116</v>
      </c>
      <c r="D19" s="454" t="s">
        <v>253</v>
      </c>
      <c r="E19" s="432" t="s">
        <v>254</v>
      </c>
      <c r="F19" s="438" t="s">
        <v>216</v>
      </c>
      <c r="G19" s="427" t="s">
        <v>112</v>
      </c>
      <c r="H19" s="442" t="s">
        <v>143</v>
      </c>
    </row>
    <row r="20" spans="1:8" ht="18.75" x14ac:dyDescent="0.3">
      <c r="A20" s="453" t="s">
        <v>255</v>
      </c>
      <c r="B20" s="436" t="s">
        <v>115</v>
      </c>
      <c r="C20" s="436" t="s">
        <v>116</v>
      </c>
      <c r="D20" s="454" t="s">
        <v>256</v>
      </c>
      <c r="E20" s="432" t="s">
        <v>257</v>
      </c>
      <c r="F20" s="438" t="s">
        <v>216</v>
      </c>
      <c r="G20" s="427" t="s">
        <v>112</v>
      </c>
      <c r="H20" s="442" t="s">
        <v>143</v>
      </c>
    </row>
    <row r="21" spans="1:8" ht="18.75" x14ac:dyDescent="0.3">
      <c r="A21" s="453" t="s">
        <v>258</v>
      </c>
      <c r="B21" s="436" t="s">
        <v>115</v>
      </c>
      <c r="C21" s="436" t="s">
        <v>116</v>
      </c>
      <c r="D21" s="454" t="s">
        <v>259</v>
      </c>
      <c r="E21" s="432" t="s">
        <v>260</v>
      </c>
      <c r="F21" s="438" t="s">
        <v>216</v>
      </c>
      <c r="G21" s="427" t="s">
        <v>112</v>
      </c>
      <c r="H21" s="442" t="s">
        <v>143</v>
      </c>
    </row>
    <row r="22" spans="1:8" ht="18.75" x14ac:dyDescent="0.3">
      <c r="A22" s="453" t="s">
        <v>261</v>
      </c>
      <c r="B22" s="436" t="s">
        <v>115</v>
      </c>
      <c r="C22" s="436" t="s">
        <v>116</v>
      </c>
      <c r="D22" s="454" t="s">
        <v>262</v>
      </c>
      <c r="E22" s="432" t="s">
        <v>263</v>
      </c>
      <c r="F22" s="438" t="s">
        <v>216</v>
      </c>
      <c r="G22" s="427" t="s">
        <v>112</v>
      </c>
      <c r="H22" s="442" t="s">
        <v>143</v>
      </c>
    </row>
    <row r="23" spans="1:8" ht="18.75" x14ac:dyDescent="0.3">
      <c r="A23" s="453" t="s">
        <v>264</v>
      </c>
      <c r="B23" s="436" t="s">
        <v>115</v>
      </c>
      <c r="C23" s="436" t="s">
        <v>116</v>
      </c>
      <c r="D23" s="454" t="s">
        <v>265</v>
      </c>
      <c r="E23" s="432" t="s">
        <v>266</v>
      </c>
      <c r="F23" s="438" t="s">
        <v>216</v>
      </c>
      <c r="G23" s="427" t="s">
        <v>112</v>
      </c>
      <c r="H23" s="442" t="s">
        <v>143</v>
      </c>
    </row>
    <row r="24" spans="1:8" ht="18.75" x14ac:dyDescent="0.3">
      <c r="A24" s="453" t="s">
        <v>267</v>
      </c>
      <c r="B24" s="436" t="s">
        <v>115</v>
      </c>
      <c r="C24" s="436" t="s">
        <v>116</v>
      </c>
      <c r="D24" s="454" t="s">
        <v>268</v>
      </c>
      <c r="E24" s="432" t="s">
        <v>269</v>
      </c>
      <c r="F24" s="438" t="s">
        <v>216</v>
      </c>
      <c r="G24" s="427" t="s">
        <v>112</v>
      </c>
      <c r="H24" s="442" t="s">
        <v>143</v>
      </c>
    </row>
    <row r="25" spans="1:8" ht="18.75" x14ac:dyDescent="0.3">
      <c r="A25" s="453" t="s">
        <v>270</v>
      </c>
      <c r="B25" s="436" t="s">
        <v>115</v>
      </c>
      <c r="C25" s="436"/>
      <c r="D25" s="454" t="s">
        <v>271</v>
      </c>
      <c r="E25" s="432" t="s">
        <v>272</v>
      </c>
      <c r="F25" s="439" t="s">
        <v>220</v>
      </c>
      <c r="G25" s="427" t="s">
        <v>126</v>
      </c>
      <c r="H25" s="442" t="s">
        <v>183</v>
      </c>
    </row>
    <row r="26" spans="1:8" ht="18.75" x14ac:dyDescent="0.3">
      <c r="A26" s="453" t="s">
        <v>273</v>
      </c>
      <c r="B26" s="436" t="s">
        <v>115</v>
      </c>
      <c r="C26" s="436" t="s">
        <v>122</v>
      </c>
      <c r="D26" s="454" t="s">
        <v>274</v>
      </c>
      <c r="E26" s="432" t="s">
        <v>275</v>
      </c>
      <c r="F26" s="439" t="s">
        <v>220</v>
      </c>
      <c r="G26" s="427" t="s">
        <v>126</v>
      </c>
      <c r="H26" s="443" t="s">
        <v>208</v>
      </c>
    </row>
    <row r="27" spans="1:8" ht="18.75" x14ac:dyDescent="0.3">
      <c r="A27" s="453" t="s">
        <v>276</v>
      </c>
      <c r="B27" s="436" t="s">
        <v>115</v>
      </c>
      <c r="C27" s="436"/>
      <c r="D27" s="454" t="s">
        <v>277</v>
      </c>
      <c r="E27" s="432" t="s">
        <v>278</v>
      </c>
      <c r="F27" s="439" t="s">
        <v>220</v>
      </c>
      <c r="G27" s="427" t="s">
        <v>126</v>
      </c>
      <c r="H27" s="443" t="s">
        <v>208</v>
      </c>
    </row>
    <row r="28" spans="1:8" ht="18.75" x14ac:dyDescent="0.3">
      <c r="A28" s="453" t="s">
        <v>279</v>
      </c>
      <c r="B28" s="436" t="s">
        <v>115</v>
      </c>
      <c r="C28" s="436" t="s">
        <v>116</v>
      </c>
      <c r="D28" s="454" t="s">
        <v>280</v>
      </c>
      <c r="E28" s="432" t="s">
        <v>281</v>
      </c>
      <c r="F28" s="438" t="s">
        <v>216</v>
      </c>
      <c r="G28" s="427" t="s">
        <v>112</v>
      </c>
      <c r="H28" s="443" t="s">
        <v>204</v>
      </c>
    </row>
    <row r="29" spans="1:8" ht="18.75" x14ac:dyDescent="0.3">
      <c r="A29" s="453" t="s">
        <v>282</v>
      </c>
      <c r="B29" s="436" t="s">
        <v>115</v>
      </c>
      <c r="C29" s="436" t="s">
        <v>116</v>
      </c>
      <c r="D29" s="454" t="s">
        <v>283</v>
      </c>
      <c r="E29" s="432" t="s">
        <v>284</v>
      </c>
      <c r="F29" s="438" t="s">
        <v>216</v>
      </c>
      <c r="G29" s="427" t="s">
        <v>112</v>
      </c>
      <c r="H29" s="443" t="s">
        <v>204</v>
      </c>
    </row>
    <row r="30" spans="1:8" ht="18.75" x14ac:dyDescent="0.3">
      <c r="A30" s="453" t="s">
        <v>147</v>
      </c>
      <c r="B30" s="436" t="s">
        <v>115</v>
      </c>
      <c r="C30" s="436" t="s">
        <v>116</v>
      </c>
      <c r="D30" s="454" t="s">
        <v>148</v>
      </c>
      <c r="E30" s="432" t="s">
        <v>285</v>
      </c>
      <c r="F30" s="438" t="s">
        <v>216</v>
      </c>
      <c r="G30" s="427" t="s">
        <v>112</v>
      </c>
      <c r="H30" s="442" t="s">
        <v>146</v>
      </c>
    </row>
    <row r="31" spans="1:8" ht="18.75" x14ac:dyDescent="0.3">
      <c r="A31" s="453" t="s">
        <v>286</v>
      </c>
      <c r="B31" s="436" t="s">
        <v>115</v>
      </c>
      <c r="C31" s="436" t="s">
        <v>116</v>
      </c>
      <c r="D31" s="454" t="s">
        <v>287</v>
      </c>
      <c r="E31" s="432" t="s">
        <v>288</v>
      </c>
      <c r="F31" s="438" t="s">
        <v>216</v>
      </c>
      <c r="G31" s="427" t="s">
        <v>112</v>
      </c>
      <c r="H31" s="442" t="s">
        <v>111</v>
      </c>
    </row>
    <row r="32" spans="1:8" ht="18.75" x14ac:dyDescent="0.3">
      <c r="A32" s="453" t="s">
        <v>289</v>
      </c>
      <c r="B32" s="436" t="s">
        <v>115</v>
      </c>
      <c r="C32" s="436"/>
      <c r="D32" s="454" t="s">
        <v>290</v>
      </c>
      <c r="E32" s="432" t="s">
        <v>291</v>
      </c>
      <c r="F32" s="439" t="s">
        <v>220</v>
      </c>
      <c r="G32" s="427" t="s">
        <v>126</v>
      </c>
      <c r="H32" s="443" t="s">
        <v>208</v>
      </c>
    </row>
    <row r="33" spans="1:8" ht="18.75" x14ac:dyDescent="0.3">
      <c r="A33" s="453" t="s">
        <v>292</v>
      </c>
      <c r="B33" s="436" t="s">
        <v>115</v>
      </c>
      <c r="C33" s="436" t="s">
        <v>122</v>
      </c>
      <c r="D33" s="454" t="s">
        <v>293</v>
      </c>
      <c r="E33" s="432" t="s">
        <v>294</v>
      </c>
      <c r="F33" s="439" t="s">
        <v>220</v>
      </c>
      <c r="G33" s="427" t="s">
        <v>126</v>
      </c>
      <c r="H33" s="442" t="s">
        <v>149</v>
      </c>
    </row>
    <row r="34" spans="1:8" ht="18.75" x14ac:dyDescent="0.3">
      <c r="A34" s="453" t="s">
        <v>154</v>
      </c>
      <c r="B34" s="436" t="s">
        <v>115</v>
      </c>
      <c r="C34" s="436" t="s">
        <v>122</v>
      </c>
      <c r="D34" s="454" t="s">
        <v>155</v>
      </c>
      <c r="E34" s="432" t="s">
        <v>295</v>
      </c>
      <c r="F34" s="438" t="s">
        <v>296</v>
      </c>
      <c r="G34" s="427" t="s">
        <v>153</v>
      </c>
      <c r="H34" s="442" t="s">
        <v>152</v>
      </c>
    </row>
    <row r="35" spans="1:8" ht="18.75" x14ac:dyDescent="0.3">
      <c r="A35" s="453" t="s">
        <v>163</v>
      </c>
      <c r="B35" s="436" t="s">
        <v>115</v>
      </c>
      <c r="C35" s="436" t="s">
        <v>116</v>
      </c>
      <c r="D35" s="454" t="s">
        <v>164</v>
      </c>
      <c r="E35" s="432" t="s">
        <v>297</v>
      </c>
      <c r="F35" s="438" t="s">
        <v>296</v>
      </c>
      <c r="G35" s="427" t="s">
        <v>162</v>
      </c>
      <c r="H35" s="442" t="s">
        <v>161</v>
      </c>
    </row>
    <row r="36" spans="1:8" ht="18.75" x14ac:dyDescent="0.3">
      <c r="A36" s="453" t="s">
        <v>177</v>
      </c>
      <c r="B36" s="436" t="s">
        <v>115</v>
      </c>
      <c r="C36" s="436" t="s">
        <v>122</v>
      </c>
      <c r="D36" s="454" t="s">
        <v>178</v>
      </c>
      <c r="E36" s="432" t="s">
        <v>298</v>
      </c>
      <c r="F36" s="438" t="s">
        <v>220</v>
      </c>
      <c r="G36" s="427" t="s">
        <v>176</v>
      </c>
      <c r="H36" s="442" t="s">
        <v>175</v>
      </c>
    </row>
    <row r="37" spans="1:8" ht="18.75" x14ac:dyDescent="0.3">
      <c r="A37" s="453" t="s">
        <v>299</v>
      </c>
      <c r="B37" s="436" t="s">
        <v>115</v>
      </c>
      <c r="C37" s="436" t="s">
        <v>122</v>
      </c>
      <c r="D37" s="454" t="s">
        <v>300</v>
      </c>
      <c r="E37" s="432" t="s">
        <v>301</v>
      </c>
      <c r="F37" s="438" t="s">
        <v>296</v>
      </c>
      <c r="G37" s="427" t="s">
        <v>153</v>
      </c>
      <c r="H37" s="442" t="s">
        <v>152</v>
      </c>
    </row>
    <row r="38" spans="1:8" ht="18.75" x14ac:dyDescent="0.3">
      <c r="A38" s="453" t="s">
        <v>302</v>
      </c>
      <c r="B38" s="436" t="s">
        <v>115</v>
      </c>
      <c r="C38" s="436" t="s">
        <v>116</v>
      </c>
      <c r="D38" s="454" t="s">
        <v>303</v>
      </c>
      <c r="E38" s="432" t="s">
        <v>304</v>
      </c>
      <c r="F38" s="438" t="s">
        <v>208</v>
      </c>
      <c r="G38" s="427" t="s">
        <v>208</v>
      </c>
      <c r="H38" s="442" t="s">
        <v>208</v>
      </c>
    </row>
    <row r="39" spans="1:8" ht="18.75" x14ac:dyDescent="0.3">
      <c r="A39" s="453" t="s">
        <v>305</v>
      </c>
      <c r="B39" s="436" t="s">
        <v>115</v>
      </c>
      <c r="C39" s="436" t="s">
        <v>116</v>
      </c>
      <c r="D39" s="454" t="s">
        <v>306</v>
      </c>
      <c r="E39" s="432" t="s">
        <v>307</v>
      </c>
      <c r="F39" s="438" t="s">
        <v>208</v>
      </c>
      <c r="G39" s="427" t="s">
        <v>208</v>
      </c>
      <c r="H39" s="442" t="s">
        <v>208</v>
      </c>
    </row>
    <row r="40" spans="1:8" ht="18.75" x14ac:dyDescent="0.3">
      <c r="A40" s="453" t="s">
        <v>187</v>
      </c>
      <c r="B40" s="436" t="s">
        <v>115</v>
      </c>
      <c r="C40" s="436" t="s">
        <v>116</v>
      </c>
      <c r="D40" s="454" t="s">
        <v>188</v>
      </c>
      <c r="E40" s="432" t="s">
        <v>308</v>
      </c>
      <c r="F40" s="438" t="s">
        <v>220</v>
      </c>
      <c r="G40" s="427" t="s">
        <v>126</v>
      </c>
      <c r="H40" s="442" t="s">
        <v>186</v>
      </c>
    </row>
    <row r="41" spans="1:8" ht="18.75" x14ac:dyDescent="0.3">
      <c r="A41" s="453" t="s">
        <v>187</v>
      </c>
      <c r="B41" s="436" t="s">
        <v>115</v>
      </c>
      <c r="C41" s="436" t="s">
        <v>116</v>
      </c>
      <c r="D41" s="454" t="s">
        <v>188</v>
      </c>
      <c r="E41" s="432" t="s">
        <v>308</v>
      </c>
      <c r="F41" s="438" t="s">
        <v>220</v>
      </c>
      <c r="G41" s="427" t="s">
        <v>126</v>
      </c>
      <c r="H41" s="442" t="s">
        <v>189</v>
      </c>
    </row>
    <row r="42" spans="1:8" ht="18.75" x14ac:dyDescent="0.3">
      <c r="A42" s="453" t="s">
        <v>309</v>
      </c>
      <c r="B42" s="436" t="s">
        <v>115</v>
      </c>
      <c r="C42" s="436" t="s">
        <v>116</v>
      </c>
      <c r="D42" s="454" t="s">
        <v>310</v>
      </c>
      <c r="E42" s="432" t="s">
        <v>311</v>
      </c>
      <c r="F42" s="438" t="s">
        <v>220</v>
      </c>
      <c r="G42" s="427" t="s">
        <v>126</v>
      </c>
      <c r="H42" s="444" t="s">
        <v>174</v>
      </c>
    </row>
    <row r="43" spans="1:8" ht="18.75" x14ac:dyDescent="0.3">
      <c r="A43" s="453" t="s">
        <v>312</v>
      </c>
      <c r="B43" s="436" t="s">
        <v>115</v>
      </c>
      <c r="C43" s="436" t="s">
        <v>122</v>
      </c>
      <c r="D43" s="454" t="s">
        <v>313</v>
      </c>
      <c r="E43" s="432" t="s">
        <v>314</v>
      </c>
      <c r="F43" s="438" t="s">
        <v>216</v>
      </c>
      <c r="G43" s="427" t="s">
        <v>191</v>
      </c>
      <c r="H43" s="442" t="s">
        <v>197</v>
      </c>
    </row>
    <row r="44" spans="1:8" ht="18.75" x14ac:dyDescent="0.3">
      <c r="A44" s="453" t="s">
        <v>192</v>
      </c>
      <c r="B44" s="436" t="s">
        <v>115</v>
      </c>
      <c r="C44" s="436" t="s">
        <v>116</v>
      </c>
      <c r="D44" s="454" t="s">
        <v>193</v>
      </c>
      <c r="E44" s="432" t="s">
        <v>315</v>
      </c>
      <c r="F44" s="438" t="s">
        <v>216</v>
      </c>
      <c r="G44" s="427" t="s">
        <v>191</v>
      </c>
      <c r="H44" s="442" t="s">
        <v>190</v>
      </c>
    </row>
    <row r="45" spans="1:8" ht="18.75" x14ac:dyDescent="0.3">
      <c r="A45" s="453" t="s">
        <v>195</v>
      </c>
      <c r="B45" s="436" t="s">
        <v>115</v>
      </c>
      <c r="C45" s="436" t="s">
        <v>116</v>
      </c>
      <c r="D45" s="454" t="s">
        <v>196</v>
      </c>
      <c r="E45" s="432" t="s">
        <v>316</v>
      </c>
      <c r="F45" s="438" t="s">
        <v>216</v>
      </c>
      <c r="G45" s="427" t="s">
        <v>191</v>
      </c>
      <c r="H45" s="442" t="s">
        <v>194</v>
      </c>
    </row>
    <row r="46" spans="1:8" ht="18.75" x14ac:dyDescent="0.3">
      <c r="A46" s="453" t="s">
        <v>317</v>
      </c>
      <c r="B46" s="436" t="s">
        <v>115</v>
      </c>
      <c r="C46" s="436" t="s">
        <v>122</v>
      </c>
      <c r="D46" s="454" t="s">
        <v>318</v>
      </c>
      <c r="E46" s="432" t="s">
        <v>319</v>
      </c>
      <c r="F46" s="438" t="s">
        <v>216</v>
      </c>
      <c r="G46" s="427" t="s">
        <v>191</v>
      </c>
      <c r="H46" s="442" t="s">
        <v>194</v>
      </c>
    </row>
    <row r="47" spans="1:8" ht="18.75" x14ac:dyDescent="0.3">
      <c r="A47" s="453" t="s">
        <v>198</v>
      </c>
      <c r="B47" s="436" t="s">
        <v>115</v>
      </c>
      <c r="C47" s="436" t="s">
        <v>122</v>
      </c>
      <c r="D47" s="454" t="s">
        <v>199</v>
      </c>
      <c r="E47" s="432" t="s">
        <v>320</v>
      </c>
      <c r="F47" s="438" t="s">
        <v>216</v>
      </c>
      <c r="G47" s="427" t="s">
        <v>191</v>
      </c>
      <c r="H47" s="442" t="s">
        <v>197</v>
      </c>
    </row>
    <row r="48" spans="1:8" ht="18.75" x14ac:dyDescent="0.3">
      <c r="A48" s="453" t="s">
        <v>321</v>
      </c>
      <c r="B48" s="436" t="s">
        <v>115</v>
      </c>
      <c r="C48" s="436" t="s">
        <v>122</v>
      </c>
      <c r="D48" s="454" t="s">
        <v>322</v>
      </c>
      <c r="E48" s="432" t="s">
        <v>323</v>
      </c>
      <c r="F48" s="438" t="s">
        <v>216</v>
      </c>
      <c r="G48" s="427" t="s">
        <v>191</v>
      </c>
      <c r="H48" s="442" t="s">
        <v>194</v>
      </c>
    </row>
    <row r="49" spans="1:8" ht="18.75" x14ac:dyDescent="0.3">
      <c r="A49" s="453" t="s">
        <v>324</v>
      </c>
      <c r="B49" s="436" t="s">
        <v>115</v>
      </c>
      <c r="C49" s="436" t="s">
        <v>122</v>
      </c>
      <c r="D49" s="454" t="s">
        <v>325</v>
      </c>
      <c r="E49" s="432" t="s">
        <v>326</v>
      </c>
      <c r="F49" s="438" t="s">
        <v>216</v>
      </c>
      <c r="G49" s="427" t="s">
        <v>191</v>
      </c>
      <c r="H49" s="442" t="s">
        <v>190</v>
      </c>
    </row>
    <row r="50" spans="1:8" ht="18.75" x14ac:dyDescent="0.3">
      <c r="A50" s="453" t="s">
        <v>327</v>
      </c>
      <c r="B50" s="436" t="s">
        <v>115</v>
      </c>
      <c r="C50" s="436" t="s">
        <v>116</v>
      </c>
      <c r="D50" s="454" t="s">
        <v>328</v>
      </c>
      <c r="E50" s="432" t="s">
        <v>329</v>
      </c>
      <c r="F50" s="438" t="s">
        <v>216</v>
      </c>
      <c r="G50" s="427" t="s">
        <v>191</v>
      </c>
      <c r="H50" s="442" t="s">
        <v>194</v>
      </c>
    </row>
    <row r="51" spans="1:8" ht="18.75" x14ac:dyDescent="0.3">
      <c r="A51" s="453" t="s">
        <v>330</v>
      </c>
      <c r="B51" s="436" t="s">
        <v>115</v>
      </c>
      <c r="C51" s="436" t="s">
        <v>116</v>
      </c>
      <c r="D51" s="454" t="s">
        <v>331</v>
      </c>
      <c r="E51" s="432" t="s">
        <v>332</v>
      </c>
      <c r="F51" s="438" t="s">
        <v>216</v>
      </c>
      <c r="G51" s="427" t="s">
        <v>191</v>
      </c>
      <c r="H51" s="442" t="s">
        <v>194</v>
      </c>
    </row>
    <row r="52" spans="1:8" ht="18.75" x14ac:dyDescent="0.3">
      <c r="A52" s="453" t="s">
        <v>333</v>
      </c>
      <c r="B52" s="436" t="s">
        <v>115</v>
      </c>
      <c r="C52" s="436" t="s">
        <v>116</v>
      </c>
      <c r="D52" s="454" t="s">
        <v>334</v>
      </c>
      <c r="E52" s="432" t="s">
        <v>335</v>
      </c>
      <c r="F52" s="438" t="s">
        <v>216</v>
      </c>
      <c r="G52" s="427" t="s">
        <v>191</v>
      </c>
      <c r="H52" s="442" t="s">
        <v>194</v>
      </c>
    </row>
    <row r="53" spans="1:8" ht="18.75" x14ac:dyDescent="0.3">
      <c r="A53" s="453" t="s">
        <v>202</v>
      </c>
      <c r="B53" s="436" t="s">
        <v>115</v>
      </c>
      <c r="C53" s="436" t="s">
        <v>116</v>
      </c>
      <c r="D53" s="454" t="s">
        <v>203</v>
      </c>
      <c r="E53" s="432" t="s">
        <v>336</v>
      </c>
      <c r="F53" s="438" t="s">
        <v>337</v>
      </c>
      <c r="G53" s="427" t="s">
        <v>201</v>
      </c>
      <c r="H53" s="442" t="s">
        <v>200</v>
      </c>
    </row>
    <row r="54" spans="1:8" ht="18.75" x14ac:dyDescent="0.3">
      <c r="A54" s="453" t="s">
        <v>338</v>
      </c>
      <c r="B54" s="436" t="s">
        <v>115</v>
      </c>
      <c r="C54" s="436" t="s">
        <v>116</v>
      </c>
      <c r="D54" s="454" t="s">
        <v>339</v>
      </c>
      <c r="E54" s="432" t="s">
        <v>340</v>
      </c>
      <c r="F54" s="438" t="s">
        <v>337</v>
      </c>
      <c r="G54" s="427" t="s">
        <v>201</v>
      </c>
      <c r="H54" s="442" t="s">
        <v>200</v>
      </c>
    </row>
    <row r="55" spans="1:8" ht="18.75" x14ac:dyDescent="0.3">
      <c r="A55" s="453" t="s">
        <v>206</v>
      </c>
      <c r="B55" s="436" t="s">
        <v>115</v>
      </c>
      <c r="C55" s="436" t="s">
        <v>116</v>
      </c>
      <c r="D55" s="454" t="s">
        <v>207</v>
      </c>
      <c r="E55" s="432" t="s">
        <v>341</v>
      </c>
      <c r="F55" s="438" t="s">
        <v>216</v>
      </c>
      <c r="G55" s="427" t="s">
        <v>205</v>
      </c>
      <c r="H55" s="442" t="s">
        <v>204</v>
      </c>
    </row>
    <row r="56" spans="1:8" ht="18.75" x14ac:dyDescent="0.3">
      <c r="A56" s="453" t="s">
        <v>342</v>
      </c>
      <c r="B56" s="436" t="s">
        <v>115</v>
      </c>
      <c r="C56" s="436" t="s">
        <v>116</v>
      </c>
      <c r="D56" s="454" t="s">
        <v>343</v>
      </c>
      <c r="E56" s="432" t="s">
        <v>344</v>
      </c>
      <c r="F56" s="438" t="s">
        <v>216</v>
      </c>
      <c r="G56" s="427" t="s">
        <v>205</v>
      </c>
      <c r="H56" s="442" t="s">
        <v>204</v>
      </c>
    </row>
    <row r="57" spans="1:8" ht="18.75" x14ac:dyDescent="0.3">
      <c r="A57" s="453" t="s">
        <v>345</v>
      </c>
      <c r="B57" s="436" t="s">
        <v>115</v>
      </c>
      <c r="C57" s="436" t="s">
        <v>116</v>
      </c>
      <c r="D57" s="454" t="s">
        <v>346</v>
      </c>
      <c r="E57" s="432" t="s">
        <v>347</v>
      </c>
      <c r="F57" s="438" t="s">
        <v>216</v>
      </c>
      <c r="G57" s="427" t="s">
        <v>112</v>
      </c>
      <c r="H57" s="442" t="s">
        <v>204</v>
      </c>
    </row>
    <row r="58" spans="1:8" ht="18.75" x14ac:dyDescent="0.3">
      <c r="A58" s="453" t="s">
        <v>348</v>
      </c>
      <c r="B58" s="436" t="s">
        <v>115</v>
      </c>
      <c r="C58" s="436" t="s">
        <v>116</v>
      </c>
      <c r="D58" s="454" t="s">
        <v>349</v>
      </c>
      <c r="E58" s="432" t="s">
        <v>350</v>
      </c>
      <c r="F58" s="438" t="s">
        <v>216</v>
      </c>
      <c r="G58" s="427" t="s">
        <v>112</v>
      </c>
      <c r="H58" s="442" t="s">
        <v>204</v>
      </c>
    </row>
    <row r="59" spans="1:8" ht="18.75" x14ac:dyDescent="0.3">
      <c r="A59" s="453" t="s">
        <v>351</v>
      </c>
      <c r="B59" s="436" t="s">
        <v>115</v>
      </c>
      <c r="C59" s="436" t="s">
        <v>122</v>
      </c>
      <c r="D59" s="454" t="s">
        <v>352</v>
      </c>
      <c r="E59" s="432" t="s">
        <v>353</v>
      </c>
      <c r="F59" s="438" t="s">
        <v>220</v>
      </c>
      <c r="G59" s="427" t="s">
        <v>126</v>
      </c>
      <c r="H59" s="442" t="s">
        <v>186</v>
      </c>
    </row>
    <row r="60" spans="1:8" ht="18.75" x14ac:dyDescent="0.3">
      <c r="A60" s="453" t="s">
        <v>354</v>
      </c>
      <c r="B60" s="436" t="s">
        <v>115</v>
      </c>
      <c r="C60" s="436" t="s">
        <v>116</v>
      </c>
      <c r="D60" s="454" t="s">
        <v>355</v>
      </c>
      <c r="E60" s="432" t="s">
        <v>356</v>
      </c>
      <c r="F60" s="438" t="s">
        <v>220</v>
      </c>
      <c r="G60" s="427" t="s">
        <v>126</v>
      </c>
      <c r="H60" s="442" t="s">
        <v>186</v>
      </c>
    </row>
    <row r="61" spans="1:8" ht="18.75" x14ac:dyDescent="0.3">
      <c r="A61" s="453" t="s">
        <v>357</v>
      </c>
      <c r="B61" s="436" t="s">
        <v>115</v>
      </c>
      <c r="C61" s="436" t="s">
        <v>122</v>
      </c>
      <c r="D61" s="454" t="s">
        <v>358</v>
      </c>
      <c r="E61" s="432" t="s">
        <v>359</v>
      </c>
      <c r="F61" s="438" t="s">
        <v>220</v>
      </c>
      <c r="G61" s="427" t="s">
        <v>126</v>
      </c>
      <c r="H61" s="442" t="s">
        <v>186</v>
      </c>
    </row>
    <row r="62" spans="1:8" ht="18.75" x14ac:dyDescent="0.3">
      <c r="A62" s="453" t="s">
        <v>150</v>
      </c>
      <c r="B62" s="436" t="s">
        <v>115</v>
      </c>
      <c r="C62" s="436" t="s">
        <v>122</v>
      </c>
      <c r="D62" s="454" t="s">
        <v>151</v>
      </c>
      <c r="E62" s="432" t="s">
        <v>360</v>
      </c>
      <c r="F62" s="438" t="s">
        <v>220</v>
      </c>
      <c r="G62" s="427" t="s">
        <v>126</v>
      </c>
      <c r="H62" s="442" t="s">
        <v>186</v>
      </c>
    </row>
    <row r="63" spans="1:8" ht="18.75" x14ac:dyDescent="0.3">
      <c r="A63" s="453" t="s">
        <v>361</v>
      </c>
      <c r="B63" s="436" t="s">
        <v>115</v>
      </c>
      <c r="C63" s="436" t="s">
        <v>116</v>
      </c>
      <c r="D63" s="454" t="s">
        <v>362</v>
      </c>
      <c r="E63" s="432" t="s">
        <v>359</v>
      </c>
      <c r="F63" s="438" t="s">
        <v>220</v>
      </c>
      <c r="G63" s="427" t="s">
        <v>126</v>
      </c>
      <c r="H63" s="442" t="s">
        <v>186</v>
      </c>
    </row>
    <row r="64" spans="1:8" ht="18.75" x14ac:dyDescent="0.3">
      <c r="A64" s="455" t="s">
        <v>180</v>
      </c>
      <c r="B64" s="456" t="s">
        <v>115</v>
      </c>
      <c r="C64" s="456"/>
      <c r="D64" s="457" t="s">
        <v>181</v>
      </c>
      <c r="E64" s="458" t="s">
        <v>363</v>
      </c>
      <c r="F64" s="440" t="s">
        <v>220</v>
      </c>
      <c r="G64" s="447" t="s">
        <v>126</v>
      </c>
      <c r="H64" s="445" t="s">
        <v>184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8"/>
  <sheetViews>
    <sheetView topLeftCell="C19" zoomScale="70" zoomScaleNormal="70" workbookViewId="0">
      <selection activeCell="M24" sqref="M24"/>
    </sheetView>
  </sheetViews>
  <sheetFormatPr baseColWidth="10" defaultColWidth="11.42578125" defaultRowHeight="18.75" x14ac:dyDescent="0.3"/>
  <cols>
    <col min="1" max="1" width="39.28515625" style="272" customWidth="1"/>
    <col min="2" max="2" width="45.28515625" style="272" customWidth="1"/>
    <col min="3" max="3" width="16.42578125" style="282" customWidth="1"/>
    <col min="4" max="4" width="29.28515625" style="272" customWidth="1"/>
    <col min="5" max="5" width="18" style="294" customWidth="1"/>
    <col min="6" max="6" width="40.140625" style="272" customWidth="1"/>
    <col min="7" max="7" width="6.7109375" style="272" customWidth="1"/>
    <col min="8" max="8" width="5.85546875" style="272" customWidth="1"/>
    <col min="9" max="9" width="89.7109375" style="286" hidden="1" customWidth="1"/>
    <col min="10" max="10" width="11.5703125" style="282"/>
    <col min="11" max="14" width="15.28515625" style="282" customWidth="1"/>
    <col min="15" max="15" width="37" customWidth="1"/>
  </cols>
  <sheetData>
    <row r="1" spans="1:15" x14ac:dyDescent="0.3">
      <c r="A1" s="271"/>
      <c r="B1" s="271"/>
      <c r="C1" s="290"/>
      <c r="D1" s="271"/>
      <c r="E1" s="291"/>
      <c r="F1" s="271"/>
      <c r="I1" s="285" t="s">
        <v>94</v>
      </c>
    </row>
    <row r="2" spans="1:15" x14ac:dyDescent="0.3">
      <c r="A2" s="278"/>
      <c r="B2" s="278"/>
      <c r="C2" s="290"/>
      <c r="D2" s="278"/>
      <c r="E2" s="292"/>
      <c r="F2" s="278"/>
    </row>
    <row r="3" spans="1:15" ht="19.5" thickBot="1" x14ac:dyDescent="0.3">
      <c r="A3" s="279"/>
      <c r="B3" s="279"/>
      <c r="D3" s="279"/>
      <c r="E3" s="293"/>
      <c r="F3" s="279"/>
      <c r="I3" s="287"/>
    </row>
    <row r="4" spans="1:15" ht="19.5" thickBot="1" x14ac:dyDescent="0.3">
      <c r="I4" s="288"/>
      <c r="J4" s="459" t="s">
        <v>364</v>
      </c>
      <c r="K4" s="460"/>
      <c r="L4" s="460"/>
      <c r="M4" s="460"/>
      <c r="N4" s="460"/>
      <c r="O4" s="461"/>
    </row>
    <row r="5" spans="1:15" s="343" customFormat="1" ht="90.75" thickBot="1" x14ac:dyDescent="0.3">
      <c r="A5" s="311" t="s">
        <v>365</v>
      </c>
      <c r="B5" s="311" t="s">
        <v>96</v>
      </c>
      <c r="C5" s="312" t="s">
        <v>97</v>
      </c>
      <c r="D5" s="344" t="s">
        <v>98</v>
      </c>
      <c r="E5" s="356" t="s">
        <v>99</v>
      </c>
      <c r="F5" s="318" t="s">
        <v>100</v>
      </c>
      <c r="G5" s="313" t="s">
        <v>102</v>
      </c>
      <c r="H5" s="313" t="s">
        <v>103</v>
      </c>
      <c r="I5" s="314" t="s">
        <v>104</v>
      </c>
      <c r="J5" s="315" t="s">
        <v>105</v>
      </c>
      <c r="K5" s="315" t="s">
        <v>106</v>
      </c>
      <c r="L5" s="315" t="s">
        <v>107</v>
      </c>
      <c r="M5" s="315" t="s">
        <v>108</v>
      </c>
      <c r="N5" s="316" t="s">
        <v>109</v>
      </c>
      <c r="O5" s="317" t="s">
        <v>110</v>
      </c>
    </row>
    <row r="6" spans="1:15" s="339" customFormat="1" x14ac:dyDescent="0.3">
      <c r="A6" s="310" t="s">
        <v>366</v>
      </c>
      <c r="B6" s="338" t="s">
        <v>119</v>
      </c>
      <c r="C6" s="409">
        <v>0.71</v>
      </c>
      <c r="D6" s="404" t="s">
        <v>120</v>
      </c>
      <c r="E6" s="357">
        <v>667.65674000000001</v>
      </c>
      <c r="F6" s="339" t="s">
        <v>121</v>
      </c>
      <c r="G6" s="340" t="s">
        <v>115</v>
      </c>
      <c r="H6" s="340" t="s">
        <v>122</v>
      </c>
      <c r="I6" s="358" t="s">
        <v>123</v>
      </c>
      <c r="J6" s="347">
        <v>51.155000000000001</v>
      </c>
      <c r="K6" s="341">
        <v>128.77399933288859</v>
      </c>
      <c r="L6" s="341">
        <v>72.833333333333329</v>
      </c>
      <c r="M6" s="341">
        <v>8.7492525000000008</v>
      </c>
      <c r="N6" s="341">
        <v>0.70089416666666671</v>
      </c>
      <c r="O6" s="342" t="s">
        <v>124</v>
      </c>
    </row>
    <row r="7" spans="1:15" s="305" customFormat="1" x14ac:dyDescent="0.3">
      <c r="A7" s="307" t="s">
        <v>367</v>
      </c>
      <c r="B7" s="308" t="s">
        <v>129</v>
      </c>
      <c r="C7" s="410">
        <v>0.71</v>
      </c>
      <c r="D7" s="374" t="s">
        <v>120</v>
      </c>
      <c r="E7" s="359">
        <v>620.12873000000002</v>
      </c>
      <c r="F7" s="305" t="s">
        <v>130</v>
      </c>
      <c r="G7" s="306" t="s">
        <v>115</v>
      </c>
      <c r="H7" s="306" t="s">
        <v>122</v>
      </c>
      <c r="I7" s="309" t="s">
        <v>131</v>
      </c>
      <c r="J7" s="348">
        <v>62.29</v>
      </c>
      <c r="K7" s="321">
        <v>158.32555036691127</v>
      </c>
      <c r="L7" s="321">
        <f>AVERAGE(52,77)</f>
        <v>64.5</v>
      </c>
      <c r="M7" s="321">
        <v>8.6583100000000002</v>
      </c>
      <c r="N7" s="321">
        <v>6.2290000000000005E-2</v>
      </c>
      <c r="O7" s="322" t="s">
        <v>132</v>
      </c>
    </row>
    <row r="8" spans="1:15" s="305" customFormat="1" x14ac:dyDescent="0.3">
      <c r="A8" s="307" t="s">
        <v>368</v>
      </c>
      <c r="B8" s="308" t="s">
        <v>138</v>
      </c>
      <c r="C8" s="410">
        <v>0.71</v>
      </c>
      <c r="D8" s="374" t="s">
        <v>120</v>
      </c>
      <c r="E8" s="359">
        <v>632.32793000000004</v>
      </c>
      <c r="F8" s="305" t="s">
        <v>138</v>
      </c>
      <c r="G8" s="306" t="s">
        <v>115</v>
      </c>
      <c r="H8" s="306" t="s">
        <v>122</v>
      </c>
      <c r="I8" s="309" t="s">
        <v>139</v>
      </c>
      <c r="J8" s="348">
        <v>56.6</v>
      </c>
      <c r="K8" s="323">
        <v>129.14609739826551</v>
      </c>
      <c r="L8" s="323">
        <v>79.5</v>
      </c>
      <c r="M8" s="323">
        <v>7.7938199999999993</v>
      </c>
      <c r="N8" s="323">
        <v>0.43581999999999999</v>
      </c>
      <c r="O8" s="322" t="s">
        <v>132</v>
      </c>
    </row>
    <row r="9" spans="1:15" s="305" customFormat="1" x14ac:dyDescent="0.3">
      <c r="A9" s="307" t="s">
        <v>369</v>
      </c>
      <c r="B9" s="308" t="s">
        <v>143</v>
      </c>
      <c r="C9" s="410">
        <v>0.4</v>
      </c>
      <c r="D9" s="405" t="s">
        <v>112</v>
      </c>
      <c r="E9" s="359">
        <v>33.751362999999998</v>
      </c>
      <c r="F9" s="305" t="s">
        <v>144</v>
      </c>
      <c r="G9" s="306" t="s">
        <v>115</v>
      </c>
      <c r="H9" s="306" t="s">
        <v>116</v>
      </c>
      <c r="I9" s="360" t="s">
        <v>145</v>
      </c>
      <c r="J9" s="349">
        <v>16.116666666666667</v>
      </c>
      <c r="K9" s="324">
        <v>61.045948544220515</v>
      </c>
      <c r="L9" s="324">
        <v>90.5</v>
      </c>
      <c r="M9" s="324">
        <v>5.6326833333333335</v>
      </c>
      <c r="N9" s="324">
        <v>2.9935902814423927</v>
      </c>
      <c r="O9" s="322" t="s">
        <v>132</v>
      </c>
    </row>
    <row r="10" spans="1:15" s="305" customFormat="1" x14ac:dyDescent="0.3">
      <c r="A10" s="307" t="s">
        <v>370</v>
      </c>
      <c r="B10" s="308" t="s">
        <v>143</v>
      </c>
      <c r="C10" s="410">
        <v>0.4</v>
      </c>
      <c r="D10" s="405" t="s">
        <v>112</v>
      </c>
      <c r="E10" s="359">
        <v>33.751362999999998</v>
      </c>
      <c r="F10" s="305" t="s">
        <v>144</v>
      </c>
      <c r="G10" s="306" t="s">
        <v>115</v>
      </c>
      <c r="H10" s="306" t="s">
        <v>116</v>
      </c>
      <c r="I10" s="360" t="s">
        <v>145</v>
      </c>
      <c r="J10" s="349">
        <v>16.116666666666667</v>
      </c>
      <c r="K10" s="324">
        <v>61.045948544220515</v>
      </c>
      <c r="L10" s="324">
        <v>90.5</v>
      </c>
      <c r="M10" s="324">
        <v>5.6326833333333335</v>
      </c>
      <c r="N10" s="324">
        <v>2.9935902814423927</v>
      </c>
      <c r="O10" s="322" t="s">
        <v>132</v>
      </c>
    </row>
    <row r="11" spans="1:15" s="305" customFormat="1" x14ac:dyDescent="0.3">
      <c r="A11" s="307" t="s">
        <v>371</v>
      </c>
      <c r="B11" s="308" t="s">
        <v>152</v>
      </c>
      <c r="C11" s="410">
        <v>0.79</v>
      </c>
      <c r="D11" s="374" t="s">
        <v>153</v>
      </c>
      <c r="E11" s="359">
        <v>11.098212</v>
      </c>
      <c r="F11" s="305" t="s">
        <v>154</v>
      </c>
      <c r="G11" s="306" t="s">
        <v>115</v>
      </c>
      <c r="H11" s="306" t="s">
        <v>122</v>
      </c>
      <c r="I11" s="309" t="s">
        <v>155</v>
      </c>
      <c r="J11" s="350">
        <v>19.866507936507936</v>
      </c>
      <c r="K11" s="321">
        <v>90.068095238095225</v>
      </c>
      <c r="L11" s="321">
        <v>65</v>
      </c>
      <c r="M11" s="321">
        <v>4.7949206349206355</v>
      </c>
      <c r="N11" s="321">
        <v>0.92047619047619045</v>
      </c>
      <c r="O11" s="322" t="s">
        <v>132</v>
      </c>
    </row>
    <row r="12" spans="1:15" s="305" customFormat="1" x14ac:dyDescent="0.3">
      <c r="A12" s="307" t="s">
        <v>372</v>
      </c>
      <c r="B12" s="308" t="s">
        <v>156</v>
      </c>
      <c r="C12" s="410">
        <v>0.9</v>
      </c>
      <c r="D12" s="374" t="s">
        <v>157</v>
      </c>
      <c r="E12" s="359">
        <v>11.098212</v>
      </c>
      <c r="F12" s="322" t="s">
        <v>154</v>
      </c>
      <c r="G12" s="325" t="s">
        <v>115</v>
      </c>
      <c r="H12" s="325" t="s">
        <v>122</v>
      </c>
      <c r="I12" s="361" t="s">
        <v>155</v>
      </c>
      <c r="J12" s="351">
        <v>30</v>
      </c>
      <c r="K12" s="326">
        <v>120</v>
      </c>
      <c r="L12" s="326">
        <v>67</v>
      </c>
      <c r="M12" s="326">
        <v>6.7</v>
      </c>
      <c r="N12" s="326">
        <v>2.8</v>
      </c>
      <c r="O12" s="327" t="s">
        <v>158</v>
      </c>
    </row>
    <row r="13" spans="1:15" s="305" customFormat="1" x14ac:dyDescent="0.3">
      <c r="A13" s="307" t="s">
        <v>373</v>
      </c>
      <c r="B13" s="308" t="s">
        <v>156</v>
      </c>
      <c r="C13" s="410">
        <v>0.9</v>
      </c>
      <c r="D13" s="374" t="s">
        <v>157</v>
      </c>
      <c r="E13" s="359">
        <v>11.098212</v>
      </c>
      <c r="F13" s="322" t="s">
        <v>154</v>
      </c>
      <c r="G13" s="325" t="s">
        <v>115</v>
      </c>
      <c r="H13" s="325" t="s">
        <v>122</v>
      </c>
      <c r="I13" s="361" t="s">
        <v>155</v>
      </c>
      <c r="J13" s="351">
        <v>30</v>
      </c>
      <c r="K13" s="326">
        <v>120</v>
      </c>
      <c r="L13" s="326">
        <v>67</v>
      </c>
      <c r="M13" s="326">
        <v>6.7</v>
      </c>
      <c r="N13" s="326">
        <v>2.8</v>
      </c>
      <c r="O13" s="327" t="s">
        <v>158</v>
      </c>
    </row>
    <row r="14" spans="1:15" s="305" customFormat="1" x14ac:dyDescent="0.3">
      <c r="A14" s="307" t="s">
        <v>374</v>
      </c>
      <c r="B14" s="308" t="s">
        <v>156</v>
      </c>
      <c r="C14" s="345">
        <v>0.51</v>
      </c>
      <c r="D14" s="408" t="s">
        <v>375</v>
      </c>
      <c r="E14" s="359">
        <v>11.098212</v>
      </c>
      <c r="F14" s="322" t="s">
        <v>154</v>
      </c>
      <c r="G14" s="325" t="s">
        <v>115</v>
      </c>
      <c r="H14" s="325" t="s">
        <v>122</v>
      </c>
      <c r="I14" s="361" t="s">
        <v>155</v>
      </c>
      <c r="J14" s="352">
        <v>10.6</v>
      </c>
      <c r="K14" s="328">
        <v>43.4</v>
      </c>
      <c r="L14" s="328">
        <v>40</v>
      </c>
      <c r="M14" s="328">
        <v>0.3</v>
      </c>
      <c r="N14" s="328">
        <v>1</v>
      </c>
      <c r="O14" s="329" t="s">
        <v>376</v>
      </c>
    </row>
    <row r="15" spans="1:15" s="305" customFormat="1" x14ac:dyDescent="0.3">
      <c r="A15" s="307" t="s">
        <v>377</v>
      </c>
      <c r="B15" s="308" t="s">
        <v>161</v>
      </c>
      <c r="C15" s="410">
        <v>0.79</v>
      </c>
      <c r="D15" s="374" t="s">
        <v>162</v>
      </c>
      <c r="E15" s="359">
        <v>20.201854000000001</v>
      </c>
      <c r="F15" s="330" t="s">
        <v>163</v>
      </c>
      <c r="G15" s="306" t="s">
        <v>115</v>
      </c>
      <c r="H15" s="306" t="s">
        <v>116</v>
      </c>
      <c r="I15" s="309" t="s">
        <v>164</v>
      </c>
      <c r="J15" s="350">
        <v>64.120999999999995</v>
      </c>
      <c r="K15" s="321">
        <v>269.45999999999998</v>
      </c>
      <c r="L15" s="321">
        <v>42.25</v>
      </c>
      <c r="M15" s="321">
        <v>21.679000000000002</v>
      </c>
      <c r="N15" s="321">
        <v>2.9659999999999997</v>
      </c>
      <c r="O15" s="322" t="s">
        <v>132</v>
      </c>
    </row>
    <row r="16" spans="1:15" s="305" customFormat="1" x14ac:dyDescent="0.3">
      <c r="A16" s="307" t="s">
        <v>378</v>
      </c>
      <c r="B16" s="308" t="s">
        <v>165</v>
      </c>
      <c r="C16" s="345">
        <v>0.71</v>
      </c>
      <c r="D16" s="408" t="s">
        <v>379</v>
      </c>
      <c r="E16" s="359">
        <v>20.201854000000001</v>
      </c>
      <c r="F16" s="330" t="s">
        <v>163</v>
      </c>
      <c r="G16" s="306" t="s">
        <v>115</v>
      </c>
      <c r="H16" s="306" t="s">
        <v>116</v>
      </c>
      <c r="I16" s="309" t="s">
        <v>164</v>
      </c>
      <c r="J16" s="351">
        <v>10.4</v>
      </c>
      <c r="K16" s="326">
        <v>211</v>
      </c>
      <c r="L16" s="326">
        <v>16</v>
      </c>
      <c r="M16" s="326">
        <v>6.1</v>
      </c>
      <c r="N16" s="326">
        <v>2.8</v>
      </c>
      <c r="O16" s="327" t="s">
        <v>167</v>
      </c>
    </row>
    <row r="17" spans="1:15" s="305" customFormat="1" x14ac:dyDescent="0.3">
      <c r="A17" s="307" t="s">
        <v>380</v>
      </c>
      <c r="B17" s="308" t="s">
        <v>171</v>
      </c>
      <c r="C17" s="411">
        <v>0.69</v>
      </c>
      <c r="D17" s="406" t="s">
        <v>162</v>
      </c>
      <c r="E17" s="359">
        <v>20.201854000000001</v>
      </c>
      <c r="F17" s="330" t="s">
        <v>163</v>
      </c>
      <c r="G17" s="306" t="s">
        <v>115</v>
      </c>
      <c r="H17" s="306" t="s">
        <v>116</v>
      </c>
      <c r="I17" s="309" t="s">
        <v>164</v>
      </c>
      <c r="J17" s="351">
        <v>80</v>
      </c>
      <c r="K17" s="326">
        <v>85</v>
      </c>
      <c r="L17" s="326">
        <v>16</v>
      </c>
      <c r="M17" s="326">
        <v>37</v>
      </c>
      <c r="N17" s="326">
        <v>3.8</v>
      </c>
      <c r="O17" s="327" t="s">
        <v>173</v>
      </c>
    </row>
    <row r="18" spans="1:15" s="305" customFormat="1" x14ac:dyDescent="0.3">
      <c r="A18" s="307" t="s">
        <v>381</v>
      </c>
      <c r="B18" s="308" t="s">
        <v>171</v>
      </c>
      <c r="C18" s="411">
        <v>0.69</v>
      </c>
      <c r="D18" s="406" t="s">
        <v>162</v>
      </c>
      <c r="E18" s="359">
        <v>20.201854000000001</v>
      </c>
      <c r="F18" s="330" t="s">
        <v>163</v>
      </c>
      <c r="G18" s="306" t="s">
        <v>115</v>
      </c>
      <c r="H18" s="306" t="s">
        <v>116</v>
      </c>
      <c r="I18" s="309" t="s">
        <v>164</v>
      </c>
      <c r="J18" s="351">
        <v>80</v>
      </c>
      <c r="K18" s="326">
        <v>85</v>
      </c>
      <c r="L18" s="326">
        <v>16</v>
      </c>
      <c r="M18" s="326">
        <v>37</v>
      </c>
      <c r="N18" s="326">
        <v>3.8</v>
      </c>
      <c r="O18" s="327" t="s">
        <v>173</v>
      </c>
    </row>
    <row r="19" spans="1:15" s="305" customFormat="1" x14ac:dyDescent="0.3">
      <c r="A19" s="307" t="s">
        <v>382</v>
      </c>
      <c r="B19" s="308" t="s">
        <v>174</v>
      </c>
      <c r="C19" s="411">
        <v>0.69</v>
      </c>
      <c r="D19" s="406" t="s">
        <v>162</v>
      </c>
      <c r="E19" s="359">
        <v>20.201854000000001</v>
      </c>
      <c r="F19" s="330" t="s">
        <v>163</v>
      </c>
      <c r="G19" s="306" t="s">
        <v>115</v>
      </c>
      <c r="H19" s="306" t="s">
        <v>116</v>
      </c>
      <c r="I19" s="309" t="s">
        <v>164</v>
      </c>
      <c r="J19" s="351">
        <v>84.8</v>
      </c>
      <c r="K19" s="326">
        <v>216</v>
      </c>
      <c r="L19" s="326">
        <v>41</v>
      </c>
      <c r="M19" s="326">
        <v>39.5</v>
      </c>
      <c r="N19" s="326">
        <v>3.2</v>
      </c>
      <c r="O19" s="327" t="s">
        <v>170</v>
      </c>
    </row>
    <row r="20" spans="1:15" s="305" customFormat="1" x14ac:dyDescent="0.3">
      <c r="A20" s="307" t="s">
        <v>383</v>
      </c>
      <c r="B20" s="308" t="s">
        <v>175</v>
      </c>
      <c r="C20" s="410">
        <v>0.81</v>
      </c>
      <c r="D20" s="374" t="s">
        <v>176</v>
      </c>
      <c r="E20" s="359">
        <v>73.821132000000006</v>
      </c>
      <c r="F20" s="305" t="s">
        <v>177</v>
      </c>
      <c r="G20" s="306" t="s">
        <v>115</v>
      </c>
      <c r="H20" s="306" t="s">
        <v>122</v>
      </c>
      <c r="I20" s="309" t="s">
        <v>178</v>
      </c>
      <c r="J20" s="350">
        <v>11</v>
      </c>
      <c r="K20" s="321">
        <v>50</v>
      </c>
      <c r="L20" s="321">
        <v>3.5</v>
      </c>
      <c r="M20" s="321">
        <v>2.5</v>
      </c>
      <c r="N20" s="322" t="s">
        <v>132</v>
      </c>
    </row>
    <row r="21" spans="1:15" s="305" customFormat="1" x14ac:dyDescent="0.3">
      <c r="A21" s="307" t="s">
        <v>384</v>
      </c>
      <c r="B21" s="336" t="s">
        <v>179</v>
      </c>
      <c r="C21" s="346">
        <v>0.81</v>
      </c>
      <c r="D21" s="374" t="s">
        <v>126</v>
      </c>
      <c r="E21" s="359">
        <v>37.574413999999997</v>
      </c>
      <c r="F21" s="322" t="s">
        <v>180</v>
      </c>
      <c r="G21" s="325" t="s">
        <v>115</v>
      </c>
      <c r="H21" s="325"/>
      <c r="I21" s="361" t="s">
        <v>181</v>
      </c>
      <c r="J21" s="353">
        <v>32</v>
      </c>
      <c r="K21" s="319">
        <v>10</v>
      </c>
      <c r="L21" s="319">
        <v>4</v>
      </c>
      <c r="M21" s="319">
        <v>0.4</v>
      </c>
      <c r="N21" s="327" t="s">
        <v>182</v>
      </c>
    </row>
    <row r="22" spans="1:15" s="305" customFormat="1" x14ac:dyDescent="0.3">
      <c r="A22" s="308" t="s">
        <v>385</v>
      </c>
      <c r="B22" s="336" t="s">
        <v>179</v>
      </c>
      <c r="C22" s="346">
        <v>0.81</v>
      </c>
      <c r="D22" s="374" t="s">
        <v>126</v>
      </c>
      <c r="E22" s="359">
        <v>37.574413999999997</v>
      </c>
      <c r="F22" s="322" t="s">
        <v>180</v>
      </c>
      <c r="G22" s="325" t="s">
        <v>115</v>
      </c>
      <c r="H22" s="325"/>
      <c r="I22" s="361" t="s">
        <v>181</v>
      </c>
      <c r="J22" s="353">
        <v>63</v>
      </c>
      <c r="K22" s="319">
        <v>32</v>
      </c>
      <c r="L22" s="319">
        <v>10</v>
      </c>
      <c r="M22" s="319">
        <v>4</v>
      </c>
      <c r="N22" s="319">
        <v>0.4</v>
      </c>
      <c r="O22" s="327" t="s">
        <v>182</v>
      </c>
    </row>
    <row r="23" spans="1:15" s="305" customFormat="1" x14ac:dyDescent="0.3">
      <c r="A23" s="307" t="s">
        <v>386</v>
      </c>
      <c r="B23" s="308" t="s">
        <v>184</v>
      </c>
      <c r="C23" s="345">
        <v>0.81</v>
      </c>
      <c r="D23" s="374" t="s">
        <v>126</v>
      </c>
      <c r="E23" s="359">
        <v>37.574413999999997</v>
      </c>
      <c r="F23" s="305" t="s">
        <v>180</v>
      </c>
      <c r="G23" s="306" t="s">
        <v>115</v>
      </c>
      <c r="H23" s="306"/>
      <c r="I23" s="309" t="s">
        <v>181</v>
      </c>
      <c r="J23" s="353">
        <v>55</v>
      </c>
      <c r="K23" s="319">
        <v>248</v>
      </c>
      <c r="L23" s="319">
        <v>55</v>
      </c>
      <c r="M23" s="319">
        <v>25</v>
      </c>
      <c r="N23" s="319">
        <v>0.6</v>
      </c>
      <c r="O23" s="327" t="s">
        <v>185</v>
      </c>
    </row>
    <row r="24" spans="1:15" s="305" customFormat="1" x14ac:dyDescent="0.3">
      <c r="A24" s="307" t="s">
        <v>387</v>
      </c>
      <c r="B24" s="308" t="s">
        <v>194</v>
      </c>
      <c r="C24" s="345">
        <v>0.81</v>
      </c>
      <c r="D24" s="374" t="s">
        <v>126</v>
      </c>
      <c r="E24" s="359">
        <v>849.97949000000006</v>
      </c>
      <c r="F24" s="330" t="s">
        <v>195</v>
      </c>
      <c r="G24" s="324" t="s">
        <v>115</v>
      </c>
      <c r="H24" s="324" t="s">
        <v>116</v>
      </c>
      <c r="I24" s="360" t="s">
        <v>196</v>
      </c>
      <c r="J24" s="354">
        <v>55.555555555555557</v>
      </c>
      <c r="K24" s="332">
        <v>45</v>
      </c>
      <c r="L24" s="333">
        <v>9</v>
      </c>
      <c r="M24" s="333">
        <v>0.45</v>
      </c>
      <c r="N24" s="322" t="s">
        <v>132</v>
      </c>
    </row>
    <row r="25" spans="1:15" s="305" customFormat="1" x14ac:dyDescent="0.3">
      <c r="A25" s="307" t="s">
        <v>388</v>
      </c>
      <c r="B25" s="308" t="s">
        <v>200</v>
      </c>
      <c r="C25" s="410">
        <v>0.55000000000000004</v>
      </c>
      <c r="D25" s="374" t="s">
        <v>201</v>
      </c>
      <c r="E25" s="359">
        <v>33.934629000000001</v>
      </c>
      <c r="F25" s="305" t="s">
        <v>202</v>
      </c>
      <c r="G25" s="306" t="s">
        <v>115</v>
      </c>
      <c r="H25" s="306" t="s">
        <v>116</v>
      </c>
      <c r="I25" s="309" t="s">
        <v>203</v>
      </c>
      <c r="J25" s="350">
        <v>39.6</v>
      </c>
      <c r="K25" s="321">
        <v>68</v>
      </c>
      <c r="L25" s="321">
        <v>3.4</v>
      </c>
      <c r="M25" s="321">
        <v>1.3</v>
      </c>
      <c r="N25" s="322" t="s">
        <v>132</v>
      </c>
    </row>
    <row r="26" spans="1:15" s="305" customFormat="1" x14ac:dyDescent="0.3">
      <c r="A26" s="307" t="s">
        <v>389</v>
      </c>
      <c r="B26" s="308" t="s">
        <v>200</v>
      </c>
      <c r="C26" s="410">
        <v>0.55000000000000004</v>
      </c>
      <c r="D26" s="374" t="s">
        <v>201</v>
      </c>
      <c r="E26" s="359">
        <v>33.934629000000001</v>
      </c>
      <c r="F26" s="305" t="s">
        <v>202</v>
      </c>
      <c r="G26" s="306" t="s">
        <v>115</v>
      </c>
      <c r="H26" s="306" t="s">
        <v>116</v>
      </c>
      <c r="I26" s="309" t="s">
        <v>203</v>
      </c>
      <c r="J26" s="355">
        <v>10</v>
      </c>
      <c r="K26" s="334">
        <v>2.25</v>
      </c>
      <c r="L26" s="334">
        <v>53</v>
      </c>
      <c r="M26" s="334">
        <v>1.5</v>
      </c>
      <c r="N26" s="334">
        <v>1.2749999999999999</v>
      </c>
      <c r="O26" s="329" t="s">
        <v>390</v>
      </c>
    </row>
    <row r="27" spans="1:15" s="305" customFormat="1" ht="19.5" thickBot="1" x14ac:dyDescent="0.35">
      <c r="A27" s="307" t="s">
        <v>391</v>
      </c>
      <c r="B27" s="308" t="s">
        <v>204</v>
      </c>
      <c r="C27" s="412">
        <v>0.4</v>
      </c>
      <c r="D27" s="407" t="s">
        <v>205</v>
      </c>
      <c r="E27" s="359">
        <v>18.472549999999998</v>
      </c>
      <c r="F27" s="305" t="s">
        <v>206</v>
      </c>
      <c r="G27" s="306" t="s">
        <v>115</v>
      </c>
      <c r="H27" s="306" t="s">
        <v>116</v>
      </c>
      <c r="I27" s="309" t="s">
        <v>207</v>
      </c>
      <c r="J27" s="350">
        <v>11</v>
      </c>
      <c r="K27" s="321">
        <v>50</v>
      </c>
      <c r="L27" s="321">
        <v>3.5</v>
      </c>
      <c r="M27" s="321">
        <v>2.5</v>
      </c>
      <c r="N27" s="322" t="s">
        <v>132</v>
      </c>
    </row>
    <row r="28" spans="1:15" s="305" customFormat="1" ht="19.5" thickBot="1" x14ac:dyDescent="0.35">
      <c r="A28" s="335" t="s">
        <v>392</v>
      </c>
      <c r="B28" s="337" t="s">
        <v>190</v>
      </c>
      <c r="C28" s="412">
        <v>0.4</v>
      </c>
      <c r="D28" s="407" t="s">
        <v>205</v>
      </c>
      <c r="E28" s="362">
        <v>208.04329000000001</v>
      </c>
      <c r="F28" s="363" t="s">
        <v>192</v>
      </c>
      <c r="G28" s="364" t="s">
        <v>115</v>
      </c>
      <c r="H28" s="364" t="s">
        <v>116</v>
      </c>
      <c r="I28" s="365" t="s">
        <v>193</v>
      </c>
      <c r="J28" s="348">
        <v>4.2</v>
      </c>
      <c r="K28" s="320">
        <v>16.128</v>
      </c>
      <c r="L28" s="321">
        <v>52</v>
      </c>
      <c r="M28" s="320">
        <v>2.9651999999999998</v>
      </c>
      <c r="N28" s="320">
        <v>0.27300000000000002</v>
      </c>
      <c r="O28" s="331" t="s">
        <v>132</v>
      </c>
    </row>
  </sheetData>
  <autoFilter ref="A5:P27"/>
  <mergeCells count="1">
    <mergeCell ref="J4:O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25"/>
  <sheetViews>
    <sheetView zoomScaleNormal="100" workbookViewId="0">
      <pane xSplit="1" ySplit="3" topLeftCell="B4" activePane="bottomRight" state="frozen"/>
      <selection pane="topRight" activeCell="B1" sqref="B1"/>
      <selection pane="bottomLeft" activeCell="A3" sqref="A3"/>
      <selection pane="bottomRight" activeCell="C9" sqref="C9"/>
    </sheetView>
  </sheetViews>
  <sheetFormatPr baseColWidth="10" defaultColWidth="9.140625" defaultRowHeight="15" x14ac:dyDescent="0.25"/>
  <cols>
    <col min="1" max="1" width="66.28515625" style="199" customWidth="1"/>
    <col min="2" max="2" width="11.5703125" style="200" customWidth="1"/>
    <col min="3" max="3" width="15.28515625" style="23" customWidth="1"/>
    <col min="4" max="4" width="10.7109375" style="23" customWidth="1"/>
    <col min="5" max="6" width="10.85546875" style="4" customWidth="1"/>
    <col min="7" max="9" width="9.140625" style="4"/>
    <col min="10" max="10" width="9.85546875" style="4" bestFit="1" customWidth="1"/>
    <col min="11" max="13" width="9.140625" style="4"/>
    <col min="14" max="15" width="9.140625" style="5"/>
    <col min="16" max="16" width="9.140625" style="5" customWidth="1"/>
    <col min="17" max="17" width="9.140625" style="5" hidden="1" customWidth="1"/>
    <col min="18" max="20" width="9.140625" style="6" hidden="1" customWidth="1"/>
    <col min="21" max="24" width="9.140625" style="4"/>
    <col min="25" max="25" width="9.140625" style="5" hidden="1" customWidth="1"/>
    <col min="26" max="28" width="9.140625" style="4"/>
    <col min="29" max="29" width="0" style="4" hidden="1" customWidth="1"/>
    <col min="30" max="30" width="9.140625" style="7"/>
    <col min="31" max="32" width="0" style="7" hidden="1" customWidth="1"/>
    <col min="33" max="33" width="12.5703125" style="8" hidden="1" customWidth="1"/>
    <col min="34" max="34" width="9.140625" style="4"/>
    <col min="35" max="36" width="9.140625" style="5" hidden="1" customWidth="1"/>
    <col min="37" max="45" width="9.140625" style="4"/>
    <col min="46" max="54" width="12.28515625" style="4" customWidth="1"/>
    <col min="55" max="16384" width="9.140625" style="4"/>
  </cols>
  <sheetData>
    <row r="1" spans="1:54" ht="87" customHeight="1" x14ac:dyDescent="0.25">
      <c r="A1" s="488" t="s">
        <v>393</v>
      </c>
      <c r="B1" s="488"/>
      <c r="C1" s="488"/>
      <c r="D1" s="488"/>
      <c r="E1"/>
    </row>
    <row r="2" spans="1:54" ht="16.5" customHeight="1" x14ac:dyDescent="0.25">
      <c r="A2" s="468" t="s">
        <v>394</v>
      </c>
      <c r="B2" s="489" t="s">
        <v>395</v>
      </c>
      <c r="C2" s="469" t="s">
        <v>396</v>
      </c>
      <c r="D2" s="479" t="s">
        <v>397</v>
      </c>
      <c r="E2" s="468" t="s">
        <v>398</v>
      </c>
      <c r="F2" s="469"/>
      <c r="G2" s="479"/>
      <c r="H2" s="468" t="s">
        <v>399</v>
      </c>
      <c r="I2" s="469"/>
      <c r="J2" s="479"/>
      <c r="K2" s="468" t="s">
        <v>400</v>
      </c>
      <c r="L2" s="469"/>
      <c r="M2" s="469"/>
      <c r="N2" s="486" t="s">
        <v>400</v>
      </c>
      <c r="O2" s="486"/>
      <c r="P2" s="486"/>
      <c r="Q2" s="395" t="s">
        <v>401</v>
      </c>
      <c r="R2" s="487" t="s">
        <v>402</v>
      </c>
      <c r="S2" s="487"/>
      <c r="T2" s="487"/>
      <c r="U2" s="9" t="s">
        <v>403</v>
      </c>
      <c r="V2" s="468" t="s">
        <v>404</v>
      </c>
      <c r="W2" s="469"/>
      <c r="X2" s="469"/>
      <c r="Y2" s="395" t="s">
        <v>401</v>
      </c>
      <c r="Z2" s="469" t="s">
        <v>405</v>
      </c>
      <c r="AA2" s="469"/>
      <c r="AB2" s="469"/>
      <c r="AC2" s="395" t="s">
        <v>401</v>
      </c>
      <c r="AD2" s="477" t="s">
        <v>405</v>
      </c>
      <c r="AE2" s="477"/>
      <c r="AF2" s="478"/>
      <c r="AG2" s="10" t="s">
        <v>406</v>
      </c>
      <c r="AH2" s="468" t="s">
        <v>407</v>
      </c>
      <c r="AI2" s="469"/>
      <c r="AJ2" s="479"/>
      <c r="AK2" s="468" t="s">
        <v>408</v>
      </c>
      <c r="AL2" s="469"/>
      <c r="AM2" s="479"/>
      <c r="AN2" s="468" t="s">
        <v>409</v>
      </c>
      <c r="AO2" s="469"/>
      <c r="AP2" s="479"/>
      <c r="AQ2" s="468" t="s">
        <v>410</v>
      </c>
      <c r="AR2" s="469"/>
      <c r="AS2" s="479"/>
      <c r="AT2" s="11" t="s">
        <v>411</v>
      </c>
      <c r="AU2" s="12" t="s">
        <v>412</v>
      </c>
      <c r="AV2" s="12" t="s">
        <v>413</v>
      </c>
      <c r="AW2" s="12" t="s">
        <v>414</v>
      </c>
      <c r="AX2" s="12" t="s">
        <v>415</v>
      </c>
      <c r="AY2" s="12" t="s">
        <v>416</v>
      </c>
      <c r="AZ2" s="12" t="s">
        <v>417</v>
      </c>
      <c r="BA2" s="12" t="s">
        <v>418</v>
      </c>
      <c r="BB2" s="13" t="s">
        <v>419</v>
      </c>
    </row>
    <row r="3" spans="1:54" s="23" customFormat="1" x14ac:dyDescent="0.25">
      <c r="A3" s="470"/>
      <c r="B3" s="490"/>
      <c r="C3" s="471"/>
      <c r="D3" s="491"/>
      <c r="E3" s="392" t="s">
        <v>420</v>
      </c>
      <c r="F3" s="393" t="s">
        <v>421</v>
      </c>
      <c r="G3" s="394" t="s">
        <v>422</v>
      </c>
      <c r="H3" s="392" t="s">
        <v>420</v>
      </c>
      <c r="I3" s="393" t="s">
        <v>421</v>
      </c>
      <c r="J3" s="394" t="s">
        <v>422</v>
      </c>
      <c r="K3" s="392" t="s">
        <v>420</v>
      </c>
      <c r="L3" s="393" t="s">
        <v>421</v>
      </c>
      <c r="M3" s="393" t="s">
        <v>422</v>
      </c>
      <c r="N3" s="14" t="s">
        <v>420</v>
      </c>
      <c r="O3" s="14" t="s">
        <v>421</v>
      </c>
      <c r="P3" s="14" t="s">
        <v>422</v>
      </c>
      <c r="Q3" s="15"/>
      <c r="R3" s="15" t="s">
        <v>420</v>
      </c>
      <c r="S3" s="15" t="s">
        <v>421</v>
      </c>
      <c r="T3" s="15" t="s">
        <v>422</v>
      </c>
      <c r="U3" s="16" t="s">
        <v>423</v>
      </c>
      <c r="V3" s="392" t="s">
        <v>420</v>
      </c>
      <c r="W3" s="393" t="s">
        <v>421</v>
      </c>
      <c r="X3" s="393" t="s">
        <v>422</v>
      </c>
      <c r="Y3" s="15"/>
      <c r="Z3" s="393" t="s">
        <v>420</v>
      </c>
      <c r="AA3" s="393" t="s">
        <v>421</v>
      </c>
      <c r="AB3" s="393" t="s">
        <v>422</v>
      </c>
      <c r="AC3" s="15"/>
      <c r="AD3" s="17" t="s">
        <v>420</v>
      </c>
      <c r="AE3" s="18" t="s">
        <v>421</v>
      </c>
      <c r="AF3" s="19" t="s">
        <v>422</v>
      </c>
      <c r="AG3" s="20" t="s">
        <v>420</v>
      </c>
      <c r="AH3" s="392" t="s">
        <v>420</v>
      </c>
      <c r="AI3" s="21" t="s">
        <v>421</v>
      </c>
      <c r="AJ3" s="22" t="s">
        <v>422</v>
      </c>
      <c r="AK3" s="392" t="s">
        <v>420</v>
      </c>
      <c r="AL3" s="393" t="s">
        <v>421</v>
      </c>
      <c r="AM3" s="394" t="s">
        <v>422</v>
      </c>
      <c r="AN3" s="392" t="s">
        <v>420</v>
      </c>
      <c r="AO3" s="393" t="s">
        <v>421</v>
      </c>
      <c r="AP3" s="394" t="s">
        <v>422</v>
      </c>
      <c r="AQ3" s="392" t="s">
        <v>420</v>
      </c>
      <c r="AR3" s="393" t="s">
        <v>421</v>
      </c>
      <c r="AS3" s="394" t="s">
        <v>422</v>
      </c>
      <c r="AT3" s="392"/>
      <c r="AU3" s="393"/>
      <c r="AV3" s="393"/>
      <c r="AW3" s="393"/>
      <c r="AX3" s="393"/>
      <c r="AY3" s="393"/>
      <c r="AZ3" s="393"/>
      <c r="BA3" s="393"/>
      <c r="BB3" s="394"/>
    </row>
    <row r="4" spans="1:54" s="37" customFormat="1" x14ac:dyDescent="0.25">
      <c r="A4" s="24" t="s">
        <v>424</v>
      </c>
      <c r="B4" s="25"/>
      <c r="C4" s="26"/>
      <c r="D4" s="27"/>
      <c r="E4" s="28"/>
      <c r="F4" s="29"/>
      <c r="G4" s="30"/>
      <c r="H4" s="28"/>
      <c r="I4" s="29"/>
      <c r="J4" s="30"/>
      <c r="K4" s="28"/>
      <c r="L4" s="29"/>
      <c r="M4" s="29"/>
      <c r="N4" s="31"/>
      <c r="O4" s="31"/>
      <c r="P4" s="31"/>
      <c r="Q4" s="31"/>
      <c r="R4" s="31"/>
      <c r="S4" s="31"/>
      <c r="T4" s="31"/>
      <c r="U4" s="32"/>
      <c r="V4" s="28"/>
      <c r="W4" s="29"/>
      <c r="X4" s="29"/>
      <c r="Y4" s="31"/>
      <c r="Z4" s="29"/>
      <c r="AA4" s="29"/>
      <c r="AB4" s="29"/>
      <c r="AC4" s="31"/>
      <c r="AD4" s="33"/>
      <c r="AE4" s="33"/>
      <c r="AF4" s="34"/>
      <c r="AG4" s="33"/>
      <c r="AH4" s="28"/>
      <c r="AI4" s="35"/>
      <c r="AJ4" s="36"/>
      <c r="AK4" s="28"/>
      <c r="AL4" s="29"/>
      <c r="AM4" s="30"/>
      <c r="AN4" s="28"/>
      <c r="AO4" s="29"/>
      <c r="AP4" s="30"/>
      <c r="AQ4" s="28"/>
      <c r="AR4" s="29"/>
      <c r="AS4" s="30"/>
      <c r="AT4" s="28"/>
      <c r="AU4" s="29"/>
      <c r="AV4" s="29"/>
      <c r="AW4" s="29"/>
      <c r="AX4" s="29"/>
      <c r="AY4" s="29"/>
      <c r="AZ4" s="29"/>
      <c r="BA4" s="29"/>
      <c r="BB4" s="30"/>
    </row>
    <row r="5" spans="1:54" x14ac:dyDescent="0.25">
      <c r="A5" s="38" t="s">
        <v>425</v>
      </c>
      <c r="B5" s="39">
        <v>11</v>
      </c>
      <c r="C5" s="402"/>
      <c r="D5" s="40" t="s">
        <v>426</v>
      </c>
      <c r="E5" s="41">
        <f>36.3/10</f>
        <v>3.63</v>
      </c>
      <c r="F5" s="42">
        <f>(36.3-17)/10</f>
        <v>1.9299999999999997</v>
      </c>
      <c r="G5" s="43">
        <f>(36.3+17)/10</f>
        <v>5.33</v>
      </c>
      <c r="H5" s="41">
        <f>25.3/10</f>
        <v>2.5300000000000002</v>
      </c>
      <c r="I5" s="42">
        <f>(25.3-9.7)/10</f>
        <v>1.56</v>
      </c>
      <c r="J5" s="43">
        <f>(25.3+9.7)/10</f>
        <v>3.5</v>
      </c>
      <c r="K5" s="41">
        <v>11</v>
      </c>
      <c r="L5" s="42">
        <f>11-4.5</f>
        <v>6.5</v>
      </c>
      <c r="M5" s="42">
        <f>11+4.5</f>
        <v>15.5</v>
      </c>
      <c r="N5" s="44">
        <f>K5/E5%</f>
        <v>303.03030303030306</v>
      </c>
      <c r="O5" s="44">
        <f>L5/E5%</f>
        <v>179.06336088154271</v>
      </c>
      <c r="P5" s="44">
        <f>M5/E5%</f>
        <v>426.99724517906338</v>
      </c>
      <c r="Q5" s="44" t="b">
        <f>P5&gt;=O5</f>
        <v>1</v>
      </c>
      <c r="R5" s="44">
        <f>H5*10/K5</f>
        <v>2.3000000000000003</v>
      </c>
      <c r="S5" s="44">
        <f>I5*10/L5</f>
        <v>2.4000000000000004</v>
      </c>
      <c r="T5" s="44">
        <f>J5*10/M5</f>
        <v>2.2580645161290325</v>
      </c>
      <c r="U5" s="45">
        <v>50</v>
      </c>
      <c r="V5" s="41">
        <v>3.5</v>
      </c>
      <c r="W5" s="42">
        <f>3.5-0.7</f>
        <v>2.8</v>
      </c>
      <c r="X5" s="42">
        <f>3.5+0.7</f>
        <v>4.2</v>
      </c>
      <c r="Y5" s="44" t="b">
        <f>X5&gt;=W5</f>
        <v>1</v>
      </c>
      <c r="Z5" s="42">
        <v>2.5</v>
      </c>
      <c r="AA5" s="42">
        <f>2.5-0.6</f>
        <v>1.9</v>
      </c>
      <c r="AB5" s="42">
        <f>2.5+0.6</f>
        <v>3.1</v>
      </c>
      <c r="AC5" s="44" t="b">
        <f>AB5&gt;=AA5</f>
        <v>1</v>
      </c>
      <c r="AD5" s="46">
        <f t="shared" ref="AD5:AF20" si="0">Z5/V5</f>
        <v>0.7142857142857143</v>
      </c>
      <c r="AE5" s="46">
        <f t="shared" si="0"/>
        <v>0.6785714285714286</v>
      </c>
      <c r="AF5" s="47">
        <f t="shared" si="0"/>
        <v>0.73809523809523814</v>
      </c>
      <c r="AG5" s="48">
        <f t="shared" ref="AG5:AG22" si="1">K5/V5</f>
        <v>3.1428571428571428</v>
      </c>
      <c r="AH5" s="41">
        <v>2.9</v>
      </c>
      <c r="AI5" s="49">
        <f t="shared" ref="AI5:AJ7" si="2">L5/W5</f>
        <v>2.3214285714285716</v>
      </c>
      <c r="AJ5" s="50">
        <f t="shared" si="2"/>
        <v>3.6904761904761902</v>
      </c>
      <c r="AK5" s="51">
        <f>AVERAGE(0.31, 0.2, 0.56, 0.4, 0.42, 0.62, 0.4, 0.4, 0.5, 0.4, 0.48, 0.5, 0.2, 0.38, 0.6)</f>
        <v>0.42466666666666664</v>
      </c>
      <c r="AL5" s="52">
        <f>MIN(0.31, 0.2, 0.56, 0.4, 0.42, 0.62, 0.4, 0.4, 0.5, 0.4, 0.48, 0.5, 0.2, 0.38, 0.6)</f>
        <v>0.2</v>
      </c>
      <c r="AM5" s="53">
        <f>MAX(0.31, 0.2, 0.56, 0.4, 0.42, 0.62, 0.4, 0.4, 0.5, 0.4, 0.48, 0.5, 0.2, 0.38, 0.6)</f>
        <v>0.62</v>
      </c>
      <c r="AN5" s="41">
        <v>2.1</v>
      </c>
      <c r="AO5" s="42">
        <f>2.1-0.7</f>
        <v>1.4000000000000001</v>
      </c>
      <c r="AP5" s="43">
        <f>2.1+0.7</f>
        <v>2.8</v>
      </c>
      <c r="AQ5" s="41">
        <v>2.5</v>
      </c>
      <c r="AR5" s="42">
        <f>2.5-0.6</f>
        <v>1.9</v>
      </c>
      <c r="AS5" s="43">
        <f>2.5+0.6</f>
        <v>3.1</v>
      </c>
      <c r="AT5" s="41">
        <v>0.5</v>
      </c>
      <c r="AU5" s="42">
        <v>13.4</v>
      </c>
      <c r="AV5" s="42">
        <v>357</v>
      </c>
      <c r="AW5" s="42"/>
      <c r="AX5" s="42">
        <v>14</v>
      </c>
      <c r="AY5" s="42">
        <v>4.7</v>
      </c>
      <c r="AZ5" s="42">
        <v>1046</v>
      </c>
      <c r="BA5" s="42">
        <v>1.2</v>
      </c>
      <c r="BB5" s="43">
        <v>1</v>
      </c>
    </row>
    <row r="6" spans="1:54" x14ac:dyDescent="0.25">
      <c r="A6" s="38" t="s">
        <v>427</v>
      </c>
      <c r="B6" s="39">
        <v>12</v>
      </c>
      <c r="C6" s="402"/>
      <c r="D6" s="40" t="s">
        <v>426</v>
      </c>
      <c r="E6" s="41">
        <f>68.4/10</f>
        <v>6.8400000000000007</v>
      </c>
      <c r="F6" s="42">
        <f>(68.4-17.1)/10</f>
        <v>5.1300000000000008</v>
      </c>
      <c r="G6" s="43">
        <f>(68.4+17.1)/10</f>
        <v>8.5500000000000007</v>
      </c>
      <c r="H6" s="41">
        <f>45.9/10</f>
        <v>4.59</v>
      </c>
      <c r="I6" s="42">
        <f>(45.9-15)/10</f>
        <v>3.09</v>
      </c>
      <c r="J6" s="43">
        <f>(45.9+15)/10</f>
        <v>6.09</v>
      </c>
      <c r="K6" s="41">
        <v>23</v>
      </c>
      <c r="L6" s="42">
        <f>23-6.6</f>
        <v>16.399999999999999</v>
      </c>
      <c r="M6" s="42">
        <f>23+6.6</f>
        <v>29.6</v>
      </c>
      <c r="N6" s="44">
        <f t="shared" ref="N6:P20" si="3">K6/E6%</f>
        <v>336.25730994152048</v>
      </c>
      <c r="O6" s="44">
        <f t="shared" ref="O6:O7" si="4">L6/E6%</f>
        <v>239.76608187134499</v>
      </c>
      <c r="P6" s="44">
        <f t="shared" ref="P6:P7" si="5">M6/G6%</f>
        <v>346.19883040935673</v>
      </c>
      <c r="Q6" s="44" t="b">
        <f t="shared" ref="Q6:Q69" si="6">P6&gt;=O6</f>
        <v>1</v>
      </c>
      <c r="R6" s="44">
        <f t="shared" ref="R6:T21" si="7">H6*10/K6</f>
        <v>1.9956521739130435</v>
      </c>
      <c r="S6" s="44">
        <f t="shared" si="7"/>
        <v>1.8841463414634148</v>
      </c>
      <c r="T6" s="44">
        <f t="shared" si="7"/>
        <v>2.0574324324324325</v>
      </c>
      <c r="U6" s="43"/>
      <c r="V6" s="41">
        <v>5.8</v>
      </c>
      <c r="W6" s="42">
        <f>5.8-1.4</f>
        <v>4.4000000000000004</v>
      </c>
      <c r="X6" s="42">
        <f>5.8+1.4</f>
        <v>7.1999999999999993</v>
      </c>
      <c r="Y6" s="44" t="b">
        <f t="shared" ref="Y6:Y69" si="8">X6&gt;=W6</f>
        <v>1</v>
      </c>
      <c r="Z6" s="42">
        <v>3.7</v>
      </c>
      <c r="AA6" s="42">
        <f>3.7-1</f>
        <v>2.7</v>
      </c>
      <c r="AB6" s="42">
        <f>3.7+1</f>
        <v>4.7</v>
      </c>
      <c r="AC6" s="44" t="b">
        <f t="shared" ref="AC6:AC69" si="9">AB6&gt;=AA6</f>
        <v>1</v>
      </c>
      <c r="AD6" s="46">
        <f t="shared" si="0"/>
        <v>0.63793103448275867</v>
      </c>
      <c r="AE6" s="46">
        <f t="shared" si="0"/>
        <v>0.61363636363636365</v>
      </c>
      <c r="AF6" s="47">
        <f t="shared" si="0"/>
        <v>0.6527777777777779</v>
      </c>
      <c r="AG6" s="48">
        <f t="shared" si="1"/>
        <v>3.9655172413793105</v>
      </c>
      <c r="AH6" s="41">
        <v>4.0999999999999996</v>
      </c>
      <c r="AI6" s="49">
        <f t="shared" si="2"/>
        <v>3.7272727272727266</v>
      </c>
      <c r="AJ6" s="50">
        <f t="shared" si="2"/>
        <v>4.1111111111111116</v>
      </c>
      <c r="AK6" s="51">
        <f>AVERAGE(0.31, 0.2, 0.56, 0.4, 0.42, 0.62, 0.4, 0.4, 0.5, 0.4, 0.48, 0.5, 0.2, 0.38, 0.6)</f>
        <v>0.42466666666666664</v>
      </c>
      <c r="AL6" s="52">
        <f>MIN(0.31, 0.2, 0.56, 0.4, 0.42, 0.62, 0.4, 0.4, 0.5, 0.4, 0.48, 0.5, 0.2, 0.38, 0.6)</f>
        <v>0.2</v>
      </c>
      <c r="AM6" s="53">
        <f>MAX(0.31, 0.2, 0.56, 0.4, 0.42, 0.62, 0.4, 0.4, 0.5, 0.4, 0.48, 0.5, 0.2, 0.38, 0.6)</f>
        <v>0.62</v>
      </c>
      <c r="AN6" s="41">
        <v>3.2</v>
      </c>
      <c r="AO6" s="42">
        <f>3.2-1</f>
        <v>2.2000000000000002</v>
      </c>
      <c r="AP6" s="43">
        <f>3.2+1</f>
        <v>4.2</v>
      </c>
      <c r="AQ6" s="41">
        <v>4.8</v>
      </c>
      <c r="AR6" s="42">
        <f>4.8-1.1</f>
        <v>3.6999999999999997</v>
      </c>
      <c r="AS6" s="43">
        <f>4.8+1.1</f>
        <v>5.9</v>
      </c>
      <c r="AT6" s="41">
        <v>0.42</v>
      </c>
      <c r="AU6" s="42">
        <v>3.2</v>
      </c>
      <c r="AV6" s="42">
        <v>155</v>
      </c>
      <c r="AW6" s="42"/>
      <c r="AX6" s="42">
        <v>9</v>
      </c>
      <c r="AY6" s="42">
        <v>1.8</v>
      </c>
      <c r="AZ6" s="42">
        <v>868</v>
      </c>
      <c r="BA6" s="42">
        <v>0.52</v>
      </c>
      <c r="BB6" s="43">
        <v>0.6</v>
      </c>
    </row>
    <row r="7" spans="1:54" x14ac:dyDescent="0.25">
      <c r="A7" s="38" t="s">
        <v>428</v>
      </c>
      <c r="B7" s="39">
        <v>13</v>
      </c>
      <c r="C7" s="402"/>
      <c r="D7" s="40" t="s">
        <v>426</v>
      </c>
      <c r="E7" s="41">
        <f>23.3/10</f>
        <v>2.33</v>
      </c>
      <c r="F7" s="42">
        <f>(23.3-12.2)/10</f>
        <v>1.1100000000000001</v>
      </c>
      <c r="G7" s="43">
        <f>(23.3+12.2)/10</f>
        <v>3.55</v>
      </c>
      <c r="H7" s="41">
        <f>11.7/10</f>
        <v>1.17</v>
      </c>
      <c r="I7" s="42">
        <f>(11.7-4.5)/10</f>
        <v>0.72</v>
      </c>
      <c r="J7" s="43">
        <f>(11.7+4.5)/10</f>
        <v>1.6199999999999999</v>
      </c>
      <c r="K7" s="41">
        <v>5.7</v>
      </c>
      <c r="L7" s="42">
        <f>5.7-2.1</f>
        <v>3.6</v>
      </c>
      <c r="M7" s="42">
        <f>5.7+2.1</f>
        <v>7.8000000000000007</v>
      </c>
      <c r="N7" s="44">
        <f t="shared" si="3"/>
        <v>244.63519313304721</v>
      </c>
      <c r="O7" s="44">
        <f t="shared" si="4"/>
        <v>154.50643776824035</v>
      </c>
      <c r="P7" s="44">
        <f t="shared" si="5"/>
        <v>219.71830985915497</v>
      </c>
      <c r="Q7" s="44" t="b">
        <f t="shared" si="6"/>
        <v>1</v>
      </c>
      <c r="R7" s="44">
        <f t="shared" si="7"/>
        <v>2.0526315789473681</v>
      </c>
      <c r="S7" s="44">
        <f t="shared" si="7"/>
        <v>1.9999999999999998</v>
      </c>
      <c r="T7" s="44">
        <f t="shared" si="7"/>
        <v>2.0769230769230766</v>
      </c>
      <c r="U7" s="43"/>
      <c r="V7" s="41">
        <v>2.2000000000000002</v>
      </c>
      <c r="W7" s="42">
        <f>2.2-0.6</f>
        <v>1.6</v>
      </c>
      <c r="X7" s="42">
        <f>2.2+0.6</f>
        <v>2.8000000000000003</v>
      </c>
      <c r="Y7" s="44" t="b">
        <f t="shared" si="8"/>
        <v>1</v>
      </c>
      <c r="Z7" s="42">
        <v>1.7</v>
      </c>
      <c r="AA7" s="42">
        <f>1.7-0.4</f>
        <v>1.2999999999999998</v>
      </c>
      <c r="AB7" s="42">
        <f>1.7+0.4</f>
        <v>2.1</v>
      </c>
      <c r="AC7" s="44" t="b">
        <f t="shared" si="9"/>
        <v>1</v>
      </c>
      <c r="AD7" s="46">
        <f t="shared" si="0"/>
        <v>0.7727272727272726</v>
      </c>
      <c r="AE7" s="46">
        <f>AB7/X7</f>
        <v>0.75</v>
      </c>
      <c r="AF7" s="47">
        <f>AA7/W7</f>
        <v>0.81249999999999989</v>
      </c>
      <c r="AG7" s="48">
        <f t="shared" si="1"/>
        <v>2.5909090909090908</v>
      </c>
      <c r="AH7" s="41">
        <v>3.3</v>
      </c>
      <c r="AI7" s="49">
        <f t="shared" si="2"/>
        <v>2.25</v>
      </c>
      <c r="AJ7" s="50">
        <f t="shared" si="2"/>
        <v>2.7857142857142856</v>
      </c>
      <c r="AK7" s="51">
        <f>AVERAGE(0.31, 0.2, 0.56, 0.4, 0.42, 0.62, 0.4, 0.4, 0.5, 0.4, 0.48, 0.5, 0.2, 0.38, 0.6)</f>
        <v>0.42466666666666664</v>
      </c>
      <c r="AL7" s="52">
        <f>MIN(0.31, 0.2, 0.56, 0.4, 0.42, 0.62, 0.4, 0.4, 0.5, 0.4, 0.48, 0.5, 0.2, 0.38, 0.6)</f>
        <v>0.2</v>
      </c>
      <c r="AM7" s="53">
        <f>MAX(0.31, 0.2, 0.56, 0.4, 0.42, 0.62, 0.4, 0.4, 0.5, 0.4, 0.48, 0.5, 0.2, 0.38, 0.6)</f>
        <v>0.62</v>
      </c>
      <c r="AN7" s="41">
        <v>1.5</v>
      </c>
      <c r="AO7" s="42">
        <f>1.5-0.8</f>
        <v>0.7</v>
      </c>
      <c r="AP7" s="43">
        <f>1.5+0.8</f>
        <v>2.2999999999999998</v>
      </c>
      <c r="AQ7" s="41">
        <v>1.5</v>
      </c>
      <c r="AR7" s="42">
        <f>1.5-0.4</f>
        <v>1.1000000000000001</v>
      </c>
      <c r="AS7" s="43">
        <f>1.5+0.4</f>
        <v>1.9</v>
      </c>
      <c r="AT7" s="41">
        <v>0.76</v>
      </c>
      <c r="AU7" s="42">
        <v>13.1</v>
      </c>
      <c r="AV7" s="42">
        <v>178</v>
      </c>
      <c r="AW7" s="42"/>
      <c r="AX7" s="42">
        <v>1.9</v>
      </c>
      <c r="AY7" s="42">
        <v>1.5</v>
      </c>
      <c r="AZ7" s="42">
        <v>1390</v>
      </c>
      <c r="BA7" s="42">
        <v>1.1000000000000001</v>
      </c>
      <c r="BB7" s="43">
        <v>1.4</v>
      </c>
    </row>
    <row r="8" spans="1:54" s="5" customFormat="1" x14ac:dyDescent="0.25">
      <c r="A8" s="54" t="s">
        <v>429</v>
      </c>
      <c r="B8" s="55"/>
      <c r="C8" s="56" t="s">
        <v>430</v>
      </c>
      <c r="D8" s="57" t="s">
        <v>426</v>
      </c>
      <c r="E8" s="58">
        <f>E5</f>
        <v>3.63</v>
      </c>
      <c r="F8" s="49">
        <f t="shared" ref="F8:M8" si="10">F5</f>
        <v>1.9299999999999997</v>
      </c>
      <c r="G8" s="50">
        <f t="shared" si="10"/>
        <v>5.33</v>
      </c>
      <c r="H8" s="58">
        <f t="shared" si="10"/>
        <v>2.5300000000000002</v>
      </c>
      <c r="I8" s="49">
        <f t="shared" si="10"/>
        <v>1.56</v>
      </c>
      <c r="J8" s="50">
        <f t="shared" si="10"/>
        <v>3.5</v>
      </c>
      <c r="K8" s="58">
        <f t="shared" si="10"/>
        <v>11</v>
      </c>
      <c r="L8" s="49">
        <f t="shared" si="10"/>
        <v>6.5</v>
      </c>
      <c r="M8" s="49">
        <f t="shared" si="10"/>
        <v>15.5</v>
      </c>
      <c r="N8" s="44">
        <f t="shared" si="3"/>
        <v>303.03030303030306</v>
      </c>
      <c r="O8" s="44">
        <f>L8/E8%</f>
        <v>179.06336088154271</v>
      </c>
      <c r="P8" s="44">
        <f>M8/E8%</f>
        <v>426.99724517906338</v>
      </c>
      <c r="Q8" s="44" t="b">
        <f t="shared" si="6"/>
        <v>1</v>
      </c>
      <c r="R8" s="44">
        <f t="shared" si="7"/>
        <v>2.3000000000000003</v>
      </c>
      <c r="S8" s="44">
        <f t="shared" si="7"/>
        <v>2.4000000000000004</v>
      </c>
      <c r="T8" s="44">
        <f t="shared" si="7"/>
        <v>2.2580645161290325</v>
      </c>
      <c r="U8" s="45">
        <v>50</v>
      </c>
      <c r="V8" s="58">
        <f t="shared" ref="V8:AB8" si="11">V5</f>
        <v>3.5</v>
      </c>
      <c r="W8" s="49">
        <f t="shared" si="11"/>
        <v>2.8</v>
      </c>
      <c r="X8" s="49">
        <f t="shared" si="11"/>
        <v>4.2</v>
      </c>
      <c r="Y8" s="44" t="b">
        <f t="shared" si="8"/>
        <v>1</v>
      </c>
      <c r="Z8" s="49">
        <f t="shared" si="11"/>
        <v>2.5</v>
      </c>
      <c r="AA8" s="49">
        <f t="shared" si="11"/>
        <v>1.9</v>
      </c>
      <c r="AB8" s="49">
        <f t="shared" si="11"/>
        <v>3.1</v>
      </c>
      <c r="AC8" s="44" t="b">
        <f t="shared" si="9"/>
        <v>1</v>
      </c>
      <c r="AD8" s="46">
        <f t="shared" si="0"/>
        <v>0.7142857142857143</v>
      </c>
      <c r="AE8" s="46">
        <f>AA8/W8</f>
        <v>0.6785714285714286</v>
      </c>
      <c r="AF8" s="47">
        <f>AB8/X8</f>
        <v>0.73809523809523814</v>
      </c>
      <c r="AG8" s="48">
        <f t="shared" si="1"/>
        <v>3.1428571428571428</v>
      </c>
      <c r="AH8" s="58">
        <f t="shared" ref="AH8:BB8" si="12">AH5</f>
        <v>2.9</v>
      </c>
      <c r="AI8" s="49">
        <f t="shared" si="12"/>
        <v>2.3214285714285716</v>
      </c>
      <c r="AJ8" s="50">
        <f t="shared" si="12"/>
        <v>3.6904761904761902</v>
      </c>
      <c r="AK8" s="58">
        <f t="shared" si="12"/>
        <v>0.42466666666666664</v>
      </c>
      <c r="AL8" s="49">
        <f t="shared" si="12"/>
        <v>0.2</v>
      </c>
      <c r="AM8" s="50">
        <f t="shared" si="12"/>
        <v>0.62</v>
      </c>
      <c r="AN8" s="58">
        <f t="shared" si="12"/>
        <v>2.1</v>
      </c>
      <c r="AO8" s="49">
        <f t="shared" si="12"/>
        <v>1.4000000000000001</v>
      </c>
      <c r="AP8" s="50">
        <f t="shared" si="12"/>
        <v>2.8</v>
      </c>
      <c r="AQ8" s="58">
        <f t="shared" si="12"/>
        <v>2.5</v>
      </c>
      <c r="AR8" s="49">
        <f t="shared" si="12"/>
        <v>1.9</v>
      </c>
      <c r="AS8" s="50">
        <f t="shared" si="12"/>
        <v>3.1</v>
      </c>
      <c r="AT8" s="58">
        <f t="shared" si="12"/>
        <v>0.5</v>
      </c>
      <c r="AU8" s="49">
        <f t="shared" si="12"/>
        <v>13.4</v>
      </c>
      <c r="AV8" s="49">
        <f t="shared" si="12"/>
        <v>357</v>
      </c>
      <c r="AW8" s="49"/>
      <c r="AX8" s="49">
        <f t="shared" si="12"/>
        <v>14</v>
      </c>
      <c r="AY8" s="49">
        <f t="shared" si="12"/>
        <v>4.7</v>
      </c>
      <c r="AZ8" s="49">
        <f t="shared" si="12"/>
        <v>1046</v>
      </c>
      <c r="BA8" s="49">
        <f t="shared" si="12"/>
        <v>1.2</v>
      </c>
      <c r="BB8" s="50">
        <f t="shared" si="12"/>
        <v>1</v>
      </c>
    </row>
    <row r="9" spans="1:54" x14ac:dyDescent="0.25">
      <c r="A9" s="38" t="s">
        <v>431</v>
      </c>
      <c r="B9" s="39">
        <v>24</v>
      </c>
      <c r="C9" s="399" t="s">
        <v>430</v>
      </c>
      <c r="D9" s="40" t="s">
        <v>426</v>
      </c>
      <c r="E9" s="41">
        <f>91/10</f>
        <v>9.1</v>
      </c>
      <c r="F9" s="42">
        <f>(91-34)/10</f>
        <v>5.7</v>
      </c>
      <c r="G9" s="43">
        <f>(91+34)/10</f>
        <v>12.5</v>
      </c>
      <c r="H9" s="41">
        <f>78/10</f>
        <v>7.8</v>
      </c>
      <c r="I9" s="42">
        <f>(78-29)/10</f>
        <v>4.9000000000000004</v>
      </c>
      <c r="J9" s="43">
        <f>(78+29)/10</f>
        <v>10.7</v>
      </c>
      <c r="K9" s="41">
        <v>39.6</v>
      </c>
      <c r="L9" s="42">
        <f>39.6-16.4</f>
        <v>23.200000000000003</v>
      </c>
      <c r="M9" s="42">
        <f>39.6+16.4</f>
        <v>56</v>
      </c>
      <c r="N9" s="44">
        <f t="shared" si="3"/>
        <v>435.16483516483521</v>
      </c>
      <c r="O9" s="44">
        <f t="shared" si="3"/>
        <v>407.01754385964915</v>
      </c>
      <c r="P9" s="44">
        <f t="shared" si="3"/>
        <v>448</v>
      </c>
      <c r="Q9" s="44" t="b">
        <f t="shared" si="6"/>
        <v>1</v>
      </c>
      <c r="R9" s="44">
        <f t="shared" si="7"/>
        <v>1.9696969696969697</v>
      </c>
      <c r="S9" s="44">
        <f t="shared" si="7"/>
        <v>2.1120689655172411</v>
      </c>
      <c r="T9" s="44">
        <f t="shared" si="7"/>
        <v>1.9107142857142858</v>
      </c>
      <c r="U9" s="45">
        <v>68</v>
      </c>
      <c r="V9" s="41">
        <v>3.4</v>
      </c>
      <c r="W9" s="42">
        <f>3.4-1</f>
        <v>2.4</v>
      </c>
      <c r="X9" s="42">
        <f>3.4+1</f>
        <v>4.4000000000000004</v>
      </c>
      <c r="Y9" s="44" t="b">
        <f t="shared" si="8"/>
        <v>1</v>
      </c>
      <c r="Z9" s="42">
        <v>1.3</v>
      </c>
      <c r="AA9" s="42">
        <f>1.3-0.5</f>
        <v>0.8</v>
      </c>
      <c r="AB9" s="42">
        <f>1.3+0.5</f>
        <v>1.8</v>
      </c>
      <c r="AC9" s="44" t="b">
        <f t="shared" si="9"/>
        <v>1</v>
      </c>
      <c r="AD9" s="46">
        <f t="shared" si="0"/>
        <v>0.38235294117647062</v>
      </c>
      <c r="AE9" s="46">
        <f>AA9/W9</f>
        <v>0.33333333333333337</v>
      </c>
      <c r="AF9" s="47">
        <f>AB9/X9</f>
        <v>0.40909090909090906</v>
      </c>
      <c r="AG9" s="48">
        <f t="shared" si="1"/>
        <v>11.647058823529413</v>
      </c>
      <c r="AH9" s="41">
        <v>11.4</v>
      </c>
      <c r="AI9" s="49">
        <f t="shared" ref="AI9:AJ14" si="13">L9/W9</f>
        <v>9.6666666666666679</v>
      </c>
      <c r="AJ9" s="50">
        <f t="shared" si="13"/>
        <v>12.727272727272727</v>
      </c>
      <c r="AK9" s="51">
        <f>AVERAGE(0.35, 0.15, 0.4, 0.15, 0.15, 0.5, 0.15, 0.15, 0.5, 0.15, 0.15, 0.5, 0.2, 0.3, 0.5)</f>
        <v>0.28666666666666668</v>
      </c>
      <c r="AL9" s="52">
        <f>MIN(0.35, 0.15, 0.4, 0.15, 0.15, 0.5, 0.15, 0.15, 0.5, 0.15, 0.15, 0.5, 0.2, 0.3, 0.5)</f>
        <v>0.15</v>
      </c>
      <c r="AM9" s="53">
        <f>MAX(0.35, 0.15, 0.4, 0.15, 0.15, 0.5, 0.15, 0.15, 0.5, 0.15, 0.15, 0.5, 0.2, 0.3, 0.5)</f>
        <v>0.5</v>
      </c>
      <c r="AN9" s="41">
        <v>1.5</v>
      </c>
      <c r="AO9" s="42">
        <f>1.5-0.5</f>
        <v>1</v>
      </c>
      <c r="AP9" s="43">
        <f>1.5+0.5</f>
        <v>2</v>
      </c>
      <c r="AQ9" s="41">
        <v>3.6</v>
      </c>
      <c r="AR9" s="42">
        <f>3.6-0.9</f>
        <v>2.7</v>
      </c>
      <c r="AS9" s="43">
        <f>3.6+0.9</f>
        <v>4.5</v>
      </c>
      <c r="AT9" s="59">
        <v>0.03</v>
      </c>
      <c r="AU9" s="60">
        <v>0.8</v>
      </c>
      <c r="AV9" s="60">
        <v>4.28</v>
      </c>
      <c r="AW9" s="60">
        <v>1.3000000000000001E-2</v>
      </c>
      <c r="AX9" s="60">
        <v>0.78</v>
      </c>
      <c r="AY9" s="60">
        <v>0.48</v>
      </c>
      <c r="AZ9" s="60">
        <v>21.95</v>
      </c>
      <c r="BA9" s="60">
        <v>0.18</v>
      </c>
      <c r="BB9" s="45">
        <v>0.08</v>
      </c>
    </row>
    <row r="10" spans="1:54" x14ac:dyDescent="0.25">
      <c r="A10" s="38" t="s">
        <v>432</v>
      </c>
      <c r="B10" s="39">
        <v>25</v>
      </c>
      <c r="C10" s="399"/>
      <c r="D10" s="40" t="s">
        <v>426</v>
      </c>
      <c r="E10" s="41">
        <f>38/10</f>
        <v>3.8</v>
      </c>
      <c r="F10" s="42">
        <f>(38-20)/10</f>
        <v>1.8</v>
      </c>
      <c r="G10" s="43">
        <f>(38+20)/10</f>
        <v>5.8</v>
      </c>
      <c r="H10" s="41">
        <f>30/10</f>
        <v>3</v>
      </c>
      <c r="I10" s="42">
        <f>(30-17)/10</f>
        <v>1.3</v>
      </c>
      <c r="J10" s="43">
        <f>(30+17)/10</f>
        <v>4.7</v>
      </c>
      <c r="K10" s="61">
        <v>13.2</v>
      </c>
      <c r="L10" s="62">
        <f>13.2-8</f>
        <v>5.1999999999999993</v>
      </c>
      <c r="M10" s="62">
        <f>13.2+8</f>
        <v>21.2</v>
      </c>
      <c r="N10" s="44">
        <f t="shared" si="3"/>
        <v>347.36842105263156</v>
      </c>
      <c r="O10" s="44">
        <f t="shared" si="3"/>
        <v>288.8888888888888</v>
      </c>
      <c r="P10" s="44">
        <f t="shared" si="3"/>
        <v>365.51724137931035</v>
      </c>
      <c r="Q10" s="44" t="b">
        <f t="shared" si="6"/>
        <v>1</v>
      </c>
      <c r="R10" s="44">
        <f t="shared" si="7"/>
        <v>2.2727272727272729</v>
      </c>
      <c r="S10" s="44">
        <f t="shared" si="7"/>
        <v>2.5000000000000004</v>
      </c>
      <c r="T10" s="44">
        <f t="shared" si="7"/>
        <v>2.216981132075472</v>
      </c>
      <c r="U10" s="43"/>
      <c r="V10" s="41">
        <v>1.4</v>
      </c>
      <c r="W10" s="42">
        <f>1.4-0.5</f>
        <v>0.89999999999999991</v>
      </c>
      <c r="X10" s="42">
        <f>1.4+0.5</f>
        <v>1.9</v>
      </c>
      <c r="Y10" s="44" t="b">
        <f t="shared" si="8"/>
        <v>1</v>
      </c>
      <c r="Z10" s="42">
        <v>0.8</v>
      </c>
      <c r="AA10" s="42">
        <f>0.8-0.2</f>
        <v>0.60000000000000009</v>
      </c>
      <c r="AB10" s="42">
        <f>0.8+0.2</f>
        <v>1</v>
      </c>
      <c r="AC10" s="44" t="b">
        <f t="shared" si="9"/>
        <v>1</v>
      </c>
      <c r="AD10" s="46">
        <f t="shared" si="0"/>
        <v>0.57142857142857151</v>
      </c>
      <c r="AE10" s="46">
        <f>AB10/X10</f>
        <v>0.52631578947368418</v>
      </c>
      <c r="AF10" s="47">
        <f>AA10/W10</f>
        <v>0.66666666666666685</v>
      </c>
      <c r="AG10" s="48">
        <f t="shared" si="1"/>
        <v>9.4285714285714288</v>
      </c>
      <c r="AH10" s="41">
        <v>7.7</v>
      </c>
      <c r="AI10" s="49">
        <f t="shared" si="13"/>
        <v>5.7777777777777777</v>
      </c>
      <c r="AJ10" s="50">
        <f t="shared" si="13"/>
        <v>11.157894736842106</v>
      </c>
      <c r="AK10" s="51">
        <f>AVERAGE(0.35, 0.15, 0.4, 0.15, 0.15, 0.5, 0.15, 0.15, 0.5, 0.15, 0.15, 0.5, 0.2, 0.3, 0.5)</f>
        <v>0.28666666666666668</v>
      </c>
      <c r="AL10" s="52">
        <f>MIN(0.35, 0.15, 0.4, 0.15, 0.15, 0.5, 0.15, 0.15, 0.5, 0.15, 0.15, 0.5, 0.2, 0.3, 0.5)</f>
        <v>0.15</v>
      </c>
      <c r="AM10" s="53">
        <f>MAX(0.35, 0.15, 0.4, 0.15, 0.15, 0.5, 0.15, 0.15, 0.5, 0.15, 0.15, 0.5, 0.2, 0.3, 0.5)</f>
        <v>0.5</v>
      </c>
      <c r="AN10" s="41">
        <v>0.7</v>
      </c>
      <c r="AO10" s="42">
        <f>0.7-0.4</f>
        <v>0.29999999999999993</v>
      </c>
      <c r="AP10" s="43">
        <f>0.7+0.4</f>
        <v>1.1000000000000001</v>
      </c>
      <c r="AQ10" s="41">
        <v>2.1</v>
      </c>
      <c r="AR10" s="42">
        <f>2.1-0.6</f>
        <v>1.5</v>
      </c>
      <c r="AS10" s="43">
        <f>2.1+0.6</f>
        <v>2.7</v>
      </c>
      <c r="AT10" s="41"/>
      <c r="AU10" s="42"/>
      <c r="AV10" s="42"/>
      <c r="AW10" s="42"/>
      <c r="AX10" s="42"/>
      <c r="AY10" s="42"/>
      <c r="AZ10" s="42"/>
      <c r="BA10" s="42"/>
      <c r="BB10" s="43"/>
    </row>
    <row r="11" spans="1:54" x14ac:dyDescent="0.25">
      <c r="A11" s="38" t="s">
        <v>433</v>
      </c>
      <c r="B11" s="63">
        <v>14</v>
      </c>
      <c r="C11" s="399" t="s">
        <v>430</v>
      </c>
      <c r="D11" s="64" t="s">
        <v>434</v>
      </c>
      <c r="E11" s="41">
        <f>308/10</f>
        <v>30.8</v>
      </c>
      <c r="F11" s="42">
        <f>(308-49)/10</f>
        <v>25.9</v>
      </c>
      <c r="G11" s="43">
        <f>(308+49)/10</f>
        <v>35.700000000000003</v>
      </c>
      <c r="H11" s="41">
        <f>236/10</f>
        <v>23.6</v>
      </c>
      <c r="I11" s="42">
        <f>(236-34)/10</f>
        <v>20.2</v>
      </c>
      <c r="J11" s="43">
        <f>(236+34)/10</f>
        <v>27</v>
      </c>
      <c r="K11" s="41">
        <v>123</v>
      </c>
      <c r="L11" s="42">
        <f>123-19</f>
        <v>104</v>
      </c>
      <c r="M11" s="42">
        <f>123+19</f>
        <v>142</v>
      </c>
      <c r="N11" s="44">
        <f t="shared" si="3"/>
        <v>399.35064935064935</v>
      </c>
      <c r="O11" s="44">
        <f>M11/G11%</f>
        <v>397.75910364145653</v>
      </c>
      <c r="P11" s="44">
        <f>L11/F11%</f>
        <v>401.54440154440152</v>
      </c>
      <c r="Q11" s="44" t="b">
        <f t="shared" si="6"/>
        <v>1</v>
      </c>
      <c r="R11" s="44">
        <f>H11*10/K11</f>
        <v>1.9186991869918699</v>
      </c>
      <c r="S11" s="44">
        <f>I11*10/L11</f>
        <v>1.9423076923076923</v>
      </c>
      <c r="T11" s="44">
        <f>J11*10/M11</f>
        <v>1.9014084507042253</v>
      </c>
      <c r="U11" s="45">
        <v>46</v>
      </c>
      <c r="V11" s="41">
        <v>9.4</v>
      </c>
      <c r="W11" s="42">
        <f>9.4-1.7</f>
        <v>7.7</v>
      </c>
      <c r="X11" s="42">
        <f>9.4+1.7</f>
        <v>11.1</v>
      </c>
      <c r="Y11" s="44" t="b">
        <f t="shared" si="8"/>
        <v>1</v>
      </c>
      <c r="Z11" s="42">
        <v>3</v>
      </c>
      <c r="AA11" s="42">
        <f>3-1.5</f>
        <v>1.5</v>
      </c>
      <c r="AB11" s="42">
        <f>3+1.5</f>
        <v>4.5</v>
      </c>
      <c r="AC11" s="44" t="b">
        <f t="shared" si="9"/>
        <v>1</v>
      </c>
      <c r="AD11" s="46">
        <f t="shared" si="0"/>
        <v>0.31914893617021273</v>
      </c>
      <c r="AE11" s="46">
        <f t="shared" si="0"/>
        <v>0.19480519480519481</v>
      </c>
      <c r="AF11" s="47">
        <f t="shared" si="0"/>
        <v>0.40540540540540543</v>
      </c>
      <c r="AG11" s="48">
        <f t="shared" si="1"/>
        <v>13.085106382978722</v>
      </c>
      <c r="AH11" s="41">
        <v>15.5</v>
      </c>
      <c r="AI11" s="49">
        <f t="shared" si="13"/>
        <v>13.506493506493506</v>
      </c>
      <c r="AJ11" s="50">
        <f t="shared" si="13"/>
        <v>12.792792792792794</v>
      </c>
      <c r="AK11" s="51">
        <f>AVERAGE(0.35, 0.2, 0.15, 0.12, 0.12,0.2, 0.15, 0.15, 0.4, 0.15, 0.15, 0.45,0.25, 0.4,0.4)</f>
        <v>0.24266666666666664</v>
      </c>
      <c r="AL11" s="52">
        <f>MIN(0.35, 0.2, 0.15, 0.12, 0.12,0.2, 0.15, 0.15, 0.4, 0.15, 0.15, 0.45,0.25, 0.4,0.4)</f>
        <v>0.12</v>
      </c>
      <c r="AM11" s="53">
        <f>MAX(0.35, 0.2, 0.15, 0.12, 0.12,0.2, 0.15, 0.15, 0.4, 0.15, 0.15, 0.45,0.25, 0.4,0.4)</f>
        <v>0.45</v>
      </c>
      <c r="AN11" s="41">
        <v>7.7</v>
      </c>
      <c r="AO11" s="42">
        <f>7.7-2.3</f>
        <v>5.4</v>
      </c>
      <c r="AP11" s="43">
        <f>7.7+2.3</f>
        <v>10</v>
      </c>
      <c r="AQ11" s="41">
        <v>14</v>
      </c>
      <c r="AR11" s="42">
        <f>14-4.8</f>
        <v>9.1999999999999993</v>
      </c>
      <c r="AS11" s="43">
        <f>14+4.8</f>
        <v>18.8</v>
      </c>
      <c r="AT11" s="59">
        <v>9.8699999999999996E-2</v>
      </c>
      <c r="AU11" s="60">
        <v>1.2173</v>
      </c>
      <c r="AV11" s="60">
        <v>24.675000000000001</v>
      </c>
      <c r="AW11" s="60"/>
      <c r="AX11" s="60">
        <v>0.82250000000000001</v>
      </c>
      <c r="AY11" s="60">
        <v>1.7108000000000001</v>
      </c>
      <c r="AZ11" s="60">
        <v>130.28399999999999</v>
      </c>
      <c r="BA11" s="60">
        <v>0.23029999999999998</v>
      </c>
      <c r="BB11" s="45"/>
    </row>
    <row r="12" spans="1:54" x14ac:dyDescent="0.25">
      <c r="A12" s="38" t="s">
        <v>435</v>
      </c>
      <c r="B12" s="63">
        <v>21</v>
      </c>
      <c r="C12" s="399"/>
      <c r="D12" s="64" t="s">
        <v>434</v>
      </c>
      <c r="E12" s="41">
        <f>257/10</f>
        <v>25.7</v>
      </c>
      <c r="F12" s="42">
        <f>(257-55)/10</f>
        <v>20.2</v>
      </c>
      <c r="G12" s="43">
        <f>(257+55)/10</f>
        <v>31.2</v>
      </c>
      <c r="H12" s="41">
        <f>212/10</f>
        <v>21.2</v>
      </c>
      <c r="I12" s="42">
        <f>(212-57)/10</f>
        <v>15.5</v>
      </c>
      <c r="J12" s="43">
        <f>(212+57)/10</f>
        <v>26.9</v>
      </c>
      <c r="K12" s="41">
        <v>129.19999999999999</v>
      </c>
      <c r="L12" s="42">
        <f>129.2-36.2</f>
        <v>92.999999999999986</v>
      </c>
      <c r="M12" s="42">
        <f>129.2+36.2</f>
        <v>165.39999999999998</v>
      </c>
      <c r="N12" s="44">
        <f t="shared" si="3"/>
        <v>502.72373540856023</v>
      </c>
      <c r="O12" s="44">
        <f t="shared" si="3"/>
        <v>460.39603960396033</v>
      </c>
      <c r="P12" s="44">
        <f t="shared" si="3"/>
        <v>530.12820512820508</v>
      </c>
      <c r="Q12" s="44" t="b">
        <f t="shared" si="6"/>
        <v>1</v>
      </c>
      <c r="R12" s="44">
        <f t="shared" si="7"/>
        <v>1.6408668730650156</v>
      </c>
      <c r="S12" s="44">
        <f t="shared" si="7"/>
        <v>1.666666666666667</v>
      </c>
      <c r="T12" s="44">
        <f t="shared" si="7"/>
        <v>1.6263603385731562</v>
      </c>
      <c r="U12" s="45"/>
      <c r="V12" s="41">
        <v>5.9</v>
      </c>
      <c r="W12" s="42">
        <f>5.9-1.1</f>
        <v>4.8000000000000007</v>
      </c>
      <c r="X12" s="42">
        <f>5.9+1.1</f>
        <v>7</v>
      </c>
      <c r="Y12" s="44" t="b">
        <f t="shared" si="8"/>
        <v>1</v>
      </c>
      <c r="Z12" s="42">
        <v>0.9</v>
      </c>
      <c r="AA12" s="42">
        <f>0.9-0.6</f>
        <v>0.30000000000000004</v>
      </c>
      <c r="AB12" s="42">
        <f>0.9+0.6</f>
        <v>1.5</v>
      </c>
      <c r="AC12" s="44" t="b">
        <f t="shared" si="9"/>
        <v>1</v>
      </c>
      <c r="AD12" s="46">
        <f t="shared" si="0"/>
        <v>0.15254237288135591</v>
      </c>
      <c r="AE12" s="46">
        <f t="shared" si="0"/>
        <v>6.25E-2</v>
      </c>
      <c r="AF12" s="47">
        <f t="shared" si="0"/>
        <v>0.21428571428571427</v>
      </c>
      <c r="AG12" s="48">
        <f t="shared" si="1"/>
        <v>21.898305084745761</v>
      </c>
      <c r="AH12" s="41">
        <v>18.100000000000001</v>
      </c>
      <c r="AI12" s="49">
        <f t="shared" si="13"/>
        <v>19.374999999999993</v>
      </c>
      <c r="AJ12" s="50">
        <f t="shared" si="13"/>
        <v>23.628571428571426</v>
      </c>
      <c r="AK12" s="51">
        <f>AVERAGE(0.22, 0.12, 0.12,0.12,0.12, 0.12,0.15, 0.15, 0.25,0.15, 0.15,0.3,0.15,0.2, 0.05)</f>
        <v>0.15799999999999997</v>
      </c>
      <c r="AL12" s="52">
        <f>MIN(0.22, 0.12, 0.12,0.12,0.12, 0.12,0.15, 0.15, 0.25,0.15, 0.15,0.3,0.15,0.2, 0.05)</f>
        <v>0.05</v>
      </c>
      <c r="AM12" s="53">
        <f>MAX(0.22, 0.12, 0.12,0.12,0.12, 0.12,0.15, 0.15, 0.25,0.15, 0.15,0.3,0.15,0.2, 0.05)</f>
        <v>0.3</v>
      </c>
      <c r="AN12" s="41">
        <v>2.8</v>
      </c>
      <c r="AO12" s="42">
        <f>2.8-0.9</f>
        <v>1.9</v>
      </c>
      <c r="AP12" s="43">
        <f>2.8+0.9</f>
        <v>3.6999999999999997</v>
      </c>
      <c r="AQ12" s="41">
        <v>9.5</v>
      </c>
      <c r="AR12" s="42">
        <f>9.5-2.7</f>
        <v>6.8</v>
      </c>
      <c r="AS12" s="43">
        <f>9.5+2.7</f>
        <v>12.2</v>
      </c>
      <c r="AT12" s="41"/>
      <c r="AU12" s="42"/>
      <c r="AV12" s="42"/>
      <c r="AW12" s="42"/>
      <c r="AX12" s="42"/>
      <c r="AY12" s="42"/>
      <c r="AZ12" s="42"/>
      <c r="BA12" s="42"/>
      <c r="BB12" s="43"/>
    </row>
    <row r="13" spans="1:54" x14ac:dyDescent="0.25">
      <c r="A13" s="38" t="s">
        <v>436</v>
      </c>
      <c r="B13" s="63">
        <v>22</v>
      </c>
      <c r="C13" s="399"/>
      <c r="D13" s="64" t="s">
        <v>434</v>
      </c>
      <c r="E13" s="41">
        <f>196/10</f>
        <v>19.600000000000001</v>
      </c>
      <c r="F13" s="42">
        <f>(196-24)/10</f>
        <v>17.2</v>
      </c>
      <c r="G13" s="43">
        <f>(196+24)/10</f>
        <v>22</v>
      </c>
      <c r="H13" s="41">
        <f>168/10</f>
        <v>16.8</v>
      </c>
      <c r="I13" s="42">
        <f>(168-25)/10</f>
        <v>14.3</v>
      </c>
      <c r="J13" s="43">
        <f>(168+25)/10</f>
        <v>19.3</v>
      </c>
      <c r="K13" s="41">
        <v>87.1</v>
      </c>
      <c r="L13" s="42">
        <f>87.1-13</f>
        <v>74.099999999999994</v>
      </c>
      <c r="M13" s="42">
        <f>87.1+13</f>
        <v>100.1</v>
      </c>
      <c r="N13" s="44">
        <f t="shared" si="3"/>
        <v>444.38775510204079</v>
      </c>
      <c r="O13" s="44">
        <f t="shared" si="3"/>
        <v>430.81395348837208</v>
      </c>
      <c r="P13" s="44">
        <f t="shared" si="3"/>
        <v>455</v>
      </c>
      <c r="Q13" s="44" t="b">
        <f t="shared" si="6"/>
        <v>1</v>
      </c>
      <c r="R13" s="44">
        <f t="shared" si="7"/>
        <v>1.928817451205511</v>
      </c>
      <c r="S13" s="44">
        <f t="shared" si="7"/>
        <v>1.929824561403509</v>
      </c>
      <c r="T13" s="44">
        <f t="shared" si="7"/>
        <v>1.9280719280719283</v>
      </c>
      <c r="U13" s="45"/>
      <c r="V13" s="41">
        <v>4.7</v>
      </c>
      <c r="W13" s="42">
        <f>4.7-0.7</f>
        <v>4</v>
      </c>
      <c r="X13" s="42">
        <f>4.7+0.7</f>
        <v>5.4</v>
      </c>
      <c r="Y13" s="44" t="b">
        <f t="shared" si="8"/>
        <v>1</v>
      </c>
      <c r="Z13" s="42">
        <v>0.8</v>
      </c>
      <c r="AA13" s="42">
        <f>0.8-0.3</f>
        <v>0.5</v>
      </c>
      <c r="AB13" s="42">
        <f>0.8+0.3</f>
        <v>1.1000000000000001</v>
      </c>
      <c r="AC13" s="44" t="b">
        <f t="shared" si="9"/>
        <v>1</v>
      </c>
      <c r="AD13" s="46">
        <f t="shared" si="0"/>
        <v>0.1702127659574468</v>
      </c>
      <c r="AE13" s="46">
        <f t="shared" si="0"/>
        <v>0.125</v>
      </c>
      <c r="AF13" s="47">
        <f t="shared" si="0"/>
        <v>0.20370370370370372</v>
      </c>
      <c r="AG13" s="48">
        <f t="shared" si="1"/>
        <v>18.531914893617021</v>
      </c>
      <c r="AH13" s="41">
        <v>19.8</v>
      </c>
      <c r="AI13" s="49">
        <f t="shared" si="13"/>
        <v>18.524999999999999</v>
      </c>
      <c r="AJ13" s="50">
        <f t="shared" si="13"/>
        <v>18.537037037037035</v>
      </c>
      <c r="AK13" s="51">
        <f>AVERAGE(0.22, 0.12, 0.12,0.12,0.12, 0.12,0.15, 0.15, 0.25,0.15, 0.15,0.3,0.15,0.2, 0.05)</f>
        <v>0.15799999999999997</v>
      </c>
      <c r="AL13" s="52">
        <f>MIN(0.22, 0.12, 0.12,0.12,0.12, 0.12,0.15, 0.15, 0.25,0.15, 0.15,0.3,0.15,0.2, 0.05)</f>
        <v>0.05</v>
      </c>
      <c r="AM13" s="53">
        <f>MAX(0.22, 0.12, 0.12,0.12,0.12, 0.12,0.15, 0.15, 0.25,0.15, 0.15,0.3,0.15,0.2, 0.05)</f>
        <v>0.3</v>
      </c>
      <c r="AN13" s="41">
        <v>2.2999999999999998</v>
      </c>
      <c r="AO13" s="42">
        <f>2.3-0.8</f>
        <v>1.4999999999999998</v>
      </c>
      <c r="AP13" s="43">
        <f>2.3+0.8</f>
        <v>3.0999999999999996</v>
      </c>
      <c r="AQ13" s="41">
        <v>5.6</v>
      </c>
      <c r="AR13" s="42">
        <f>5.6-1.8</f>
        <v>3.8</v>
      </c>
      <c r="AS13" s="43">
        <f>5.6+1.8</f>
        <v>7.3999999999999995</v>
      </c>
      <c r="AT13" s="41"/>
      <c r="AU13" s="42"/>
      <c r="AV13" s="42"/>
      <c r="AW13" s="42"/>
      <c r="AX13" s="42"/>
      <c r="AY13" s="42"/>
      <c r="AZ13" s="42"/>
      <c r="BA13" s="42"/>
      <c r="BB13" s="43"/>
    </row>
    <row r="14" spans="1:54" x14ac:dyDescent="0.25">
      <c r="A14" s="38" t="s">
        <v>437</v>
      </c>
      <c r="B14" s="63">
        <v>23</v>
      </c>
      <c r="C14" s="399"/>
      <c r="D14" s="64" t="s">
        <v>434</v>
      </c>
      <c r="E14" s="41">
        <f>174/10</f>
        <v>17.399999999999999</v>
      </c>
      <c r="F14" s="42">
        <f>(174-31)/10</f>
        <v>14.3</v>
      </c>
      <c r="G14" s="43">
        <f>(174+31)/10</f>
        <v>20.5</v>
      </c>
      <c r="H14" s="41">
        <f>144/10</f>
        <v>14.4</v>
      </c>
      <c r="I14" s="42">
        <f>(144-31)/10</f>
        <v>11.3</v>
      </c>
      <c r="J14" s="43">
        <f>(144+31)/10</f>
        <v>17.5</v>
      </c>
      <c r="K14" s="41">
        <v>78.099999999999994</v>
      </c>
      <c r="L14" s="42">
        <f>78.1-16.2</f>
        <v>61.899999999999991</v>
      </c>
      <c r="M14" s="42">
        <f>78.1+16.2</f>
        <v>94.3</v>
      </c>
      <c r="N14" s="44">
        <f t="shared" si="3"/>
        <v>448.85057471264366</v>
      </c>
      <c r="O14" s="44">
        <f t="shared" si="3"/>
        <v>432.86713286713274</v>
      </c>
      <c r="P14" s="44">
        <f t="shared" si="3"/>
        <v>460</v>
      </c>
      <c r="Q14" s="44" t="b">
        <f t="shared" si="6"/>
        <v>1</v>
      </c>
      <c r="R14" s="44">
        <f t="shared" si="7"/>
        <v>1.8437900128040974</v>
      </c>
      <c r="S14" s="44">
        <f t="shared" si="7"/>
        <v>1.8255250403877223</v>
      </c>
      <c r="T14" s="44">
        <f t="shared" si="7"/>
        <v>1.855779427359491</v>
      </c>
      <c r="U14" s="45"/>
      <c r="V14" s="41">
        <v>4.5</v>
      </c>
      <c r="W14" s="42">
        <f>4.5-0.8</f>
        <v>3.7</v>
      </c>
      <c r="X14" s="42">
        <f>4.5+0.8</f>
        <v>5.3</v>
      </c>
      <c r="Y14" s="44" t="b">
        <f t="shared" si="8"/>
        <v>1</v>
      </c>
      <c r="Z14" s="42">
        <v>1.4</v>
      </c>
      <c r="AA14" s="42">
        <f>1.4-0.4</f>
        <v>0.99999999999999989</v>
      </c>
      <c r="AB14" s="42">
        <f>1.4+0.4</f>
        <v>1.7999999999999998</v>
      </c>
      <c r="AC14" s="44" t="b">
        <f t="shared" si="9"/>
        <v>1</v>
      </c>
      <c r="AD14" s="46">
        <f t="shared" si="0"/>
        <v>0.31111111111111112</v>
      </c>
      <c r="AE14" s="46">
        <f t="shared" si="0"/>
        <v>0.27027027027027023</v>
      </c>
      <c r="AF14" s="47">
        <f t="shared" si="0"/>
        <v>0.33962264150943394</v>
      </c>
      <c r="AG14" s="48">
        <f t="shared" si="1"/>
        <v>17.355555555555554</v>
      </c>
      <c r="AH14" s="41">
        <v>16.5</v>
      </c>
      <c r="AI14" s="49">
        <f t="shared" si="13"/>
        <v>16.729729729729726</v>
      </c>
      <c r="AJ14" s="50">
        <f t="shared" si="13"/>
        <v>17.79245283018868</v>
      </c>
      <c r="AK14" s="51">
        <f>AVERAGE(0.22, 0.12, 0.12,0.12,0.12, 0.12,0.15, 0.15, 0.25,0.15, 0.15,0.3,0.15,0.2, 0.05)</f>
        <v>0.15799999999999997</v>
      </c>
      <c r="AL14" s="52">
        <f>MIN(0.22, 0.12, 0.12,0.12,0.12, 0.12,0.15, 0.15, 0.25,0.15, 0.15,0.3,0.15,0.2, 0.05)</f>
        <v>0.05</v>
      </c>
      <c r="AM14" s="53">
        <f>MAX(0.22, 0.12, 0.12,0.12,0.12, 0.12,0.15, 0.15, 0.25,0.15, 0.15,0.3,0.15,0.2, 0.05)</f>
        <v>0.3</v>
      </c>
      <c r="AN14" s="41">
        <v>2.2000000000000002</v>
      </c>
      <c r="AO14" s="42">
        <f>2.2-0.6</f>
        <v>1.6</v>
      </c>
      <c r="AP14" s="43">
        <f>2.2+0.6</f>
        <v>2.8000000000000003</v>
      </c>
      <c r="AQ14" s="41">
        <v>4.9000000000000004</v>
      </c>
      <c r="AR14" s="42">
        <f>4.9-1.4</f>
        <v>3.5000000000000004</v>
      </c>
      <c r="AS14" s="43">
        <f>4.9+1.4</f>
        <v>6.3000000000000007</v>
      </c>
      <c r="AT14" s="41"/>
      <c r="AU14" s="42"/>
      <c r="AV14" s="42"/>
      <c r="AW14" s="42"/>
      <c r="AX14" s="42"/>
      <c r="AY14" s="42"/>
      <c r="AZ14" s="42"/>
      <c r="BA14" s="42"/>
      <c r="BB14" s="43"/>
    </row>
    <row r="15" spans="1:54" s="5" customFormat="1" x14ac:dyDescent="0.25">
      <c r="A15" s="54" t="s">
        <v>438</v>
      </c>
      <c r="B15" s="55"/>
      <c r="C15" s="56" t="s">
        <v>430</v>
      </c>
      <c r="D15" s="57" t="s">
        <v>434</v>
      </c>
      <c r="E15" s="65">
        <f t="shared" ref="E15:M15" si="14">E12*$G$111+E13*$G$112+E14*$G$113</f>
        <v>19.866507936507936</v>
      </c>
      <c r="F15" s="62">
        <f t="shared" si="14"/>
        <v>16.99920634920635</v>
      </c>
      <c r="G15" s="66">
        <f t="shared" si="14"/>
        <v>22.733809523809523</v>
      </c>
      <c r="H15" s="65">
        <f t="shared" si="14"/>
        <v>16.843809523809526</v>
      </c>
      <c r="I15" s="62">
        <f t="shared" si="14"/>
        <v>13.883809523809525</v>
      </c>
      <c r="J15" s="66">
        <f t="shared" si="14"/>
        <v>19.803809523809523</v>
      </c>
      <c r="K15" s="65">
        <f t="shared" si="14"/>
        <v>90.068095238095225</v>
      </c>
      <c r="L15" s="62">
        <f t="shared" si="14"/>
        <v>73.943015873015867</v>
      </c>
      <c r="M15" s="62">
        <f t="shared" si="14"/>
        <v>106.19317460317458</v>
      </c>
      <c r="N15" s="44">
        <f t="shared" si="3"/>
        <v>453.36651778937181</v>
      </c>
      <c r="O15" s="44">
        <f t="shared" si="3"/>
        <v>434.97922405341046</v>
      </c>
      <c r="P15" s="44">
        <f t="shared" si="3"/>
        <v>467.11561690510598</v>
      </c>
      <c r="Q15" s="44" t="b">
        <f t="shared" si="6"/>
        <v>1</v>
      </c>
      <c r="R15" s="44">
        <f t="shared" si="7"/>
        <v>1.8701194334445372</v>
      </c>
      <c r="S15" s="44">
        <f t="shared" si="7"/>
        <v>1.8776363609042575</v>
      </c>
      <c r="T15" s="44">
        <f t="shared" si="7"/>
        <v>1.8648853467101736</v>
      </c>
      <c r="U15" s="45">
        <v>65</v>
      </c>
      <c r="V15" s="65">
        <f>V12*$G$111+V13*$G$112+V14*$G$113</f>
        <v>4.7949206349206355</v>
      </c>
      <c r="W15" s="62">
        <f>W12*$G$111+W13*$G$112+W14*$G$113</f>
        <v>4.0328571428571429</v>
      </c>
      <c r="X15" s="62">
        <f>X12*$G$111+X13*$G$112+X14*$G$113</f>
        <v>5.5569841269841271</v>
      </c>
      <c r="Y15" s="44" t="b">
        <f t="shared" si="8"/>
        <v>1</v>
      </c>
      <c r="Z15" s="62">
        <f>Z12*$G$111+Z13*$G$112+Z14*$G$113</f>
        <v>0.92047619047619045</v>
      </c>
      <c r="AA15" s="62">
        <f>AA12*$G$111+AA13*$G$112+AA14*$G$113</f>
        <v>0.5693650793650793</v>
      </c>
      <c r="AB15" s="62">
        <f>AB12*$G$111+AB13*$G$112+AB14*$G$113</f>
        <v>1.2715873015873016</v>
      </c>
      <c r="AC15" s="44" t="b">
        <f t="shared" si="9"/>
        <v>1</v>
      </c>
      <c r="AD15" s="46">
        <f t="shared" si="0"/>
        <v>0.19196901483050843</v>
      </c>
      <c r="AE15" s="46">
        <f t="shared" si="0"/>
        <v>0.14118156413586805</v>
      </c>
      <c r="AF15" s="47">
        <f t="shared" si="0"/>
        <v>0.22882687308977692</v>
      </c>
      <c r="AG15" s="48">
        <f t="shared" si="1"/>
        <v>18.784063824152536</v>
      </c>
      <c r="AH15" s="65">
        <f t="shared" ref="AH15:AS15" si="15">AH12*$G$111+AH13*$G$112+AH14*$G$113</f>
        <v>19.011428571428571</v>
      </c>
      <c r="AI15" s="62">
        <f t="shared" si="15"/>
        <v>18.290387172887172</v>
      </c>
      <c r="AJ15" s="66">
        <f t="shared" si="15"/>
        <v>18.958765115177215</v>
      </c>
      <c r="AK15" s="65">
        <f t="shared" si="15"/>
        <v>0.15799999999999997</v>
      </c>
      <c r="AL15" s="62">
        <f t="shared" si="15"/>
        <v>0.05</v>
      </c>
      <c r="AM15" s="66">
        <f t="shared" si="15"/>
        <v>0.3</v>
      </c>
      <c r="AN15" s="65">
        <f t="shared" si="15"/>
        <v>2.3365079365079366</v>
      </c>
      <c r="AO15" s="62">
        <f t="shared" si="15"/>
        <v>1.5620634920634922</v>
      </c>
      <c r="AP15" s="66">
        <f t="shared" si="15"/>
        <v>3.1109523809523809</v>
      </c>
      <c r="AQ15" s="65">
        <f t="shared" si="15"/>
        <v>5.8993650793650794</v>
      </c>
      <c r="AR15" s="62">
        <f t="shared" si="15"/>
        <v>4.0738095238095244</v>
      </c>
      <c r="AS15" s="66">
        <f t="shared" si="15"/>
        <v>7.7249206349206343</v>
      </c>
      <c r="AT15" s="59">
        <v>0.3</v>
      </c>
      <c r="AU15" s="60">
        <v>7.5</v>
      </c>
      <c r="AV15" s="60">
        <v>23</v>
      </c>
      <c r="AW15" s="60"/>
      <c r="AX15" s="60">
        <v>4.4000000000000004</v>
      </c>
      <c r="AY15" s="60">
        <v>3.8</v>
      </c>
      <c r="AZ15" s="60">
        <v>119</v>
      </c>
      <c r="BA15" s="60">
        <v>0.13</v>
      </c>
      <c r="BB15" s="45"/>
    </row>
    <row r="16" spans="1:54" x14ac:dyDescent="0.25">
      <c r="A16" s="38" t="s">
        <v>439</v>
      </c>
      <c r="B16" s="63">
        <v>31</v>
      </c>
      <c r="C16" s="399"/>
      <c r="D16" s="40" t="s">
        <v>426</v>
      </c>
      <c r="E16" s="41">
        <f>735/10</f>
        <v>73.5</v>
      </c>
      <c r="F16" s="42">
        <f>(735-12)/10</f>
        <v>72.3</v>
      </c>
      <c r="G16" s="43">
        <f>(735+12)/10</f>
        <v>74.7</v>
      </c>
      <c r="H16" s="41">
        <f>591/10</f>
        <v>59.1</v>
      </c>
      <c r="I16" s="42">
        <f>(591-15.7)/10</f>
        <v>57.529999999999994</v>
      </c>
      <c r="J16" s="43">
        <f>(591+15.7)/10</f>
        <v>60.67</v>
      </c>
      <c r="K16" s="41">
        <v>301</v>
      </c>
      <c r="L16" s="42">
        <f>301-1.2</f>
        <v>299.8</v>
      </c>
      <c r="M16" s="42">
        <f>301+1.2</f>
        <v>302.2</v>
      </c>
      <c r="N16" s="44">
        <f t="shared" si="3"/>
        <v>409.52380952380952</v>
      </c>
      <c r="O16" s="44">
        <f>L16/E16%</f>
        <v>407.89115646258506</v>
      </c>
      <c r="P16" s="44">
        <f>M16/E16%</f>
        <v>411.15646258503398</v>
      </c>
      <c r="Q16" s="44" t="b">
        <f t="shared" si="6"/>
        <v>1</v>
      </c>
      <c r="R16" s="44">
        <f t="shared" si="7"/>
        <v>1.9634551495016612</v>
      </c>
      <c r="S16" s="44">
        <f t="shared" si="7"/>
        <v>1.9189459639759838</v>
      </c>
      <c r="T16" s="44">
        <f t="shared" si="7"/>
        <v>2.0076108537392456</v>
      </c>
      <c r="U16" s="45">
        <f t="shared" ref="U16:U17" si="16">AVERAGE(38,46.5)</f>
        <v>42.25</v>
      </c>
      <c r="V16" s="41">
        <v>20.6</v>
      </c>
      <c r="W16" s="42">
        <f>20.6-5.6</f>
        <v>15.000000000000002</v>
      </c>
      <c r="X16" s="42">
        <f>20.6+5.6</f>
        <v>26.200000000000003</v>
      </c>
      <c r="Y16" s="44" t="b">
        <f t="shared" si="8"/>
        <v>1</v>
      </c>
      <c r="Z16" s="42">
        <v>2.8</v>
      </c>
      <c r="AA16" s="42">
        <f>2.8-0.5</f>
        <v>2.2999999999999998</v>
      </c>
      <c r="AB16" s="42">
        <f>2.8+0.5</f>
        <v>3.3</v>
      </c>
      <c r="AC16" s="44" t="b">
        <f t="shared" si="9"/>
        <v>1</v>
      </c>
      <c r="AD16" s="46">
        <f t="shared" si="0"/>
        <v>0.13592233009708737</v>
      </c>
      <c r="AE16" s="46">
        <f>AB16/X16</f>
        <v>0.12595419847328243</v>
      </c>
      <c r="AF16" s="47">
        <f>AA16/W16</f>
        <v>0.15333333333333329</v>
      </c>
      <c r="AG16" s="48">
        <f t="shared" si="1"/>
        <v>14.611650485436892</v>
      </c>
      <c r="AH16" s="41">
        <v>14.6</v>
      </c>
      <c r="AI16" s="62">
        <f t="shared" ref="AI16:AI21" si="17">L16/X16</f>
        <v>11.442748091603052</v>
      </c>
      <c r="AJ16" s="66">
        <f t="shared" ref="AJ16:AJ21" si="18">M16/W16</f>
        <v>20.146666666666665</v>
      </c>
      <c r="AK16" s="51">
        <f>AVERAGE(0.5,0.3,0.45, 0.2,0.22,0.45, 0.2, 0.2,0.5, 0.2,0.2,0.5, 0.1,0.15, 0.5)</f>
        <v>0.31133333333333341</v>
      </c>
      <c r="AL16" s="52">
        <f>MIN(0.5,0.3,0.45, 0.2,0.22,0.45, 0.2, 0.2,0.5, 0.2,0.2,0.5, 0.1,0.15, 0.5)</f>
        <v>0.1</v>
      </c>
      <c r="AM16" s="53">
        <f>MAX(0.5,0.3,0.45, 0.2,0.22,0.45, 0.2, 0.2,0.5, 0.2,0.2,0.5, 0.1,0.15, 0.5)</f>
        <v>0.5</v>
      </c>
      <c r="AN16" s="41">
        <v>18.399999999999999</v>
      </c>
      <c r="AO16" s="42">
        <f>18.4-4.3</f>
        <v>14.099999999999998</v>
      </c>
      <c r="AP16" s="43">
        <f>18.4+4.3</f>
        <v>22.7</v>
      </c>
      <c r="AQ16" s="41">
        <v>19</v>
      </c>
      <c r="AR16" s="42">
        <f>19-1.6</f>
        <v>17.399999999999999</v>
      </c>
      <c r="AS16" s="43">
        <f>19+1.6</f>
        <v>20.6</v>
      </c>
      <c r="AT16" s="41"/>
      <c r="AU16" s="42"/>
      <c r="AV16" s="42">
        <v>41</v>
      </c>
      <c r="AW16" s="42"/>
      <c r="AX16" s="42"/>
      <c r="AY16" s="42"/>
      <c r="AZ16" s="42">
        <v>195</v>
      </c>
      <c r="BA16" s="42"/>
      <c r="BB16" s="43"/>
    </row>
    <row r="17" spans="1:54" x14ac:dyDescent="0.25">
      <c r="A17" s="38" t="s">
        <v>440</v>
      </c>
      <c r="B17" s="63">
        <v>32</v>
      </c>
      <c r="C17" s="399"/>
      <c r="D17" s="40" t="s">
        <v>426</v>
      </c>
      <c r="E17" s="41">
        <f>622/10</f>
        <v>62.2</v>
      </c>
      <c r="F17" s="42">
        <f>(622-9.4)/10</f>
        <v>61.260000000000005</v>
      </c>
      <c r="G17" s="43">
        <f>(622+9.4)/10</f>
        <v>63.14</v>
      </c>
      <c r="H17" s="41">
        <f>518/10</f>
        <v>51.8</v>
      </c>
      <c r="I17" s="42">
        <f>(518-8.2)/10</f>
        <v>50.980000000000004</v>
      </c>
      <c r="J17" s="43">
        <f>(518+8.2)/10</f>
        <v>52.620000000000005</v>
      </c>
      <c r="K17" s="41">
        <v>263</v>
      </c>
      <c r="L17" s="42">
        <f>263-1.2</f>
        <v>261.8</v>
      </c>
      <c r="M17" s="42">
        <f>263+1.2</f>
        <v>264.2</v>
      </c>
      <c r="N17" s="44">
        <f t="shared" si="3"/>
        <v>422.82958199356915</v>
      </c>
      <c r="O17" s="44">
        <f>L17/E17%</f>
        <v>420.90032154340838</v>
      </c>
      <c r="P17" s="44">
        <f>M17/E17%</f>
        <v>424.75884244372986</v>
      </c>
      <c r="Q17" s="44" t="b">
        <f t="shared" si="6"/>
        <v>1</v>
      </c>
      <c r="R17" s="44">
        <f t="shared" si="7"/>
        <v>1.9695817490494296</v>
      </c>
      <c r="S17" s="44">
        <f t="shared" si="7"/>
        <v>1.9472880061115356</v>
      </c>
      <c r="T17" s="44">
        <f t="shared" si="7"/>
        <v>1.9916729750189253</v>
      </c>
      <c r="U17" s="45">
        <f t="shared" si="16"/>
        <v>42.25</v>
      </c>
      <c r="V17" s="41">
        <v>21.9</v>
      </c>
      <c r="W17" s="42">
        <f>21.9-5.3</f>
        <v>16.599999999999998</v>
      </c>
      <c r="X17" s="42">
        <f>21.9+5.3</f>
        <v>27.2</v>
      </c>
      <c r="Y17" s="44" t="b">
        <f t="shared" si="8"/>
        <v>1</v>
      </c>
      <c r="Z17" s="42">
        <v>3</v>
      </c>
      <c r="AA17" s="42">
        <f>3-0.6</f>
        <v>2.4</v>
      </c>
      <c r="AB17" s="42">
        <f>3+0.6</f>
        <v>3.6</v>
      </c>
      <c r="AC17" s="44" t="b">
        <f t="shared" si="9"/>
        <v>1</v>
      </c>
      <c r="AD17" s="46">
        <f t="shared" si="0"/>
        <v>0.13698630136986303</v>
      </c>
      <c r="AE17" s="46">
        <f>AB17/X17</f>
        <v>0.13235294117647059</v>
      </c>
      <c r="AF17" s="47">
        <f>AA17/W17</f>
        <v>0.14457831325301207</v>
      </c>
      <c r="AG17" s="48">
        <f t="shared" si="1"/>
        <v>12.009132420091325</v>
      </c>
      <c r="AH17" s="41">
        <v>12</v>
      </c>
      <c r="AI17" s="62">
        <f t="shared" si="17"/>
        <v>9.625</v>
      </c>
      <c r="AJ17" s="66">
        <f t="shared" si="18"/>
        <v>15.91566265060241</v>
      </c>
      <c r="AK17" s="51">
        <f>AVERAGE(0.5,0.3,0.45, 0.2,0.22,0.45, 0.2, 0.2,0.5, 0.2,0.2,0.5, 0.1,0.15, 0.5)</f>
        <v>0.31133333333333341</v>
      </c>
      <c r="AL17" s="52">
        <f>MIN(0.5,0.3,0.45, 0.2,0.22,0.45, 0.2, 0.2,0.5, 0.2,0.2,0.5, 0.1,0.15, 0.5)</f>
        <v>0.1</v>
      </c>
      <c r="AM17" s="53">
        <f>MAX(0.5,0.3,0.45, 0.2,0.22,0.45, 0.2, 0.2,0.5, 0.2,0.2,0.5, 0.1,0.15, 0.5)</f>
        <v>0.5</v>
      </c>
      <c r="AN17" s="41">
        <v>14.7</v>
      </c>
      <c r="AO17" s="42">
        <f>14.7-2.9</f>
        <v>11.799999999999999</v>
      </c>
      <c r="AP17" s="43">
        <f>14.7+2.9</f>
        <v>17.599999999999998</v>
      </c>
      <c r="AQ17" s="41">
        <v>19</v>
      </c>
      <c r="AR17" s="42">
        <f>19-3.9</f>
        <v>15.1</v>
      </c>
      <c r="AS17" s="43">
        <f>19+3.9</f>
        <v>22.9</v>
      </c>
      <c r="AT17" s="41"/>
      <c r="AU17" s="42"/>
      <c r="AV17" s="42">
        <v>39</v>
      </c>
      <c r="AW17" s="42"/>
      <c r="AX17" s="42"/>
      <c r="AY17" s="42"/>
      <c r="AZ17" s="42">
        <v>174</v>
      </c>
      <c r="BA17" s="42"/>
      <c r="BB17" s="43"/>
    </row>
    <row r="18" spans="1:54" s="5" customFormat="1" x14ac:dyDescent="0.25">
      <c r="A18" s="54" t="s">
        <v>441</v>
      </c>
      <c r="B18" s="55"/>
      <c r="C18" s="56" t="s">
        <v>430</v>
      </c>
      <c r="D18" s="57" t="s">
        <v>426</v>
      </c>
      <c r="E18" s="58">
        <f t="shared" ref="E18:M18" si="19">E17*$L$111+E16*$L$110</f>
        <v>64.120999999999995</v>
      </c>
      <c r="F18" s="49">
        <f t="shared" si="19"/>
        <v>63.136800000000008</v>
      </c>
      <c r="G18" s="50">
        <f t="shared" si="19"/>
        <v>65.105199999999996</v>
      </c>
      <c r="H18" s="58">
        <f t="shared" si="19"/>
        <v>53.040999999999997</v>
      </c>
      <c r="I18" s="49">
        <f t="shared" si="19"/>
        <v>52.093500000000006</v>
      </c>
      <c r="J18" s="50">
        <f t="shared" si="19"/>
        <v>53.988500000000009</v>
      </c>
      <c r="K18" s="58">
        <f t="shared" si="19"/>
        <v>269.45999999999998</v>
      </c>
      <c r="L18" s="49">
        <f t="shared" si="19"/>
        <v>268.26000000000005</v>
      </c>
      <c r="M18" s="49">
        <f t="shared" si="19"/>
        <v>270.65999999999997</v>
      </c>
      <c r="N18" s="44">
        <f t="shared" si="3"/>
        <v>420.23673991360084</v>
      </c>
      <c r="O18" s="44">
        <f>L18/E18%</f>
        <v>418.36527814600532</v>
      </c>
      <c r="P18" s="44">
        <f>M18/E18%</f>
        <v>422.10820168119648</v>
      </c>
      <c r="Q18" s="44" t="b">
        <f t="shared" si="6"/>
        <v>1</v>
      </c>
      <c r="R18" s="44">
        <f t="shared" si="7"/>
        <v>1.9684183181177168</v>
      </c>
      <c r="S18" s="44">
        <f t="shared" si="7"/>
        <v>1.9419033773205099</v>
      </c>
      <c r="T18" s="44">
        <f t="shared" si="7"/>
        <v>1.9946981452745147</v>
      </c>
      <c r="U18" s="45">
        <f>AVERAGE(38,46.5)</f>
        <v>42.25</v>
      </c>
      <c r="V18" s="58">
        <f>V17*$L$111+V16*$L$110</f>
        <v>21.679000000000002</v>
      </c>
      <c r="W18" s="49">
        <f>W17*$L$111+W16*$L$110</f>
        <v>16.327999999999996</v>
      </c>
      <c r="X18" s="49">
        <f>X17*$L$111+X16*$L$110</f>
        <v>27.029999999999998</v>
      </c>
      <c r="Y18" s="44" t="b">
        <f t="shared" si="8"/>
        <v>1</v>
      </c>
      <c r="Z18" s="49">
        <f>Z17*$L$111+Z16*$L$110</f>
        <v>2.9659999999999997</v>
      </c>
      <c r="AA18" s="49">
        <f>AA17*$L$111+AA16*$L$110</f>
        <v>2.383</v>
      </c>
      <c r="AB18" s="49">
        <f>AB17*$L$111+AB16*$L$110</f>
        <v>3.5489999999999999</v>
      </c>
      <c r="AC18" s="44" t="b">
        <f t="shared" si="9"/>
        <v>1</v>
      </c>
      <c r="AD18" s="46">
        <f t="shared" si="0"/>
        <v>0.13681442870981131</v>
      </c>
      <c r="AE18" s="46">
        <f>AB18/X18</f>
        <v>0.13129855715871255</v>
      </c>
      <c r="AF18" s="47">
        <f>AA18/W18</f>
        <v>0.14594561489465951</v>
      </c>
      <c r="AG18" s="48">
        <f t="shared" si="1"/>
        <v>12.429540107938555</v>
      </c>
      <c r="AH18" s="58">
        <f>AH17*$L$111+AH16*$L$110</f>
        <v>12.442</v>
      </c>
      <c r="AI18" s="62">
        <f t="shared" si="17"/>
        <v>9.9245283018867951</v>
      </c>
      <c r="AJ18" s="66">
        <f t="shared" si="18"/>
        <v>16.576433121019111</v>
      </c>
      <c r="AK18" s="67">
        <f t="shared" ref="AK18:AS18" si="20">AK17*$L$111+AK16*$L$110</f>
        <v>0.31133333333333341</v>
      </c>
      <c r="AL18" s="68">
        <f t="shared" si="20"/>
        <v>0.1</v>
      </c>
      <c r="AM18" s="69">
        <f t="shared" si="20"/>
        <v>0.5</v>
      </c>
      <c r="AN18" s="58">
        <f t="shared" si="20"/>
        <v>15.328999999999999</v>
      </c>
      <c r="AO18" s="49">
        <f t="shared" si="20"/>
        <v>12.190999999999999</v>
      </c>
      <c r="AP18" s="50">
        <f t="shared" si="20"/>
        <v>18.466999999999999</v>
      </c>
      <c r="AQ18" s="58">
        <f t="shared" si="20"/>
        <v>19</v>
      </c>
      <c r="AR18" s="49">
        <f t="shared" si="20"/>
        <v>15.491</v>
      </c>
      <c r="AS18" s="50">
        <f t="shared" si="20"/>
        <v>22.509</v>
      </c>
      <c r="AT18" s="58"/>
      <c r="AU18" s="49"/>
      <c r="AV18" s="49">
        <f>AV17*$L$111+AV16*$L$110</f>
        <v>39.339999999999996</v>
      </c>
      <c r="AW18" s="49"/>
      <c r="AX18" s="49"/>
      <c r="AY18" s="49"/>
      <c r="AZ18" s="49">
        <f>AZ17*$L$111+AZ16*$L$110</f>
        <v>177.57</v>
      </c>
      <c r="BA18" s="49"/>
      <c r="BB18" s="50"/>
    </row>
    <row r="19" spans="1:54" x14ac:dyDescent="0.25">
      <c r="A19" s="70" t="s">
        <v>442</v>
      </c>
      <c r="B19" s="63">
        <v>35</v>
      </c>
      <c r="C19" s="399"/>
      <c r="D19" s="40" t="s">
        <v>426</v>
      </c>
      <c r="E19" s="41">
        <f>632/10</f>
        <v>63.2</v>
      </c>
      <c r="F19" s="42">
        <f>(632-11.5)/10</f>
        <v>62.05</v>
      </c>
      <c r="G19" s="43">
        <f>(632+11.5)/10</f>
        <v>64.349999999999994</v>
      </c>
      <c r="H19" s="41">
        <f>348/10</f>
        <v>34.799999999999997</v>
      </c>
      <c r="I19" s="42">
        <f>(348-8.3)/10</f>
        <v>33.97</v>
      </c>
      <c r="J19" s="43">
        <f>(348+8.3)/10</f>
        <v>35.630000000000003</v>
      </c>
      <c r="K19" s="41">
        <v>174</v>
      </c>
      <c r="L19" s="42">
        <f>174-4.2</f>
        <v>169.8</v>
      </c>
      <c r="M19" s="42">
        <f>174+4.2</f>
        <v>178.2</v>
      </c>
      <c r="N19" s="44">
        <f t="shared" si="3"/>
        <v>275.31645569620252</v>
      </c>
      <c r="O19" s="44">
        <f t="shared" si="3"/>
        <v>273.65028203062053</v>
      </c>
      <c r="P19" s="44">
        <f t="shared" si="3"/>
        <v>276.92307692307691</v>
      </c>
      <c r="Q19" s="44" t="b">
        <f t="shared" si="6"/>
        <v>1</v>
      </c>
      <c r="R19" s="44">
        <f t="shared" si="7"/>
        <v>2</v>
      </c>
      <c r="S19" s="44">
        <f t="shared" si="7"/>
        <v>2.0005889281507656</v>
      </c>
      <c r="T19" s="44">
        <f t="shared" si="7"/>
        <v>1.9994388327721664</v>
      </c>
      <c r="U19" s="45">
        <v>38</v>
      </c>
      <c r="V19" s="41">
        <v>22</v>
      </c>
      <c r="W19" s="42">
        <f>22-4.7</f>
        <v>17.3</v>
      </c>
      <c r="X19" s="42">
        <f>22+4.7</f>
        <v>26.7</v>
      </c>
      <c r="Y19" s="44" t="b">
        <f t="shared" si="8"/>
        <v>1</v>
      </c>
      <c r="Z19" s="42">
        <v>1.9</v>
      </c>
      <c r="AA19" s="42">
        <f>1.9-0.5</f>
        <v>1.4</v>
      </c>
      <c r="AB19" s="42">
        <f>1.9+0.5</f>
        <v>2.4</v>
      </c>
      <c r="AC19" s="44" t="b">
        <f t="shared" si="9"/>
        <v>1</v>
      </c>
      <c r="AD19" s="46">
        <f t="shared" si="0"/>
        <v>8.6363636363636365E-2</v>
      </c>
      <c r="AE19" s="46">
        <f t="shared" si="0"/>
        <v>8.0924855491329467E-2</v>
      </c>
      <c r="AF19" s="47">
        <f t="shared" si="0"/>
        <v>8.98876404494382E-2</v>
      </c>
      <c r="AG19" s="48">
        <f t="shared" si="1"/>
        <v>7.9090909090909092</v>
      </c>
      <c r="AH19" s="41">
        <v>7.9</v>
      </c>
      <c r="AI19" s="62">
        <f t="shared" si="17"/>
        <v>6.3595505617977537</v>
      </c>
      <c r="AJ19" s="66">
        <f t="shared" si="18"/>
        <v>10.300578034682079</v>
      </c>
      <c r="AK19" s="51">
        <f>AVERAGE(0.4, 0.3, 0.6,0.2,0.22,0.45,0.2,0.2, 0.6,0.3, 0.3, 0.55, 0.2, 0.3, 0.6)</f>
        <v>0.36133333333333334</v>
      </c>
      <c r="AL19" s="52">
        <f>MIN(0.4, 0.3, 0.6,0.2,0.22,0.45,0.2,0.2, 0.6,0.3, 0.3, 0.55, 0.2, 0.3, 0.6)</f>
        <v>0.2</v>
      </c>
      <c r="AM19" s="53">
        <f>MAX(0.4, 0.3, 0.6,0.2,0.22,0.45,0.2,0.2, 0.6,0.3, 0.3, 0.55, 0.2, 0.3, 0.6)</f>
        <v>0.6</v>
      </c>
      <c r="AN19" s="41">
        <v>35.1</v>
      </c>
      <c r="AO19" s="42">
        <f>35.1-4.9</f>
        <v>30.200000000000003</v>
      </c>
      <c r="AP19" s="43">
        <f>35.1+4.9</f>
        <v>40</v>
      </c>
      <c r="AQ19" s="41">
        <v>22.2</v>
      </c>
      <c r="AR19" s="42">
        <f>22.2-2.7</f>
        <v>19.5</v>
      </c>
      <c r="AS19" s="43">
        <f>22.2+2.7</f>
        <v>24.9</v>
      </c>
      <c r="AT19" s="41"/>
      <c r="AU19" s="42"/>
      <c r="AV19" s="42"/>
      <c r="AW19" s="42"/>
      <c r="AX19" s="42"/>
      <c r="AY19" s="42"/>
      <c r="AZ19" s="42"/>
      <c r="BA19" s="42"/>
      <c r="BB19" s="43"/>
    </row>
    <row r="20" spans="1:54" x14ac:dyDescent="0.25">
      <c r="A20" s="70" t="s">
        <v>443</v>
      </c>
      <c r="B20" s="63">
        <v>38</v>
      </c>
      <c r="C20" s="399" t="s">
        <v>430</v>
      </c>
      <c r="D20" s="40" t="s">
        <v>426</v>
      </c>
      <c r="E20" s="41">
        <f>848/10</f>
        <v>84.8</v>
      </c>
      <c r="F20" s="42"/>
      <c r="G20" s="43"/>
      <c r="H20" s="41">
        <f>628/10</f>
        <v>62.8</v>
      </c>
      <c r="I20" s="42"/>
      <c r="J20" s="43"/>
      <c r="K20" s="41">
        <v>314</v>
      </c>
      <c r="L20" s="42"/>
      <c r="M20" s="42"/>
      <c r="N20" s="44">
        <f t="shared" si="3"/>
        <v>370.28301886792451</v>
      </c>
      <c r="O20" s="44"/>
      <c r="P20" s="44"/>
      <c r="Q20" s="44" t="b">
        <f t="shared" si="6"/>
        <v>1</v>
      </c>
      <c r="R20" s="44">
        <f t="shared" si="7"/>
        <v>2</v>
      </c>
      <c r="S20" s="44" t="e">
        <f t="shared" si="7"/>
        <v>#DIV/0!</v>
      </c>
      <c r="T20" s="44" t="e">
        <f t="shared" si="7"/>
        <v>#DIV/0!</v>
      </c>
      <c r="U20" s="45">
        <v>45</v>
      </c>
      <c r="V20" s="41">
        <v>39.5</v>
      </c>
      <c r="W20" s="71">
        <f>V20*(1-30%)</f>
        <v>27.65</v>
      </c>
      <c r="X20" s="71">
        <f>V20*(1+30%)</f>
        <v>51.35</v>
      </c>
      <c r="Y20" s="44" t="b">
        <f t="shared" si="8"/>
        <v>1</v>
      </c>
      <c r="Z20" s="42">
        <v>3.2</v>
      </c>
      <c r="AA20" s="49">
        <f>AD20*W20</f>
        <v>2.2399999999999998</v>
      </c>
      <c r="AB20" s="49">
        <f>AD20*X20</f>
        <v>4.16</v>
      </c>
      <c r="AC20" s="44" t="b">
        <f t="shared" si="9"/>
        <v>1</v>
      </c>
      <c r="AD20" s="46">
        <f t="shared" si="0"/>
        <v>8.1012658227848103E-2</v>
      </c>
      <c r="AE20" s="46">
        <f t="shared" si="0"/>
        <v>8.1012658227848103E-2</v>
      </c>
      <c r="AF20" s="47">
        <f t="shared" si="0"/>
        <v>8.1012658227848103E-2</v>
      </c>
      <c r="AG20" s="48">
        <f t="shared" si="1"/>
        <v>7.9493670886075947</v>
      </c>
      <c r="AH20" s="41">
        <v>7.9</v>
      </c>
      <c r="AI20" s="62">
        <f t="shared" si="17"/>
        <v>0</v>
      </c>
      <c r="AJ20" s="66">
        <f t="shared" si="18"/>
        <v>0</v>
      </c>
      <c r="AK20" s="51">
        <f>AVERAGE(0.25, 0.3,0.6, 0.2, 0.22, 0.4,0.2, 0.2,0.4, 0.2,0.2, 0.4, 0.2, 0.3, 0.6)</f>
        <v>0.31133333333333335</v>
      </c>
      <c r="AL20" s="52">
        <f>MIN(0.25, 0.3,0.6, 0.2, 0.22, 0.4,0.2, 0.2,0.4, 0.2,0.2, 0.4, 0.2, 0.3, 0.6)</f>
        <v>0.2</v>
      </c>
      <c r="AM20" s="53">
        <f>MAX(0.25, 0.3,0.6, 0.2, 0.22, 0.4,0.2, 0.2,0.4, 0.2,0.2, 0.4, 0.2, 0.3, 0.6)</f>
        <v>0.6</v>
      </c>
      <c r="AN20" s="41">
        <v>37.799999999999997</v>
      </c>
      <c r="AO20" s="42"/>
      <c r="AP20" s="43"/>
      <c r="AQ20" s="41">
        <v>25.7</v>
      </c>
      <c r="AR20" s="42"/>
      <c r="AS20" s="43"/>
      <c r="AT20" s="41"/>
      <c r="AU20" s="42"/>
      <c r="AV20" s="42">
        <v>69.400000000000006</v>
      </c>
      <c r="AW20" s="42"/>
      <c r="AX20" s="42"/>
      <c r="AY20" s="42"/>
      <c r="AZ20" s="42">
        <v>417</v>
      </c>
      <c r="BA20" s="42"/>
      <c r="BB20" s="43"/>
    </row>
    <row r="21" spans="1:54" x14ac:dyDescent="0.25">
      <c r="A21" s="70" t="s">
        <v>444</v>
      </c>
      <c r="B21" s="63">
        <v>27</v>
      </c>
      <c r="C21" s="399" t="s">
        <v>430</v>
      </c>
      <c r="D21" s="64" t="s">
        <v>434</v>
      </c>
      <c r="E21" s="41">
        <f>300/10</f>
        <v>30</v>
      </c>
      <c r="F21" s="60">
        <v>25</v>
      </c>
      <c r="G21" s="45">
        <v>35</v>
      </c>
      <c r="H21" s="41">
        <f>230/10</f>
        <v>23</v>
      </c>
      <c r="I21" s="72">
        <f>L21*$G$88/10</f>
        <v>20.029757602840373</v>
      </c>
      <c r="J21" s="73">
        <f>M21*$G$88/10</f>
        <v>30.113386769815826</v>
      </c>
      <c r="K21" s="58">
        <f>N21*E21%</f>
        <v>136.00995533681154</v>
      </c>
      <c r="L21" s="49">
        <f t="shared" ref="L21:M22" si="21">O21*F21%</f>
        <v>108.74480601335262</v>
      </c>
      <c r="M21" s="49">
        <f t="shared" si="21"/>
        <v>163.49046591678709</v>
      </c>
      <c r="N21" s="74">
        <f>N15</f>
        <v>453.36651778937181</v>
      </c>
      <c r="O21" s="74">
        <f t="shared" ref="O21:P21" si="22">O15</f>
        <v>434.97922405341046</v>
      </c>
      <c r="P21" s="74">
        <f t="shared" si="22"/>
        <v>467.11561690510598</v>
      </c>
      <c r="Q21" s="44" t="b">
        <f t="shared" si="6"/>
        <v>1</v>
      </c>
      <c r="R21" s="44">
        <f t="shared" si="7"/>
        <v>1.6910526838306352</v>
      </c>
      <c r="S21" s="44">
        <f t="shared" si="7"/>
        <v>1.8419047619047617</v>
      </c>
      <c r="T21" s="44">
        <f t="shared" si="7"/>
        <v>1.8419047619047617</v>
      </c>
      <c r="U21" s="43">
        <v>57</v>
      </c>
      <c r="V21" s="41">
        <v>6.7</v>
      </c>
      <c r="W21" s="60">
        <v>6</v>
      </c>
      <c r="X21" s="60">
        <v>10</v>
      </c>
      <c r="Y21" s="44" t="b">
        <f t="shared" si="8"/>
        <v>1</v>
      </c>
      <c r="Z21" s="42"/>
      <c r="AA21" s="42"/>
      <c r="AB21" s="42"/>
      <c r="AC21" s="44" t="b">
        <f t="shared" si="9"/>
        <v>1</v>
      </c>
      <c r="AD21" s="46">
        <f t="shared" ref="AD21:AF22" si="23">Z21/V21</f>
        <v>0</v>
      </c>
      <c r="AE21" s="46">
        <f t="shared" si="23"/>
        <v>0</v>
      </c>
      <c r="AF21" s="47">
        <f t="shared" si="23"/>
        <v>0</v>
      </c>
      <c r="AG21" s="48">
        <f t="shared" si="1"/>
        <v>20.29999333385247</v>
      </c>
      <c r="AH21" s="41"/>
      <c r="AI21" s="62">
        <f t="shared" si="17"/>
        <v>10.874480601335261</v>
      </c>
      <c r="AJ21" s="66">
        <f t="shared" si="18"/>
        <v>27.24841098613118</v>
      </c>
      <c r="AK21" s="51">
        <f>AVERAGE(0.2, 0.15, 0.15, 0.15, 0.15, 0.15, 0.15, 0.15, 0.25, 0.15, 0.15, 0.2, 0.15, 0.2, 0.2)</f>
        <v>0.17</v>
      </c>
      <c r="AL21" s="52">
        <f>MIN(0.2, 0.15, 0.15, 0.15, 0.15, 0.15, 0.15, 0.15, 0.25, 0.15, 0.15, 0.2, 0.15, 0.2, 0.2)</f>
        <v>0.15</v>
      </c>
      <c r="AM21" s="53">
        <f>MAX(0.2, 0.15, 0.15, 0.15, 0.15, 0.15, 0.15, 0.15, 0.25, 0.15, 0.15, 0.2, 0.15, 0.2, 0.2)</f>
        <v>0.25</v>
      </c>
      <c r="AN21" s="41">
        <v>4</v>
      </c>
      <c r="AO21" s="42"/>
      <c r="AP21" s="43"/>
      <c r="AQ21" s="41">
        <v>12</v>
      </c>
      <c r="AR21" s="42"/>
      <c r="AS21" s="43"/>
      <c r="AT21" s="59">
        <v>9.0899999999999995E-2</v>
      </c>
      <c r="AU21" s="60">
        <v>1.9088999999999998</v>
      </c>
      <c r="AV21" s="60">
        <v>12.5442</v>
      </c>
      <c r="AW21" s="60">
        <v>6.0600000000000008E-2</v>
      </c>
      <c r="AX21" s="60">
        <v>2.0604</v>
      </c>
      <c r="AY21" s="60">
        <v>1.0908</v>
      </c>
      <c r="AZ21" s="60">
        <v>56.691299999999998</v>
      </c>
      <c r="BA21" s="60">
        <v>0.30299999999999999</v>
      </c>
      <c r="BB21" s="45">
        <v>0.12120000000000002</v>
      </c>
    </row>
    <row r="22" spans="1:54" x14ac:dyDescent="0.25">
      <c r="A22" s="70" t="s">
        <v>445</v>
      </c>
      <c r="B22" s="63">
        <v>28</v>
      </c>
      <c r="C22" s="399"/>
      <c r="D22" s="64" t="s">
        <v>434</v>
      </c>
      <c r="E22" s="41">
        <f>450/10</f>
        <v>45</v>
      </c>
      <c r="F22" s="62">
        <v>40</v>
      </c>
      <c r="G22" s="66">
        <v>50</v>
      </c>
      <c r="H22" s="41">
        <f>360/10</f>
        <v>36</v>
      </c>
      <c r="I22" s="75">
        <f>L22*$G$88/10</f>
        <v>32.047612164544603</v>
      </c>
      <c r="J22" s="76">
        <f>M22*$G$88/10</f>
        <v>43.01912395687976</v>
      </c>
      <c r="K22" s="65">
        <f>N22*E22%</f>
        <v>204.01493300521733</v>
      </c>
      <c r="L22" s="62">
        <f t="shared" si="21"/>
        <v>173.9916896213642</v>
      </c>
      <c r="M22" s="62">
        <f t="shared" si="21"/>
        <v>233.55780845255299</v>
      </c>
      <c r="N22" s="74">
        <f>N15</f>
        <v>453.36651778937181</v>
      </c>
      <c r="O22" s="74">
        <f t="shared" ref="O22:P22" si="24">O15</f>
        <v>434.97922405341046</v>
      </c>
      <c r="P22" s="74">
        <f t="shared" si="24"/>
        <v>467.11561690510598</v>
      </c>
      <c r="Q22" s="44" t="b">
        <f t="shared" si="6"/>
        <v>1</v>
      </c>
      <c r="R22" s="44">
        <f t="shared" ref="R22:T79" si="25">H22*10/K22</f>
        <v>1.764576713562402</v>
      </c>
      <c r="S22" s="44">
        <f t="shared" si="25"/>
        <v>1.8419047619047617</v>
      </c>
      <c r="T22" s="44">
        <f t="shared" si="25"/>
        <v>1.8419047619047619</v>
      </c>
      <c r="U22" s="43"/>
      <c r="V22" s="41">
        <v>6.1</v>
      </c>
      <c r="W22" s="42"/>
      <c r="X22" s="42"/>
      <c r="Y22" s="44" t="b">
        <f t="shared" si="8"/>
        <v>1</v>
      </c>
      <c r="Z22" s="42"/>
      <c r="AA22" s="42"/>
      <c r="AB22" s="42"/>
      <c r="AC22" s="44" t="b">
        <f t="shared" si="9"/>
        <v>1</v>
      </c>
      <c r="AD22" s="46">
        <f t="shared" si="23"/>
        <v>0</v>
      </c>
      <c r="AE22" s="46" t="e">
        <f t="shared" si="23"/>
        <v>#DIV/0!</v>
      </c>
      <c r="AF22" s="47" t="e">
        <f t="shared" si="23"/>
        <v>#DIV/0!</v>
      </c>
      <c r="AG22" s="48">
        <f t="shared" si="1"/>
        <v>33.445070984461857</v>
      </c>
      <c r="AH22" s="41"/>
      <c r="AI22" s="49" t="e">
        <f>L22/W22</f>
        <v>#DIV/0!</v>
      </c>
      <c r="AJ22" s="50" t="e">
        <f>M22/X22</f>
        <v>#DIV/0!</v>
      </c>
      <c r="AK22" s="51">
        <f>AVERAGE(0.2, 0.15, 0.15, 0.15, 0.15, 0.15, 0.15, 0.15, 0.25, 0.15, 0.15, 0.2, 0.15, 0.2, 0.2)</f>
        <v>0.17</v>
      </c>
      <c r="AL22" s="52">
        <f>MIN(0.2, 0.15, 0.15, 0.15, 0.15, 0.15, 0.15, 0.15, 0.25, 0.15, 0.15, 0.2, 0.15, 0.2, 0.2)</f>
        <v>0.15</v>
      </c>
      <c r="AM22" s="53">
        <f>MAX(0.2, 0.15, 0.15, 0.15, 0.15, 0.15, 0.15, 0.15, 0.25, 0.15, 0.15, 0.2, 0.15, 0.2, 0.2)</f>
        <v>0.25</v>
      </c>
      <c r="AN22" s="41">
        <v>5.2</v>
      </c>
      <c r="AO22" s="42"/>
      <c r="AP22" s="43"/>
      <c r="AQ22" s="41">
        <v>12</v>
      </c>
      <c r="AR22" s="42"/>
      <c r="AS22" s="43"/>
      <c r="AT22" s="41"/>
      <c r="AU22" s="42"/>
      <c r="AV22" s="42"/>
      <c r="AW22" s="42"/>
      <c r="AX22" s="42"/>
      <c r="AY22" s="42"/>
      <c r="AZ22" s="42"/>
      <c r="BA22" s="42"/>
      <c r="BB22" s="43"/>
    </row>
    <row r="23" spans="1:54" s="37" customFormat="1" x14ac:dyDescent="0.25">
      <c r="A23" s="24" t="s">
        <v>446</v>
      </c>
      <c r="B23" s="25"/>
      <c r="C23" s="26"/>
      <c r="D23" s="27"/>
      <c r="E23" s="28"/>
      <c r="F23" s="29"/>
      <c r="G23" s="30"/>
      <c r="H23" s="28"/>
      <c r="I23" s="29"/>
      <c r="J23" s="30"/>
      <c r="K23" s="28"/>
      <c r="L23" s="29"/>
      <c r="M23" s="29"/>
      <c r="N23" s="31"/>
      <c r="O23" s="31"/>
      <c r="P23" s="31"/>
      <c r="Q23" s="44" t="b">
        <f t="shared" si="6"/>
        <v>1</v>
      </c>
      <c r="R23" s="31"/>
      <c r="S23" s="31"/>
      <c r="T23" s="31"/>
      <c r="U23" s="32"/>
      <c r="V23" s="28"/>
      <c r="W23" s="29"/>
      <c r="X23" s="29"/>
      <c r="Y23" s="44" t="b">
        <f t="shared" si="8"/>
        <v>1</v>
      </c>
      <c r="Z23" s="29"/>
      <c r="AA23" s="29"/>
      <c r="AB23" s="29"/>
      <c r="AC23" s="44" t="b">
        <f t="shared" si="9"/>
        <v>1</v>
      </c>
      <c r="AD23" s="33"/>
      <c r="AE23" s="33"/>
      <c r="AF23" s="34"/>
      <c r="AG23" s="33"/>
      <c r="AH23" s="77"/>
      <c r="AI23" s="35"/>
      <c r="AJ23" s="36"/>
      <c r="AK23" s="78"/>
      <c r="AL23" s="79"/>
      <c r="AM23" s="80"/>
      <c r="AN23" s="28"/>
      <c r="AO23" s="29"/>
      <c r="AP23" s="30"/>
      <c r="AQ23" s="28"/>
      <c r="AR23" s="29"/>
      <c r="AS23" s="30"/>
      <c r="AT23" s="28"/>
      <c r="AU23" s="29"/>
      <c r="AV23" s="29"/>
      <c r="AW23" s="29"/>
      <c r="AX23" s="29"/>
      <c r="AY23" s="29"/>
      <c r="AZ23" s="29"/>
      <c r="BA23" s="29"/>
      <c r="BB23" s="30"/>
    </row>
    <row r="24" spans="1:54" x14ac:dyDescent="0.25">
      <c r="A24" s="70" t="s">
        <v>447</v>
      </c>
      <c r="B24" s="63"/>
      <c r="C24" s="399" t="s">
        <v>430</v>
      </c>
      <c r="D24" s="64" t="s">
        <v>434</v>
      </c>
      <c r="E24" s="81">
        <f>$G$100</f>
        <v>95</v>
      </c>
      <c r="F24" s="82">
        <f>$H$100</f>
        <v>89.7</v>
      </c>
      <c r="G24" s="83">
        <f>$I$100</f>
        <v>97.8</v>
      </c>
      <c r="H24" s="81">
        <f>K24*$G$88/10</f>
        <v>58.611985732844708</v>
      </c>
      <c r="I24" s="82">
        <f>L24*$H$88/10</f>
        <v>38.335822152003914</v>
      </c>
      <c r="J24" s="83">
        <f>M24*$I$88/10</f>
        <v>70.415779779031965</v>
      </c>
      <c r="K24" s="84">
        <f t="shared" ref="K24:M25" si="26">N24*E24%</f>
        <v>318.21398665711973</v>
      </c>
      <c r="L24" s="85">
        <f t="shared" si="26"/>
        <v>222.51306390052022</v>
      </c>
      <c r="M24" s="85">
        <f t="shared" si="26"/>
        <v>367.29542358660495</v>
      </c>
      <c r="N24" s="74">
        <f>$G$91*10%+$G$93*90%</f>
        <v>334.96209121802076</v>
      </c>
      <c r="O24" s="74">
        <f>$H$91*10%+$H$93*90%</f>
        <v>248.06361638853983</v>
      </c>
      <c r="P24" s="74">
        <f>$I$91*10%+$I$93*90%</f>
        <v>375.55769282883944</v>
      </c>
      <c r="Q24" s="44" t="b">
        <f t="shared" si="6"/>
        <v>1</v>
      </c>
      <c r="R24" s="44">
        <f t="shared" si="25"/>
        <v>1.8419047619047615</v>
      </c>
      <c r="S24" s="44">
        <f t="shared" si="25"/>
        <v>1.7228571428571429</v>
      </c>
      <c r="T24" s="44">
        <f t="shared" si="25"/>
        <v>1.9171428571428566</v>
      </c>
      <c r="U24" s="50">
        <f>U15*10%+U34*90%</f>
        <v>55.1</v>
      </c>
      <c r="V24" s="86">
        <f>V15/$E$15%*10% + V34/$E$34%*90%*$E$24%</f>
        <v>15.305251048222985</v>
      </c>
      <c r="W24" s="44">
        <f t="shared" ref="W24:AA24" si="27">W15/$E$15%*10% + W34/$E$34%*90%*$E$24%</f>
        <v>10.031710970404744</v>
      </c>
      <c r="X24" s="44">
        <f t="shared" si="27"/>
        <v>18.800628214429445</v>
      </c>
      <c r="Y24" s="44" t="b">
        <f t="shared" si="8"/>
        <v>1</v>
      </c>
      <c r="Z24" s="44">
        <f t="shared" si="27"/>
        <v>3.7232959813765065</v>
      </c>
      <c r="AA24" s="44">
        <f t="shared" si="27"/>
        <v>2.0647583621986381</v>
      </c>
      <c r="AB24" s="44">
        <f>AB15/$E$15%*10% + AB34/$E$34%*90%*$E$24%</f>
        <v>5.5300138431886907</v>
      </c>
      <c r="AC24" s="44" t="b">
        <f t="shared" si="9"/>
        <v>1</v>
      </c>
      <c r="AD24" s="46">
        <f t="shared" ref="AD24:AF34" si="28">Z24/V24</f>
        <v>0.24326918713357529</v>
      </c>
      <c r="AE24" s="46">
        <f t="shared" si="28"/>
        <v>0.20582315103475637</v>
      </c>
      <c r="AF24" s="47">
        <f t="shared" si="28"/>
        <v>0.29413984363269396</v>
      </c>
      <c r="AG24" s="48">
        <f t="shared" ref="AG24:AG34" si="29">K24/V24</f>
        <v>20.791164134094092</v>
      </c>
      <c r="AH24" s="58">
        <f t="shared" ref="AH24:AJ25" si="30">K24/V24</f>
        <v>20.791164134094092</v>
      </c>
      <c r="AI24" s="49">
        <f t="shared" si="30"/>
        <v>22.180968386845642</v>
      </c>
      <c r="AJ24" s="50">
        <f t="shared" si="30"/>
        <v>19.53633779666503</v>
      </c>
      <c r="AK24" s="87">
        <f>AK15*10% + AK34*90%</f>
        <v>0.11705000000000002</v>
      </c>
      <c r="AL24" s="88">
        <f t="shared" ref="AL24:AM24" si="31">AL15*10% + AL34*90%</f>
        <v>0.05</v>
      </c>
      <c r="AM24" s="89">
        <f t="shared" si="31"/>
        <v>0.21000000000000002</v>
      </c>
      <c r="AN24" s="86">
        <f>AN15/$E$15%*10% + AN34/$E$34%*90%*$E$24%</f>
        <v>6.362412487918486</v>
      </c>
      <c r="AO24" s="44">
        <f t="shared" ref="AO24:AS24" si="32">AO15/$E$15%*10% + AO34/$E$34%*90%*$E$24%</f>
        <v>4.7871464031547362</v>
      </c>
      <c r="AP24" s="90">
        <f t="shared" si="32"/>
        <v>8.2340390579508682</v>
      </c>
      <c r="AQ24" s="86">
        <f t="shared" si="32"/>
        <v>13.78666050475303</v>
      </c>
      <c r="AR24" s="44">
        <f t="shared" si="32"/>
        <v>10.9414062054834</v>
      </c>
      <c r="AS24" s="90">
        <f t="shared" si="32"/>
        <v>17.224635774559921</v>
      </c>
      <c r="AT24" s="87">
        <f t="shared" ref="AT24:BB24" si="33">AT15*10% + AT34*90%</f>
        <v>0.03</v>
      </c>
      <c r="AU24" s="85">
        <f t="shared" si="33"/>
        <v>0.75</v>
      </c>
      <c r="AV24" s="85">
        <f t="shared" si="33"/>
        <v>2.3000000000000003</v>
      </c>
      <c r="AW24" s="88">
        <f t="shared" si="33"/>
        <v>0</v>
      </c>
      <c r="AX24" s="85">
        <f t="shared" si="33"/>
        <v>0.44000000000000006</v>
      </c>
      <c r="AY24" s="85">
        <f t="shared" si="33"/>
        <v>0.38</v>
      </c>
      <c r="AZ24" s="85">
        <f t="shared" si="33"/>
        <v>11.9</v>
      </c>
      <c r="BA24" s="85">
        <f t="shared" si="33"/>
        <v>1.3000000000000001E-2</v>
      </c>
      <c r="BB24" s="91">
        <f t="shared" si="33"/>
        <v>0</v>
      </c>
    </row>
    <row r="25" spans="1:54" x14ac:dyDescent="0.25">
      <c r="A25" s="70" t="s">
        <v>448</v>
      </c>
      <c r="B25" s="63"/>
      <c r="C25" s="399" t="s">
        <v>430</v>
      </c>
      <c r="D25" s="64" t="s">
        <v>434</v>
      </c>
      <c r="E25" s="81">
        <f>$G$100</f>
        <v>95</v>
      </c>
      <c r="F25" s="82">
        <f>$H$100</f>
        <v>89.7</v>
      </c>
      <c r="G25" s="83">
        <f>$I$100</f>
        <v>97.8</v>
      </c>
      <c r="H25" s="81">
        <f>K25*$G$88/10</f>
        <v>58.611985732844708</v>
      </c>
      <c r="I25" s="82">
        <f>L25*$H$88/10</f>
        <v>38.335822152003914</v>
      </c>
      <c r="J25" s="83">
        <f>M25*$I$88/10</f>
        <v>70.415779779031965</v>
      </c>
      <c r="K25" s="84">
        <f t="shared" si="26"/>
        <v>318.21398665711973</v>
      </c>
      <c r="L25" s="85">
        <f t="shared" si="26"/>
        <v>222.51306390052022</v>
      </c>
      <c r="M25" s="85">
        <f t="shared" si="26"/>
        <v>367.29542358660495</v>
      </c>
      <c r="N25" s="74">
        <f>$G$91*10%+$G$93*90%</f>
        <v>334.96209121802076</v>
      </c>
      <c r="O25" s="74">
        <f>$H$91*10%+$H$93*90%</f>
        <v>248.06361638853983</v>
      </c>
      <c r="P25" s="74">
        <f>$I$91*10%+$I$93*90%</f>
        <v>375.55769282883944</v>
      </c>
      <c r="Q25" s="44" t="b">
        <f t="shared" si="6"/>
        <v>1</v>
      </c>
      <c r="R25" s="44">
        <f t="shared" si="25"/>
        <v>1.8419047619047615</v>
      </c>
      <c r="S25" s="44">
        <f t="shared" si="25"/>
        <v>1.7228571428571429</v>
      </c>
      <c r="T25" s="44">
        <f t="shared" si="25"/>
        <v>1.9171428571428566</v>
      </c>
      <c r="U25" s="50">
        <f>U11*10%+U32*90%</f>
        <v>53.2</v>
      </c>
      <c r="V25" s="86">
        <f>V11/$E$11%*10% + V32/$E$32%*90%*$E$25%</f>
        <v>23.335731835731838</v>
      </c>
      <c r="W25" s="44">
        <f>W11/$E$11%*10% + W32/$E$32%*90%*$E$25%</f>
        <v>17.391891891891895</v>
      </c>
      <c r="X25" s="44">
        <f>X11/$E$11%*10% + X32/$E$32%*90%*$E$25%</f>
        <v>29.279571779571782</v>
      </c>
      <c r="Y25" s="44" t="b">
        <f t="shared" si="8"/>
        <v>1</v>
      </c>
      <c r="Z25" s="44">
        <f>Z11/$E$11%*10% + Z32/$E$32%*90%*$E$25%</f>
        <v>7.1361881361881361</v>
      </c>
      <c r="AA25" s="44">
        <f>AA11/$E$11%*10% + AA32/$E$32%*90%*$E$25%</f>
        <v>3.568094068094068</v>
      </c>
      <c r="AB25" s="44">
        <f>AB11/$E$11%*10% + AB32/$E$32%*90%*$E$25%</f>
        <v>10.704282204282203</v>
      </c>
      <c r="AC25" s="44" t="b">
        <f t="shared" si="9"/>
        <v>1</v>
      </c>
      <c r="AD25" s="46">
        <f t="shared" si="28"/>
        <v>0.30580519978641313</v>
      </c>
      <c r="AE25" s="46">
        <f t="shared" si="28"/>
        <v>0.20515847788575056</v>
      </c>
      <c r="AF25" s="47">
        <f t="shared" si="28"/>
        <v>0.36558875535708923</v>
      </c>
      <c r="AG25" s="48">
        <f t="shared" si="29"/>
        <v>13.636340565495709</v>
      </c>
      <c r="AH25" s="58">
        <f t="shared" si="30"/>
        <v>13.636340565495709</v>
      </c>
      <c r="AI25" s="49">
        <f t="shared" si="30"/>
        <v>12.794068942221053</v>
      </c>
      <c r="AJ25" s="50">
        <f t="shared" si="30"/>
        <v>12.544426071246889</v>
      </c>
      <c r="AK25" s="87">
        <f>AK11*10% + AK32*90%</f>
        <v>0.21926666666666667</v>
      </c>
      <c r="AL25" s="88">
        <f>AL11*10% + AL32*90%</f>
        <v>0.10200000000000001</v>
      </c>
      <c r="AM25" s="89">
        <f>AM11*10% + AM32*90%</f>
        <v>0.40500000000000003</v>
      </c>
      <c r="AN25" s="86">
        <f t="shared" ref="AN25:AS25" si="34">AN11/$E$11%*10% + AN32/$E$32%*90%*$E$25%</f>
        <v>28.945945945945951</v>
      </c>
      <c r="AO25" s="44">
        <f t="shared" si="34"/>
        <v>11.766760266760269</v>
      </c>
      <c r="AP25" s="90">
        <f t="shared" si="34"/>
        <v>46.12513162513163</v>
      </c>
      <c r="AQ25" s="86">
        <f t="shared" si="34"/>
        <v>14.045454545454547</v>
      </c>
      <c r="AR25" s="44">
        <f t="shared" si="34"/>
        <v>8.3789048789048799</v>
      </c>
      <c r="AS25" s="90">
        <f t="shared" si="34"/>
        <v>19.712004212004217</v>
      </c>
      <c r="AT25" s="84">
        <f t="shared" ref="AT25:BB25" si="35">AT11*10% + AT32*90%</f>
        <v>0.18987000000000001</v>
      </c>
      <c r="AU25" s="85">
        <f t="shared" si="35"/>
        <v>8.6717300000000002</v>
      </c>
      <c r="AV25" s="85">
        <f t="shared" si="35"/>
        <v>173.4675</v>
      </c>
      <c r="AW25" s="85">
        <f t="shared" si="35"/>
        <v>9.0000000000000011E-2</v>
      </c>
      <c r="AX25" s="85">
        <f t="shared" si="35"/>
        <v>8.0922499999999999</v>
      </c>
      <c r="AY25" s="85">
        <f t="shared" si="35"/>
        <v>1.52108</v>
      </c>
      <c r="AZ25" s="85">
        <f t="shared" si="35"/>
        <v>355.92840000000001</v>
      </c>
      <c r="BA25" s="85">
        <f t="shared" si="35"/>
        <v>0.83303000000000005</v>
      </c>
      <c r="BB25" s="91">
        <f t="shared" si="35"/>
        <v>0.36000000000000004</v>
      </c>
    </row>
    <row r="26" spans="1:54" x14ac:dyDescent="0.25">
      <c r="A26" s="70" t="s">
        <v>449</v>
      </c>
      <c r="B26" s="63">
        <v>20</v>
      </c>
      <c r="C26" s="399" t="s">
        <v>430</v>
      </c>
      <c r="D26" s="40" t="s">
        <v>426</v>
      </c>
      <c r="E26" s="41">
        <f>46/10</f>
        <v>4.5999999999999996</v>
      </c>
      <c r="F26" s="42">
        <f>(46-16)/10</f>
        <v>3</v>
      </c>
      <c r="G26" s="43">
        <f>(46+16)/10</f>
        <v>6.2</v>
      </c>
      <c r="H26" s="41">
        <f>30.3/10</f>
        <v>3.0300000000000002</v>
      </c>
      <c r="I26" s="42">
        <f>(30.3-10.6)/10</f>
        <v>1.9700000000000002</v>
      </c>
      <c r="J26" s="43">
        <f>(30.3+10.6)/10</f>
        <v>4.09</v>
      </c>
      <c r="K26" s="41">
        <v>15.4</v>
      </c>
      <c r="L26" s="42">
        <f>15.4-6.6</f>
        <v>8.8000000000000007</v>
      </c>
      <c r="M26" s="42">
        <f>15.4+6.6</f>
        <v>22</v>
      </c>
      <c r="N26" s="44">
        <f t="shared" ref="N26:P34" si="36">K26/E26%</f>
        <v>334.78260869565219</v>
      </c>
      <c r="O26" s="44">
        <f t="shared" si="36"/>
        <v>293.33333333333337</v>
      </c>
      <c r="P26" s="44">
        <f t="shared" si="36"/>
        <v>354.83870967741933</v>
      </c>
      <c r="Q26" s="44" t="b">
        <f t="shared" si="6"/>
        <v>1</v>
      </c>
      <c r="R26" s="44">
        <f t="shared" si="25"/>
        <v>1.9675324675324677</v>
      </c>
      <c r="S26" s="44">
        <f t="shared" si="25"/>
        <v>2.2386363636363638</v>
      </c>
      <c r="T26" s="44">
        <f t="shared" si="25"/>
        <v>1.8590909090909091</v>
      </c>
      <c r="U26" s="43"/>
      <c r="V26" s="41">
        <v>2.2999999999999998</v>
      </c>
      <c r="W26" s="42">
        <f>2.3-0.7</f>
        <v>1.5999999999999999</v>
      </c>
      <c r="X26" s="42">
        <f>2.3+0.7</f>
        <v>3</v>
      </c>
      <c r="Y26" s="44" t="b">
        <f t="shared" si="8"/>
        <v>1</v>
      </c>
      <c r="Z26" s="42">
        <v>0.22</v>
      </c>
      <c r="AA26" s="42">
        <f>0.22-0.22</f>
        <v>0</v>
      </c>
      <c r="AB26" s="42">
        <f>0.22+0.22</f>
        <v>0.44</v>
      </c>
      <c r="AC26" s="44" t="b">
        <f t="shared" si="9"/>
        <v>1</v>
      </c>
      <c r="AD26" s="46">
        <f t="shared" si="28"/>
        <v>9.5652173913043481E-2</v>
      </c>
      <c r="AE26" s="46">
        <f t="shared" si="28"/>
        <v>0</v>
      </c>
      <c r="AF26" s="47">
        <f t="shared" si="28"/>
        <v>0.14666666666666667</v>
      </c>
      <c r="AG26" s="48">
        <f t="shared" si="29"/>
        <v>6.6956521739130439</v>
      </c>
      <c r="AH26" s="41">
        <v>6.6</v>
      </c>
      <c r="AI26" s="49">
        <f>L26/W26</f>
        <v>5.5000000000000009</v>
      </c>
      <c r="AJ26" s="50">
        <f>M26/X26</f>
        <v>7.333333333333333</v>
      </c>
      <c r="AK26" s="51">
        <f>AVERAGE(0.3, 0.2,0.3,0.15,0.15, 0.3,0.15,0.15,0.4,0.15, 0.15, 0.4, 0.1, 0.15, 0.35)</f>
        <v>0.22666666666666666</v>
      </c>
      <c r="AL26" s="52">
        <f>MIN(0.3, 0.2,0.3,0.15,0.15, 0.3,0.15,0.15,0.4,0.15, 0.15, 0.4, 0.1, 0.15, 0.35)</f>
        <v>0.1</v>
      </c>
      <c r="AM26" s="53">
        <f>MAX(0.3, 0.2,0.3,0.15,0.15, 0.3,0.15,0.15,0.4,0.15, 0.15, 0.4, 0.1, 0.15, 0.35)</f>
        <v>0.4</v>
      </c>
      <c r="AN26" s="41">
        <v>2.2999999999999998</v>
      </c>
      <c r="AO26" s="42">
        <f>2.3-1.3</f>
        <v>0.99999999999999978</v>
      </c>
      <c r="AP26" s="43">
        <f>2.3+1.3</f>
        <v>3.5999999999999996</v>
      </c>
      <c r="AQ26" s="41">
        <v>2.8</v>
      </c>
      <c r="AR26" s="42">
        <f>2.8-0.6</f>
        <v>2.1999999999999997</v>
      </c>
      <c r="AS26" s="43">
        <f>2.8+0.6</f>
        <v>3.4</v>
      </c>
      <c r="AT26" s="41"/>
      <c r="AU26" s="42"/>
      <c r="AV26" s="42"/>
      <c r="AW26" s="42"/>
      <c r="AX26" s="42"/>
      <c r="AY26" s="42"/>
      <c r="AZ26" s="42"/>
      <c r="BA26" s="42"/>
      <c r="BB26" s="43"/>
    </row>
    <row r="27" spans="1:54" x14ac:dyDescent="0.25">
      <c r="A27" s="70" t="s">
        <v>450</v>
      </c>
      <c r="B27" s="63">
        <v>20</v>
      </c>
      <c r="C27" s="399" t="s">
        <v>430</v>
      </c>
      <c r="D27" s="64" t="s">
        <v>451</v>
      </c>
      <c r="E27" s="41">
        <f>6.7/10</f>
        <v>0.67</v>
      </c>
      <c r="F27" s="42">
        <f>(6.7-2.1)/10</f>
        <v>0.45999999999999996</v>
      </c>
      <c r="G27" s="43">
        <f>(6.7+2.1)/10</f>
        <v>0.88000000000000012</v>
      </c>
      <c r="H27" s="41">
        <f>2.1/10</f>
        <v>0.21000000000000002</v>
      </c>
      <c r="I27" s="42">
        <f>(2.1-0.8)/10</f>
        <v>0.13</v>
      </c>
      <c r="J27" s="43">
        <f>(2.1+0.8)/10</f>
        <v>0.29000000000000004</v>
      </c>
      <c r="K27" s="92">
        <f>H27*10/$G$87</f>
        <v>1.222992410530843</v>
      </c>
      <c r="L27" s="42"/>
      <c r="M27" s="42"/>
      <c r="N27" s="44">
        <f>K27/E27%</f>
        <v>182.53618067624521</v>
      </c>
      <c r="O27" s="44"/>
      <c r="P27" s="44"/>
      <c r="Q27" s="44" t="b">
        <f t="shared" si="6"/>
        <v>1</v>
      </c>
      <c r="R27" s="44">
        <f t="shared" si="25"/>
        <v>1.7170997807651887</v>
      </c>
      <c r="S27" s="44" t="e">
        <f t="shared" si="25"/>
        <v>#DIV/0!</v>
      </c>
      <c r="T27" s="44" t="e">
        <f t="shared" si="25"/>
        <v>#DIV/0!</v>
      </c>
      <c r="U27" s="43"/>
      <c r="V27" s="41">
        <v>0.18</v>
      </c>
      <c r="W27" s="42">
        <f>0.18-0.16</f>
        <v>1.999999999999999E-2</v>
      </c>
      <c r="X27" s="42">
        <f>0.18+0.16</f>
        <v>0.33999999999999997</v>
      </c>
      <c r="Y27" s="44" t="b">
        <f t="shared" si="8"/>
        <v>1</v>
      </c>
      <c r="Z27" s="42">
        <v>0.05</v>
      </c>
      <c r="AA27" s="42">
        <f>0.05-0.04</f>
        <v>1.0000000000000002E-2</v>
      </c>
      <c r="AB27" s="42">
        <f>0.05+0.04</f>
        <v>0.09</v>
      </c>
      <c r="AC27" s="44" t="b">
        <f t="shared" si="9"/>
        <v>1</v>
      </c>
      <c r="AD27" s="46">
        <f t="shared" si="28"/>
        <v>0.27777777777777779</v>
      </c>
      <c r="AE27" s="46">
        <f>AB27/X27</f>
        <v>0.26470588235294118</v>
      </c>
      <c r="AF27" s="47">
        <f>AA27/W27</f>
        <v>0.50000000000000033</v>
      </c>
      <c r="AG27" s="48">
        <f t="shared" si="29"/>
        <v>6.7944022807269056</v>
      </c>
      <c r="AH27" s="41">
        <v>3.7</v>
      </c>
      <c r="AI27" s="49">
        <f>L27/W27</f>
        <v>0</v>
      </c>
      <c r="AJ27" s="50">
        <f>M27/X27</f>
        <v>0</v>
      </c>
      <c r="AK27" s="51"/>
      <c r="AL27" s="52"/>
      <c r="AM27" s="53"/>
      <c r="AN27" s="41">
        <v>0.27</v>
      </c>
      <c r="AO27" s="42">
        <f>0.27-0.21</f>
        <v>6.0000000000000026E-2</v>
      </c>
      <c r="AP27" s="43">
        <f>0.27+0.21</f>
        <v>0.48</v>
      </c>
      <c r="AQ27" s="41">
        <v>2.11</v>
      </c>
      <c r="AR27" s="42">
        <f>2.11-0.63</f>
        <v>1.48</v>
      </c>
      <c r="AS27" s="43">
        <f>2.11+0.63</f>
        <v>2.7399999999999998</v>
      </c>
      <c r="AT27" s="41">
        <v>0.2</v>
      </c>
      <c r="AU27" s="42">
        <v>3.3</v>
      </c>
      <c r="AV27" s="42">
        <v>119</v>
      </c>
      <c r="AW27" s="42">
        <v>0.2</v>
      </c>
      <c r="AX27" s="42">
        <v>0.14000000000000001</v>
      </c>
      <c r="AY27" s="42">
        <v>0.7</v>
      </c>
      <c r="AZ27" s="42">
        <v>284</v>
      </c>
      <c r="BA27" s="42">
        <v>1.4</v>
      </c>
      <c r="BB27" s="43">
        <v>1</v>
      </c>
    </row>
    <row r="28" spans="1:54" x14ac:dyDescent="0.25">
      <c r="A28" s="70" t="s">
        <v>452</v>
      </c>
      <c r="B28" s="63"/>
      <c r="C28" s="399" t="s">
        <v>430</v>
      </c>
      <c r="D28" s="64" t="s">
        <v>426</v>
      </c>
      <c r="E28" s="81">
        <f>$G$100</f>
        <v>95</v>
      </c>
      <c r="F28" s="82">
        <f>$H$100</f>
        <v>89.7</v>
      </c>
      <c r="G28" s="83">
        <f>$I$100</f>
        <v>97.8</v>
      </c>
      <c r="H28" s="93">
        <f>K28*$G$89/10</f>
        <v>57.942677286947671</v>
      </c>
      <c r="I28" s="72">
        <f>L28*$G$89/10</f>
        <v>41.669478993105784</v>
      </c>
      <c r="J28" s="73">
        <f>M28*$G$89/10</f>
        <v>64.660858795943</v>
      </c>
      <c r="K28" s="58">
        <f>N28*E28%</f>
        <v>316.6266518412441</v>
      </c>
      <c r="L28" s="49">
        <f t="shared" ref="L28:M28" si="37">O28*F28%</f>
        <v>227.70207100057806</v>
      </c>
      <c r="M28" s="49">
        <f t="shared" si="37"/>
        <v>353.33802620733877</v>
      </c>
      <c r="N28" s="74">
        <f>$G$93</f>
        <v>333.29121246446749</v>
      </c>
      <c r="O28" s="74">
        <f>$H$93</f>
        <v>253.84846265393315</v>
      </c>
      <c r="P28" s="74">
        <f>$I$93</f>
        <v>361.28632536537708</v>
      </c>
      <c r="Q28" s="44" t="b">
        <f t="shared" si="6"/>
        <v>1</v>
      </c>
      <c r="R28" s="44">
        <f t="shared" si="25"/>
        <v>1.83</v>
      </c>
      <c r="S28" s="44">
        <f t="shared" si="25"/>
        <v>1.8299999999999998</v>
      </c>
      <c r="T28" s="44">
        <f t="shared" si="25"/>
        <v>1.83</v>
      </c>
      <c r="U28" s="43"/>
      <c r="V28" s="94">
        <f>22%*AVERAGE(V32,V34)/7%</f>
        <v>16.971428571428572</v>
      </c>
      <c r="W28" s="95">
        <f t="shared" ref="W28:X28" si="38">22%*AVERAGE(W32,W34)/7%</f>
        <v>11.942857142857143</v>
      </c>
      <c r="X28" s="95">
        <f t="shared" si="38"/>
        <v>21.37142857142857</v>
      </c>
      <c r="Y28" s="44" t="b">
        <f t="shared" si="8"/>
        <v>1</v>
      </c>
      <c r="Z28" s="95">
        <f>10%*AVERAGE(Z32,Z34)/7%</f>
        <v>2.2380952380952381</v>
      </c>
      <c r="AA28" s="95">
        <f t="shared" ref="AA28:AB28" si="39">10%*AVERAGE(AA32,AA34)/7%</f>
        <v>1.142857142857143</v>
      </c>
      <c r="AB28" s="95">
        <f t="shared" si="39"/>
        <v>3.3571428571428568</v>
      </c>
      <c r="AC28" s="44" t="b">
        <f t="shared" si="9"/>
        <v>1</v>
      </c>
      <c r="AD28" s="46">
        <f t="shared" si="28"/>
        <v>0.13187429854096522</v>
      </c>
      <c r="AE28" s="46">
        <f t="shared" si="28"/>
        <v>9.5693779904306234E-2</v>
      </c>
      <c r="AF28" s="47">
        <f t="shared" si="28"/>
        <v>0.15708556149732619</v>
      </c>
      <c r="AG28" s="48">
        <f t="shared" si="29"/>
        <v>18.656452549568254</v>
      </c>
      <c r="AH28" s="58">
        <f>AVERAGE(AI28:AJ28)</f>
        <v>20.12011428377841</v>
      </c>
      <c r="AI28" s="62">
        <f>L28/X28</f>
        <v>10.654508669813145</v>
      </c>
      <c r="AJ28" s="66">
        <f>M28/W28</f>
        <v>29.585719897743676</v>
      </c>
      <c r="AK28" s="51"/>
      <c r="AL28" s="52"/>
      <c r="AM28" s="53"/>
      <c r="AN28" s="96">
        <f>AVERAGE(27,79)%*AVERAGE(AN32,AN34)/7%</f>
        <v>43.409523809523805</v>
      </c>
      <c r="AO28" s="97">
        <f>27%*AVERAGE(AO32,AO34)/7%</f>
        <v>9.257142857142858</v>
      </c>
      <c r="AP28" s="98">
        <f>79%*AVERAGE(AP32,AP34)/7%</f>
        <v>102.70000000000002</v>
      </c>
      <c r="AQ28" s="96">
        <f>3%*AVERAGE(AQ32,AQ34)/7%</f>
        <v>1.3142857142857138</v>
      </c>
      <c r="AR28" s="97">
        <f t="shared" ref="AR28:AS28" si="40">3%*AVERAGE(AR32,AR34)/7%</f>
        <v>0.87857142857142834</v>
      </c>
      <c r="AS28" s="98">
        <f t="shared" si="40"/>
        <v>1.7785714285714285</v>
      </c>
      <c r="AT28" s="41"/>
      <c r="AU28" s="42"/>
      <c r="AV28" s="42"/>
      <c r="AW28" s="42"/>
      <c r="AX28" s="42"/>
      <c r="AY28" s="42"/>
      <c r="AZ28" s="42"/>
      <c r="BA28" s="42"/>
      <c r="BB28" s="43"/>
    </row>
    <row r="29" spans="1:54" ht="30" x14ac:dyDescent="0.25">
      <c r="A29" s="70" t="s">
        <v>453</v>
      </c>
      <c r="B29" s="63"/>
      <c r="C29" s="399" t="s">
        <v>430</v>
      </c>
      <c r="D29" s="64" t="s">
        <v>426</v>
      </c>
      <c r="E29" s="99">
        <v>90</v>
      </c>
      <c r="F29" s="42"/>
      <c r="G29" s="43"/>
      <c r="H29" s="41"/>
      <c r="I29" s="42"/>
      <c r="J29" s="43"/>
      <c r="K29" s="41"/>
      <c r="L29" s="42"/>
      <c r="M29" s="42"/>
      <c r="N29" s="44"/>
      <c r="O29" s="44"/>
      <c r="P29" s="44"/>
      <c r="Q29" s="44" t="b">
        <f t="shared" si="6"/>
        <v>1</v>
      </c>
      <c r="R29" s="44" t="e">
        <f t="shared" si="25"/>
        <v>#DIV/0!</v>
      </c>
      <c r="S29" s="44" t="e">
        <f t="shared" si="25"/>
        <v>#DIV/0!</v>
      </c>
      <c r="T29" s="44" t="e">
        <f t="shared" si="25"/>
        <v>#DIV/0!</v>
      </c>
      <c r="U29" s="43"/>
      <c r="V29" s="94">
        <f>Z29</f>
        <v>60.750000000000007</v>
      </c>
      <c r="W29" s="95">
        <f t="shared" ref="W29:X30" si="41">AA29</f>
        <v>67.500000000000014</v>
      </c>
      <c r="X29" s="95">
        <f t="shared" si="41"/>
        <v>110.69999999999999</v>
      </c>
      <c r="Y29" s="44" t="b">
        <f t="shared" si="8"/>
        <v>1</v>
      </c>
      <c r="Z29" s="95">
        <f>81%*AVERAGE(Z31,Z33)/3%</f>
        <v>60.750000000000007</v>
      </c>
      <c r="AA29" s="95">
        <f t="shared" ref="AA29:AB29" si="42">81%*AVERAGE(AA31,AA33)/3%</f>
        <v>67.500000000000014</v>
      </c>
      <c r="AB29" s="95">
        <f t="shared" si="42"/>
        <v>110.69999999999999</v>
      </c>
      <c r="AC29" s="44" t="b">
        <f t="shared" si="9"/>
        <v>1</v>
      </c>
      <c r="AD29" s="46">
        <f t="shared" si="28"/>
        <v>1</v>
      </c>
      <c r="AE29" s="46">
        <f t="shared" si="28"/>
        <v>1</v>
      </c>
      <c r="AF29" s="47">
        <f t="shared" si="28"/>
        <v>1</v>
      </c>
      <c r="AG29" s="48">
        <f t="shared" si="29"/>
        <v>0</v>
      </c>
      <c r="AH29" s="58">
        <f t="shared" ref="AH29:AJ30" si="43">K29/V29</f>
        <v>0</v>
      </c>
      <c r="AI29" s="49">
        <f t="shared" si="43"/>
        <v>0</v>
      </c>
      <c r="AJ29" s="50">
        <f t="shared" si="43"/>
        <v>0</v>
      </c>
      <c r="AK29" s="51"/>
      <c r="AL29" s="52"/>
      <c r="AM29" s="53"/>
      <c r="AN29" s="96">
        <v>0</v>
      </c>
      <c r="AO29" s="97">
        <v>0</v>
      </c>
      <c r="AP29" s="98">
        <v>0</v>
      </c>
      <c r="AQ29" s="96">
        <f>4%*AVERAGE(AQ31,AQ33)/3%</f>
        <v>3.3333333333333335</v>
      </c>
      <c r="AR29" s="97">
        <f>4%*AVERAGE(AR31,AR33)/3%</f>
        <v>2.9333333333333331</v>
      </c>
      <c r="AS29" s="98">
        <f>4%*AVERAGE(AS31,AS33)/3%</f>
        <v>4.5333333333333341</v>
      </c>
      <c r="AT29" s="41"/>
      <c r="AU29" s="42"/>
      <c r="AV29" s="42"/>
      <c r="AW29" s="42"/>
      <c r="AX29" s="42"/>
      <c r="AY29" s="42"/>
      <c r="AZ29" s="42"/>
      <c r="BA29" s="42"/>
      <c r="BB29" s="43"/>
    </row>
    <row r="30" spans="1:54" x14ac:dyDescent="0.25">
      <c r="A30" s="70" t="s">
        <v>454</v>
      </c>
      <c r="B30" s="63"/>
      <c r="C30" s="399" t="s">
        <v>430</v>
      </c>
      <c r="D30" s="64" t="s">
        <v>426</v>
      </c>
      <c r="E30" s="99">
        <f>42/10</f>
        <v>4.2</v>
      </c>
      <c r="F30" s="100">
        <f>(42-9)/10</f>
        <v>3.3</v>
      </c>
      <c r="G30" s="101">
        <f>(42+9)/10</f>
        <v>5.0999999999999996</v>
      </c>
      <c r="H30" s="102"/>
      <c r="I30" s="103"/>
      <c r="J30" s="104"/>
      <c r="K30" s="41"/>
      <c r="L30" s="42"/>
      <c r="M30" s="42"/>
      <c r="N30" s="44"/>
      <c r="O30" s="44"/>
      <c r="P30" s="44"/>
      <c r="Q30" s="44" t="b">
        <f t="shared" si="6"/>
        <v>1</v>
      </c>
      <c r="R30" s="44" t="e">
        <f t="shared" si="25"/>
        <v>#DIV/0!</v>
      </c>
      <c r="S30" s="44" t="e">
        <f t="shared" si="25"/>
        <v>#DIV/0!</v>
      </c>
      <c r="T30" s="44" t="e">
        <f t="shared" si="25"/>
        <v>#DIV/0!</v>
      </c>
      <c r="U30" s="43"/>
      <c r="V30" s="94">
        <f>Z30</f>
        <v>0.22499999999999998</v>
      </c>
      <c r="W30" s="95">
        <f t="shared" si="41"/>
        <v>0.24999999999999997</v>
      </c>
      <c r="X30" s="95">
        <f t="shared" si="41"/>
        <v>0.40999999999999992</v>
      </c>
      <c r="Y30" s="44" t="b">
        <f t="shared" si="8"/>
        <v>1</v>
      </c>
      <c r="Z30" s="95">
        <f>9%*AVERAGE(Z31,Z33)/90%</f>
        <v>0.22499999999999998</v>
      </c>
      <c r="AA30" s="95">
        <f t="shared" ref="AA30:AB30" si="44">9%*AVERAGE(AA31,AA33)/90%</f>
        <v>0.24999999999999997</v>
      </c>
      <c r="AB30" s="95">
        <f t="shared" si="44"/>
        <v>0.40999999999999992</v>
      </c>
      <c r="AC30" s="44" t="b">
        <f t="shared" si="9"/>
        <v>1</v>
      </c>
      <c r="AD30" s="46">
        <f t="shared" si="28"/>
        <v>1</v>
      </c>
      <c r="AE30" s="46">
        <f t="shared" si="28"/>
        <v>1</v>
      </c>
      <c r="AF30" s="47">
        <f t="shared" si="28"/>
        <v>1</v>
      </c>
      <c r="AG30" s="48">
        <f t="shared" si="29"/>
        <v>0</v>
      </c>
      <c r="AH30" s="58">
        <f t="shared" si="43"/>
        <v>0</v>
      </c>
      <c r="AI30" s="49">
        <f t="shared" si="43"/>
        <v>0</v>
      </c>
      <c r="AJ30" s="50">
        <f t="shared" si="43"/>
        <v>0</v>
      </c>
      <c r="AK30" s="51"/>
      <c r="AL30" s="52"/>
      <c r="AM30" s="53"/>
      <c r="AN30" s="96">
        <f>AVERAGE(21,73)%*AVERAGE(AN31,AN33)/90%</f>
        <v>0.39166666666666661</v>
      </c>
      <c r="AO30" s="97">
        <f>21%*AVERAGE(AO31,AO33)/90%</f>
        <v>6.9999999999999993E-2</v>
      </c>
      <c r="AP30" s="98">
        <f>73%*AVERAGE(AP31,AP33)/90%</f>
        <v>0.72999999999999987</v>
      </c>
      <c r="AQ30" s="96">
        <f>93%*AVERAGE(AQ31,AQ33)/90%</f>
        <v>2.5833333333333335</v>
      </c>
      <c r="AR30" s="97">
        <f>93%*AVERAGE(AR31,AR33)/90%</f>
        <v>2.273333333333333</v>
      </c>
      <c r="AS30" s="98">
        <f>93%*AVERAGE(AS31,AS33)/90%</f>
        <v>3.5133333333333332</v>
      </c>
      <c r="AT30" s="41"/>
      <c r="AU30" s="42"/>
      <c r="AV30" s="42"/>
      <c r="AW30" s="42"/>
      <c r="AX30" s="42"/>
      <c r="AY30" s="42"/>
      <c r="AZ30" s="42"/>
      <c r="BA30" s="42"/>
      <c r="BB30" s="43"/>
    </row>
    <row r="31" spans="1:54" x14ac:dyDescent="0.25">
      <c r="A31" s="70" t="s">
        <v>455</v>
      </c>
      <c r="B31" s="63">
        <v>17</v>
      </c>
      <c r="C31" s="399" t="s">
        <v>430</v>
      </c>
      <c r="D31" s="40" t="s">
        <v>426</v>
      </c>
      <c r="E31" s="41">
        <f>16.7/10</f>
        <v>1.67</v>
      </c>
      <c r="F31" s="42">
        <f>(16.7-5.1)/10</f>
        <v>1.1599999999999999</v>
      </c>
      <c r="G31" s="43">
        <f>(16.7+5.1)/10</f>
        <v>2.1799999999999997</v>
      </c>
      <c r="H31" s="41">
        <f>9.2/10</f>
        <v>0.91999999999999993</v>
      </c>
      <c r="I31" s="42">
        <f>(9.2-3.6)/10</f>
        <v>0.55999999999999994</v>
      </c>
      <c r="J31" s="43">
        <f>(9.2+3.6)/10</f>
        <v>1.2799999999999998</v>
      </c>
      <c r="K31" s="41">
        <v>4.9000000000000004</v>
      </c>
      <c r="L31" s="42">
        <f>4.9-2.2</f>
        <v>2.7</v>
      </c>
      <c r="M31" s="42">
        <f>4.9+2.2</f>
        <v>7.1000000000000005</v>
      </c>
      <c r="N31" s="44">
        <f t="shared" si="36"/>
        <v>293.41317365269464</v>
      </c>
      <c r="O31" s="44">
        <f t="shared" si="36"/>
        <v>232.7586206896552</v>
      </c>
      <c r="P31" s="44">
        <f t="shared" si="36"/>
        <v>325.68807339449552</v>
      </c>
      <c r="Q31" s="44" t="b">
        <f t="shared" si="6"/>
        <v>1</v>
      </c>
      <c r="R31" s="44">
        <f t="shared" si="25"/>
        <v>1.8775510204081629</v>
      </c>
      <c r="S31" s="44">
        <f t="shared" si="25"/>
        <v>2.074074074074074</v>
      </c>
      <c r="T31" s="44">
        <f t="shared" si="25"/>
        <v>1.8028169014084501</v>
      </c>
      <c r="U31" s="43"/>
      <c r="V31" s="41">
        <v>3.6</v>
      </c>
      <c r="W31" s="42">
        <f>3.6-1.1</f>
        <v>2.5</v>
      </c>
      <c r="X31" s="42">
        <f>3.6+1.1</f>
        <v>4.7</v>
      </c>
      <c r="Y31" s="44" t="b">
        <f t="shared" si="8"/>
        <v>1</v>
      </c>
      <c r="Z31" s="42">
        <v>3.3</v>
      </c>
      <c r="AA31" s="42">
        <f>3.3-0.8</f>
        <v>2.5</v>
      </c>
      <c r="AB31" s="42">
        <f>3.3+0.8</f>
        <v>4.0999999999999996</v>
      </c>
      <c r="AC31" s="44" t="b">
        <f t="shared" si="9"/>
        <v>1</v>
      </c>
      <c r="AD31" s="46">
        <f t="shared" si="28"/>
        <v>0.91666666666666663</v>
      </c>
      <c r="AE31" s="46">
        <f>AB31/X31</f>
        <v>0.87234042553191482</v>
      </c>
      <c r="AF31" s="47">
        <f>AA31/W31</f>
        <v>1</v>
      </c>
      <c r="AG31" s="48">
        <f t="shared" si="29"/>
        <v>1.3611111111111112</v>
      </c>
      <c r="AH31" s="41">
        <v>1.3</v>
      </c>
      <c r="AI31" s="49">
        <f>L31/W31</f>
        <v>1.08</v>
      </c>
      <c r="AJ31" s="50">
        <f>M31/X31</f>
        <v>1.5106382978723405</v>
      </c>
      <c r="AK31" s="51">
        <f>AVERAGE(0.31, 0.2, 0.56, 0.4, 0.42, 0.62, 0.4, 0.4, 0.5, 0.4, 0.48, 0.5, 0.2, 0.38, 0.6)</f>
        <v>0.42466666666666664</v>
      </c>
      <c r="AL31" s="52">
        <f>MIN(0.31, 0.2, 0.56, 0.4, 0.42, 0.62, 0.4, 0.4, 0.5, 0.4, 0.48, 0.5, 0.2, 0.38, 0.6)</f>
        <v>0.2</v>
      </c>
      <c r="AM31" s="53">
        <f>MAX(0.31, 0.2, 0.56, 0.4, 0.42, 0.62, 0.4, 0.4, 0.5, 0.4, 0.48, 0.5, 0.2, 0.38, 0.6)</f>
        <v>0.62</v>
      </c>
      <c r="AN31" s="41">
        <v>0.6</v>
      </c>
      <c r="AO31" s="42">
        <f>0.6-0.3</f>
        <v>0.3</v>
      </c>
      <c r="AP31" s="43">
        <f>0.6+0.3</f>
        <v>0.89999999999999991</v>
      </c>
      <c r="AQ31" s="41">
        <v>2.8</v>
      </c>
      <c r="AR31" s="42">
        <f>2.8-0.6</f>
        <v>2.1999999999999997</v>
      </c>
      <c r="AS31" s="43">
        <f>2.8+0.6</f>
        <v>3.4</v>
      </c>
      <c r="AT31" s="41"/>
      <c r="AU31" s="42"/>
      <c r="AV31" s="42">
        <v>98</v>
      </c>
      <c r="AW31" s="42"/>
      <c r="AX31" s="42"/>
      <c r="AY31" s="42"/>
      <c r="AZ31" s="42">
        <v>486</v>
      </c>
      <c r="BA31" s="42"/>
      <c r="BB31" s="43"/>
    </row>
    <row r="32" spans="1:54" x14ac:dyDescent="0.25">
      <c r="A32" s="70" t="s">
        <v>456</v>
      </c>
      <c r="B32" s="63">
        <v>18</v>
      </c>
      <c r="C32" s="399" t="s">
        <v>430</v>
      </c>
      <c r="D32" s="64" t="s">
        <v>434</v>
      </c>
      <c r="E32" s="41">
        <f>333/10</f>
        <v>33.299999999999997</v>
      </c>
      <c r="F32" s="42">
        <f>(333-61)/10</f>
        <v>27.2</v>
      </c>
      <c r="G32" s="43">
        <f>(333+61)/10</f>
        <v>39.4</v>
      </c>
      <c r="H32" s="41">
        <f>283/10</f>
        <v>28.3</v>
      </c>
      <c r="I32" s="42">
        <f>(283-53)/10</f>
        <v>23</v>
      </c>
      <c r="J32" s="43">
        <f>(283+53)/10</f>
        <v>33.6</v>
      </c>
      <c r="K32" s="41">
        <v>150</v>
      </c>
      <c r="L32" s="42">
        <f>150-29</f>
        <v>121</v>
      </c>
      <c r="M32" s="42">
        <f>150+29</f>
        <v>179</v>
      </c>
      <c r="N32" s="44">
        <f t="shared" si="36"/>
        <v>450.45045045045049</v>
      </c>
      <c r="O32" s="44">
        <f t="shared" si="36"/>
        <v>444.85294117647055</v>
      </c>
      <c r="P32" s="44">
        <f t="shared" si="36"/>
        <v>454.31472081218277</v>
      </c>
      <c r="Q32" s="44" t="b">
        <f t="shared" si="6"/>
        <v>1</v>
      </c>
      <c r="R32" s="44">
        <f t="shared" si="25"/>
        <v>1.8866666666666667</v>
      </c>
      <c r="S32" s="44">
        <f t="shared" si="25"/>
        <v>1.9008264462809918</v>
      </c>
      <c r="T32" s="44">
        <f t="shared" si="25"/>
        <v>1.8770949720670391</v>
      </c>
      <c r="U32" s="45">
        <f>AVERAGE(55,53)</f>
        <v>54</v>
      </c>
      <c r="V32" s="41">
        <v>7.9</v>
      </c>
      <c r="W32" s="42">
        <f>7.9-2.1</f>
        <v>5.8000000000000007</v>
      </c>
      <c r="X32" s="42">
        <f>7.9+2.1</f>
        <v>10</v>
      </c>
      <c r="Y32" s="44" t="b">
        <f t="shared" si="8"/>
        <v>1</v>
      </c>
      <c r="Z32" s="42">
        <v>2.4</v>
      </c>
      <c r="AA32" s="42">
        <f>2.4-1.2</f>
        <v>1.2</v>
      </c>
      <c r="AB32" s="42">
        <f>2.4+1.2</f>
        <v>3.5999999999999996</v>
      </c>
      <c r="AC32" s="44" t="b">
        <f t="shared" si="9"/>
        <v>1</v>
      </c>
      <c r="AD32" s="46">
        <f t="shared" si="28"/>
        <v>0.30379746835443033</v>
      </c>
      <c r="AE32" s="46">
        <f t="shared" si="28"/>
        <v>0.2068965517241379</v>
      </c>
      <c r="AF32" s="47">
        <f t="shared" si="28"/>
        <v>0.36</v>
      </c>
      <c r="AG32" s="48">
        <f t="shared" si="29"/>
        <v>18.987341772151897</v>
      </c>
      <c r="AH32" s="41">
        <v>16.8</v>
      </c>
      <c r="AI32" s="62">
        <f>L32/X32</f>
        <v>12.1</v>
      </c>
      <c r="AJ32" s="66">
        <f>M32/W32</f>
        <v>30.862068965517238</v>
      </c>
      <c r="AK32" s="51">
        <f>AVERAGE(0.3, 0.15, 0.15, 0.15, 0.15, 0.4, 0.15, 0.15, 0.4, 0.1, 0.15, 0.35)</f>
        <v>0.21666666666666667</v>
      </c>
      <c r="AL32" s="52">
        <f>MIN(0.3, 0.15, 0.15, 0.15, 0.15, 0.4, 0.15, 0.15, 0.4, 0.1, 0.15, 0.35)</f>
        <v>0.1</v>
      </c>
      <c r="AM32" s="53">
        <f>MAX(0.3, 0.15, 0.15, 0.15, 0.15, 0.4, 0.15, 0.15, 0.4, 0.1, 0.15, 0.35)</f>
        <v>0.4</v>
      </c>
      <c r="AN32" s="41">
        <v>10.3</v>
      </c>
      <c r="AO32" s="42">
        <f>10.3-6.4</f>
        <v>3.9000000000000004</v>
      </c>
      <c r="AP32" s="43">
        <f>10.3+6.4</f>
        <v>16.700000000000003</v>
      </c>
      <c r="AQ32" s="41">
        <v>3.7</v>
      </c>
      <c r="AR32" s="42">
        <f>3.7-1.6</f>
        <v>2.1</v>
      </c>
      <c r="AS32" s="43">
        <f>3.7+1.6</f>
        <v>5.3000000000000007</v>
      </c>
      <c r="AT32" s="41">
        <v>0.2</v>
      </c>
      <c r="AU32" s="42">
        <v>9.5</v>
      </c>
      <c r="AV32" s="42">
        <v>190</v>
      </c>
      <c r="AW32" s="42">
        <v>0.1</v>
      </c>
      <c r="AX32" s="42">
        <v>8.9</v>
      </c>
      <c r="AY32" s="42">
        <v>1.5</v>
      </c>
      <c r="AZ32" s="42">
        <v>381</v>
      </c>
      <c r="BA32" s="42">
        <v>0.9</v>
      </c>
      <c r="BB32" s="43">
        <v>0.4</v>
      </c>
    </row>
    <row r="33" spans="1:54" x14ac:dyDescent="0.25">
      <c r="A33" s="70" t="s">
        <v>457</v>
      </c>
      <c r="B33" s="63"/>
      <c r="C33" s="399" t="s">
        <v>430</v>
      </c>
      <c r="D33" s="40" t="s">
        <v>426</v>
      </c>
      <c r="E33" s="99">
        <v>5.0999999999999996</v>
      </c>
      <c r="F33" s="42"/>
      <c r="G33" s="43"/>
      <c r="H33" s="99">
        <v>4.0599999999999996</v>
      </c>
      <c r="I33" s="42"/>
      <c r="J33" s="43"/>
      <c r="K33" s="99">
        <v>22.2</v>
      </c>
      <c r="L33" s="42"/>
      <c r="M33" s="42"/>
      <c r="N33" s="44">
        <f t="shared" si="36"/>
        <v>435.29411764705884</v>
      </c>
      <c r="O33" s="44"/>
      <c r="P33" s="44"/>
      <c r="Q33" s="44" t="b">
        <f t="shared" si="6"/>
        <v>1</v>
      </c>
      <c r="R33" s="44">
        <f t="shared" si="25"/>
        <v>1.8288288288288286</v>
      </c>
      <c r="S33" s="44" t="e">
        <f t="shared" si="25"/>
        <v>#DIV/0!</v>
      </c>
      <c r="T33" s="44" t="e">
        <f t="shared" si="25"/>
        <v>#DIV/0!</v>
      </c>
      <c r="U33" s="45"/>
      <c r="V33" s="99">
        <v>3</v>
      </c>
      <c r="W33" s="42"/>
      <c r="X33" s="42"/>
      <c r="Y33" s="44" t="b">
        <f t="shared" si="8"/>
        <v>1</v>
      </c>
      <c r="Z33" s="100">
        <v>1.2</v>
      </c>
      <c r="AA33" s="42"/>
      <c r="AB33" s="42"/>
      <c r="AC33" s="44" t="b">
        <f t="shared" si="9"/>
        <v>1</v>
      </c>
      <c r="AD33" s="46">
        <f t="shared" si="28"/>
        <v>0.39999999999999997</v>
      </c>
      <c r="AE33" s="46" t="e">
        <f t="shared" si="28"/>
        <v>#DIV/0!</v>
      </c>
      <c r="AF33" s="47" t="e">
        <f t="shared" si="28"/>
        <v>#DIV/0!</v>
      </c>
      <c r="AG33" s="48">
        <f t="shared" si="29"/>
        <v>7.3999999999999995</v>
      </c>
      <c r="AH33" s="99">
        <v>7.4</v>
      </c>
      <c r="AI33" s="49" t="e">
        <f>L33/W33</f>
        <v>#DIV/0!</v>
      </c>
      <c r="AJ33" s="50" t="e">
        <f>M33/X33</f>
        <v>#DIV/0!</v>
      </c>
      <c r="AK33" s="51"/>
      <c r="AL33" s="52"/>
      <c r="AM33" s="53"/>
      <c r="AN33" s="99">
        <v>0.9</v>
      </c>
      <c r="AO33" s="42"/>
      <c r="AP33" s="43"/>
      <c r="AQ33" s="99">
        <v>2.2000000000000002</v>
      </c>
      <c r="AR33" s="42"/>
      <c r="AS33" s="43"/>
      <c r="AT33" s="41"/>
      <c r="AU33" s="42"/>
      <c r="AV33" s="42"/>
      <c r="AW33" s="42"/>
      <c r="AX33" s="42"/>
      <c r="AY33" s="42"/>
      <c r="AZ33" s="42"/>
      <c r="BA33" s="42"/>
      <c r="BB33" s="43"/>
    </row>
    <row r="34" spans="1:54" x14ac:dyDescent="0.25">
      <c r="A34" s="70" t="s">
        <v>458</v>
      </c>
      <c r="B34" s="63"/>
      <c r="C34" s="399" t="s">
        <v>430</v>
      </c>
      <c r="D34" s="64" t="s">
        <v>434</v>
      </c>
      <c r="E34" s="99">
        <f>AVERAGE(25,13,19.7)</f>
        <v>19.233333333333334</v>
      </c>
      <c r="F34" s="100">
        <f>MIN(25,13,19.7)</f>
        <v>13</v>
      </c>
      <c r="G34" s="101">
        <f>MAX(25,13,19.7)</f>
        <v>25</v>
      </c>
      <c r="H34" s="99">
        <f>AVERAGE(24,11, 18.17)</f>
        <v>17.723333333333333</v>
      </c>
      <c r="I34" s="100">
        <f>MIN(24,11, 18.17)</f>
        <v>11</v>
      </c>
      <c r="J34" s="101">
        <f>MAX(24,11, 18.17)</f>
        <v>24</v>
      </c>
      <c r="K34" s="99">
        <v>91.4</v>
      </c>
      <c r="L34" s="42"/>
      <c r="M34" s="42"/>
      <c r="N34" s="44">
        <f t="shared" si="36"/>
        <v>475.21663778162912</v>
      </c>
      <c r="O34" s="44">
        <f t="shared" si="36"/>
        <v>0</v>
      </c>
      <c r="P34" s="44">
        <f t="shared" si="36"/>
        <v>0</v>
      </c>
      <c r="Q34" s="44" t="b">
        <f t="shared" si="6"/>
        <v>1</v>
      </c>
      <c r="R34" s="44">
        <f t="shared" si="25"/>
        <v>1.9390955506929246</v>
      </c>
      <c r="S34" s="44" t="e">
        <f t="shared" si="25"/>
        <v>#DIV/0!</v>
      </c>
      <c r="T34" s="44" t="e">
        <f t="shared" si="25"/>
        <v>#DIV/0!</v>
      </c>
      <c r="U34" s="45">
        <f>AVERAGE(55,53)</f>
        <v>54</v>
      </c>
      <c r="V34" s="99">
        <f>AVERAGE(3.6,1.8,3.3)</f>
        <v>2.9</v>
      </c>
      <c r="W34" s="100">
        <f>MIN(3.6,1.8,3.3)</f>
        <v>1.8</v>
      </c>
      <c r="X34" s="100">
        <f>MAX(3.6,1.8,3.3)</f>
        <v>3.6</v>
      </c>
      <c r="Y34" s="44" t="b">
        <f t="shared" si="8"/>
        <v>1</v>
      </c>
      <c r="Z34" s="100">
        <f>AVERAGE(0.7,0.4,1.1)</f>
        <v>0.73333333333333339</v>
      </c>
      <c r="AA34" s="100">
        <f>MIN(0.7,0.4,1.1)</f>
        <v>0.4</v>
      </c>
      <c r="AB34" s="100">
        <f>MAX(0.7,0.4,1.1)</f>
        <v>1.1000000000000001</v>
      </c>
      <c r="AC34" s="44" t="b">
        <f t="shared" si="9"/>
        <v>1</v>
      </c>
      <c r="AD34" s="46">
        <f t="shared" si="28"/>
        <v>0.25287356321839083</v>
      </c>
      <c r="AE34" s="46">
        <f t="shared" si="28"/>
        <v>0.22222222222222224</v>
      </c>
      <c r="AF34" s="47">
        <f t="shared" si="28"/>
        <v>0.30555555555555558</v>
      </c>
      <c r="AG34" s="48">
        <f t="shared" si="29"/>
        <v>31.517241379310349</v>
      </c>
      <c r="AH34" s="99">
        <f>AVERAGE(32.7,27.7)</f>
        <v>30.200000000000003</v>
      </c>
      <c r="AI34" s="49">
        <f>L34/W34</f>
        <v>0</v>
      </c>
      <c r="AJ34" s="50">
        <f>M34/X34</f>
        <v>0</v>
      </c>
      <c r="AK34" s="105">
        <f>AVERAGE(0.1,0.2,0.05,0.1)</f>
        <v>0.11250000000000002</v>
      </c>
      <c r="AL34" s="106">
        <f>MIN(0.1,0.2,0.05,0.1)</f>
        <v>0.05</v>
      </c>
      <c r="AM34" s="107">
        <f>MAX(0.1,0.2,0.05,0.1)</f>
        <v>0.2</v>
      </c>
      <c r="AN34" s="99">
        <f>AVERAGE(1.5,0.9,1.1)</f>
        <v>1.1666666666666667</v>
      </c>
      <c r="AO34" s="100">
        <f>MIN(1.5,0.9,1.1)</f>
        <v>0.9</v>
      </c>
      <c r="AP34" s="101">
        <f>MAX(1.5,0.9,1.1)</f>
        <v>1.5</v>
      </c>
      <c r="AQ34" s="99">
        <f>AVERAGE(3,2.3,2)</f>
        <v>2.4333333333333331</v>
      </c>
      <c r="AR34" s="100">
        <f>MIN(3,2.3,2)</f>
        <v>2</v>
      </c>
      <c r="AS34" s="101">
        <f>MAX(3,2.3,2)</f>
        <v>3</v>
      </c>
      <c r="AT34" s="41"/>
      <c r="AU34" s="42"/>
      <c r="AV34" s="42"/>
      <c r="AW34" s="42"/>
      <c r="AX34" s="42"/>
      <c r="AY34" s="42"/>
      <c r="AZ34" s="42"/>
      <c r="BA34" s="42"/>
      <c r="BB34" s="43"/>
    </row>
    <row r="35" spans="1:54" s="37" customFormat="1" x14ac:dyDescent="0.25">
      <c r="A35" s="24" t="s">
        <v>459</v>
      </c>
      <c r="B35" s="25"/>
      <c r="C35" s="26"/>
      <c r="D35" s="27"/>
      <c r="E35" s="28"/>
      <c r="F35" s="29"/>
      <c r="G35" s="30"/>
      <c r="H35" s="28"/>
      <c r="I35" s="29"/>
      <c r="J35" s="30"/>
      <c r="K35" s="28"/>
      <c r="L35" s="29"/>
      <c r="M35" s="29"/>
      <c r="N35" s="31"/>
      <c r="O35" s="31"/>
      <c r="P35" s="31"/>
      <c r="Q35" s="44" t="b">
        <f t="shared" si="6"/>
        <v>1</v>
      </c>
      <c r="R35" s="31"/>
      <c r="S35" s="31"/>
      <c r="T35" s="31"/>
      <c r="U35" s="32"/>
      <c r="V35" s="28"/>
      <c r="W35" s="29"/>
      <c r="X35" s="29"/>
      <c r="Y35" s="44" t="b">
        <f t="shared" si="8"/>
        <v>1</v>
      </c>
      <c r="Z35" s="29"/>
      <c r="AA35" s="29"/>
      <c r="AB35" s="29"/>
      <c r="AC35" s="44" t="b">
        <f t="shared" si="9"/>
        <v>1</v>
      </c>
      <c r="AD35" s="33"/>
      <c r="AE35" s="33"/>
      <c r="AF35" s="34"/>
      <c r="AG35" s="33"/>
      <c r="AH35" s="28"/>
      <c r="AI35" s="29"/>
      <c r="AJ35" s="30"/>
      <c r="AK35" s="78"/>
      <c r="AL35" s="79"/>
      <c r="AM35" s="80"/>
      <c r="AN35" s="28"/>
      <c r="AO35" s="29"/>
      <c r="AP35" s="30"/>
      <c r="AQ35" s="28"/>
      <c r="AR35" s="29"/>
      <c r="AS35" s="30"/>
      <c r="AT35" s="28"/>
      <c r="AU35" s="29"/>
      <c r="AV35" s="29"/>
      <c r="AW35" s="29"/>
      <c r="AX35" s="29"/>
      <c r="AY35" s="29"/>
      <c r="AZ35" s="29"/>
      <c r="BA35" s="29"/>
      <c r="BB35" s="30"/>
    </row>
    <row r="36" spans="1:54" x14ac:dyDescent="0.25">
      <c r="A36" s="70" t="s">
        <v>460</v>
      </c>
      <c r="B36" s="63"/>
      <c r="C36" s="399" t="s">
        <v>430</v>
      </c>
      <c r="D36" s="64" t="s">
        <v>426</v>
      </c>
      <c r="E36" s="81">
        <f>$G$100</f>
        <v>95</v>
      </c>
      <c r="F36" s="82">
        <f>$H$100</f>
        <v>89.7</v>
      </c>
      <c r="G36" s="83">
        <f>$I$100</f>
        <v>97.8</v>
      </c>
      <c r="H36" s="93">
        <f>K36*$G$87/10</f>
        <v>64.923542710731766</v>
      </c>
      <c r="I36" s="72">
        <f>L36*$H$87/10</f>
        <v>51.17461016949153</v>
      </c>
      <c r="J36" s="73">
        <f>M36*$I$87/10</f>
        <v>77.079169139465876</v>
      </c>
      <c r="K36" s="108">
        <f>AVERAGE(39.6,40)%*E36%*1000</f>
        <v>378.09999999999991</v>
      </c>
      <c r="L36" s="109">
        <f>39.6%*F36%*1000</f>
        <v>355.21200000000005</v>
      </c>
      <c r="M36" s="109">
        <f>40%*G36%*1000</f>
        <v>391.2</v>
      </c>
      <c r="N36" s="44">
        <f t="shared" ref="N36:P43" si="45">K36/E36%</f>
        <v>397.99999999999994</v>
      </c>
      <c r="O36" s="44">
        <f t="shared" si="45"/>
        <v>396.00000000000006</v>
      </c>
      <c r="P36" s="44">
        <f t="shared" si="45"/>
        <v>400</v>
      </c>
      <c r="Q36" s="44" t="b">
        <f t="shared" si="6"/>
        <v>1</v>
      </c>
      <c r="R36" s="44">
        <f t="shared" si="25"/>
        <v>1.7170997807651889</v>
      </c>
      <c r="S36" s="44">
        <f t="shared" si="25"/>
        <v>1.4406779661016949</v>
      </c>
      <c r="T36" s="44">
        <f t="shared" si="25"/>
        <v>1.970326409495549</v>
      </c>
      <c r="U36" s="45">
        <v>91</v>
      </c>
      <c r="V36" s="110">
        <f>AVERAGE(2.2,3)%*E36*10</f>
        <v>24.700000000000003</v>
      </c>
      <c r="W36" s="111">
        <f>2.2%*F36*10</f>
        <v>19.734000000000002</v>
      </c>
      <c r="X36" s="111">
        <f>3%*G36*10</f>
        <v>29.339999999999996</v>
      </c>
      <c r="Y36" s="44" t="b">
        <f t="shared" si="8"/>
        <v>1</v>
      </c>
      <c r="Z36" s="109">
        <f>AVERAGE(26,49.4)%*V36</f>
        <v>9.3119000000000014</v>
      </c>
      <c r="AA36" s="109">
        <f>26%*W36</f>
        <v>5.130840000000001</v>
      </c>
      <c r="AB36" s="109">
        <f>49.4%*X36</f>
        <v>14.493959999999998</v>
      </c>
      <c r="AC36" s="44" t="b">
        <f t="shared" si="9"/>
        <v>1</v>
      </c>
      <c r="AD36" s="46">
        <f t="shared" ref="AD36:AF45" si="46">Z36/V36</f>
        <v>0.377</v>
      </c>
      <c r="AE36" s="46">
        <f t="shared" si="46"/>
        <v>0.26</v>
      </c>
      <c r="AF36" s="47">
        <f t="shared" si="46"/>
        <v>0.49399999999999999</v>
      </c>
      <c r="AG36" s="48">
        <f t="shared" ref="AG36:AG45" si="47">K36/V36</f>
        <v>15.307692307692303</v>
      </c>
      <c r="AH36" s="58">
        <f t="shared" ref="AH36:AH43" si="48">AVERAGE(AI36:AJ36)</f>
        <v>15.25</v>
      </c>
      <c r="AI36" s="60">
        <v>11.2</v>
      </c>
      <c r="AJ36" s="45">
        <v>19.3</v>
      </c>
      <c r="AK36" s="112">
        <v>0.73333333333333339</v>
      </c>
      <c r="AL36" s="113">
        <v>0.5</v>
      </c>
      <c r="AM36" s="114">
        <v>0.9</v>
      </c>
      <c r="AN36" s="108">
        <f t="shared" ref="AN36:AP37" si="49">1.9%*E36%*1000*$P$108</f>
        <v>41.334500000000006</v>
      </c>
      <c r="AO36" s="109">
        <f t="shared" si="49"/>
        <v>39.028469999999999</v>
      </c>
      <c r="AP36" s="115">
        <f t="shared" si="49"/>
        <v>42.552779999999991</v>
      </c>
      <c r="AQ36" s="108">
        <f t="shared" ref="AQ36:AS37" si="50">3.6%*E36%*1000*$P$109</f>
        <v>41.211000000000006</v>
      </c>
      <c r="AR36" s="109">
        <f t="shared" si="50"/>
        <v>38.911860000000004</v>
      </c>
      <c r="AS36" s="115">
        <f t="shared" si="50"/>
        <v>42.425640000000008</v>
      </c>
      <c r="AT36" s="41"/>
      <c r="AU36" s="42"/>
      <c r="AV36" s="42"/>
      <c r="AW36" s="42"/>
      <c r="AX36" s="42"/>
      <c r="AY36" s="42"/>
      <c r="AZ36" s="42"/>
      <c r="BA36" s="42"/>
      <c r="BB36" s="43"/>
    </row>
    <row r="37" spans="1:54" x14ac:dyDescent="0.25">
      <c r="A37" s="70" t="s">
        <v>461</v>
      </c>
      <c r="B37" s="63"/>
      <c r="C37" s="399" t="s">
        <v>430</v>
      </c>
      <c r="D37" s="64" t="s">
        <v>434</v>
      </c>
      <c r="E37" s="81">
        <f>$G$100</f>
        <v>95</v>
      </c>
      <c r="F37" s="82">
        <f>$H$100</f>
        <v>89.7</v>
      </c>
      <c r="G37" s="83">
        <f>$I$100</f>
        <v>97.8</v>
      </c>
      <c r="H37" s="93">
        <f>K37*$G$87/10</f>
        <v>64.923542710731766</v>
      </c>
      <c r="I37" s="72">
        <f>L37*$H$87/10</f>
        <v>51.17461016949153</v>
      </c>
      <c r="J37" s="73">
        <f>M37*$I$87/10</f>
        <v>77.079169139465876</v>
      </c>
      <c r="K37" s="108">
        <f>AVERAGE(39.6,40)%*E37%*1000</f>
        <v>378.09999999999991</v>
      </c>
      <c r="L37" s="109">
        <f>39.6%*F37%*1000</f>
        <v>355.21200000000005</v>
      </c>
      <c r="M37" s="109">
        <f>40%*G37%*1000</f>
        <v>391.2</v>
      </c>
      <c r="N37" s="44">
        <f t="shared" si="45"/>
        <v>397.99999999999994</v>
      </c>
      <c r="O37" s="44">
        <f t="shared" si="45"/>
        <v>396.00000000000006</v>
      </c>
      <c r="P37" s="44">
        <f t="shared" si="45"/>
        <v>400</v>
      </c>
      <c r="Q37" s="44" t="b">
        <f t="shared" si="6"/>
        <v>1</v>
      </c>
      <c r="R37" s="44">
        <f t="shared" si="25"/>
        <v>1.7170997807651889</v>
      </c>
      <c r="S37" s="44">
        <f t="shared" si="25"/>
        <v>1.4406779661016949</v>
      </c>
      <c r="T37" s="44">
        <f t="shared" si="25"/>
        <v>1.970326409495549</v>
      </c>
      <c r="U37" s="45">
        <v>90</v>
      </c>
      <c r="V37" s="110">
        <f>AVERAGE(2.2,3)%*E37*10</f>
        <v>24.700000000000003</v>
      </c>
      <c r="W37" s="111">
        <f>2.2%*F37*10</f>
        <v>19.734000000000002</v>
      </c>
      <c r="X37" s="111">
        <f>3%*G37*10</f>
        <v>29.339999999999996</v>
      </c>
      <c r="Y37" s="44" t="b">
        <f t="shared" si="8"/>
        <v>1</v>
      </c>
      <c r="Z37" s="109">
        <f>AVERAGE(26,49.4)%*V37</f>
        <v>9.3119000000000014</v>
      </c>
      <c r="AA37" s="109">
        <f>26%*W37</f>
        <v>5.130840000000001</v>
      </c>
      <c r="AB37" s="109">
        <f>49.4%*X37</f>
        <v>14.493959999999998</v>
      </c>
      <c r="AC37" s="44" t="b">
        <f t="shared" si="9"/>
        <v>1</v>
      </c>
      <c r="AD37" s="46">
        <f t="shared" si="46"/>
        <v>0.377</v>
      </c>
      <c r="AE37" s="46">
        <f t="shared" si="46"/>
        <v>0.26</v>
      </c>
      <c r="AF37" s="47">
        <f t="shared" si="46"/>
        <v>0.49399999999999999</v>
      </c>
      <c r="AG37" s="48">
        <f t="shared" si="47"/>
        <v>15.307692307692303</v>
      </c>
      <c r="AH37" s="58">
        <f t="shared" si="48"/>
        <v>15.25</v>
      </c>
      <c r="AI37" s="60">
        <v>11.2</v>
      </c>
      <c r="AJ37" s="45">
        <v>19.3</v>
      </c>
      <c r="AK37" s="112">
        <v>0.3</v>
      </c>
      <c r="AL37" s="113"/>
      <c r="AM37" s="114"/>
      <c r="AN37" s="108">
        <f t="shared" si="49"/>
        <v>41.334500000000006</v>
      </c>
      <c r="AO37" s="109">
        <f t="shared" si="49"/>
        <v>39.028469999999999</v>
      </c>
      <c r="AP37" s="115">
        <f t="shared" si="49"/>
        <v>42.552779999999991</v>
      </c>
      <c r="AQ37" s="108">
        <f t="shared" si="50"/>
        <v>41.211000000000006</v>
      </c>
      <c r="AR37" s="109">
        <f t="shared" si="50"/>
        <v>38.911860000000004</v>
      </c>
      <c r="AS37" s="115">
        <f t="shared" si="50"/>
        <v>42.425640000000008</v>
      </c>
      <c r="AT37" s="41"/>
      <c r="AU37" s="42"/>
      <c r="AV37" s="42"/>
      <c r="AW37" s="42"/>
      <c r="AX37" s="42"/>
      <c r="AY37" s="42"/>
      <c r="AZ37" s="42"/>
      <c r="BA37" s="42"/>
      <c r="BB37" s="43"/>
    </row>
    <row r="38" spans="1:54" ht="30" x14ac:dyDescent="0.25">
      <c r="A38" s="70" t="s">
        <v>462</v>
      </c>
      <c r="B38" s="63"/>
      <c r="C38" s="399" t="s">
        <v>430</v>
      </c>
      <c r="D38" s="64" t="s">
        <v>426</v>
      </c>
      <c r="E38" s="81">
        <f>$G$100</f>
        <v>95</v>
      </c>
      <c r="F38" s="82">
        <f>$H$100</f>
        <v>89.7</v>
      </c>
      <c r="G38" s="83">
        <f>$I$100</f>
        <v>97.8</v>
      </c>
      <c r="H38" s="93">
        <f>K38*$G$89/10</f>
        <v>63.90506848163939</v>
      </c>
      <c r="I38" s="72">
        <f>L38*$G$89/10</f>
        <v>30.291601168066695</v>
      </c>
      <c r="J38" s="73">
        <f>M38*$G$89/10</f>
        <v>98.550209432584609</v>
      </c>
      <c r="K38" s="58">
        <f>N38*E38%</f>
        <v>349.20802448983272</v>
      </c>
      <c r="L38" s="49">
        <f t="shared" ref="L38:M38" si="51">O38*F38%</f>
        <v>165.52787523533712</v>
      </c>
      <c r="M38" s="49">
        <f t="shared" si="51"/>
        <v>538.52573460428744</v>
      </c>
      <c r="N38" s="74">
        <f>$G$94</f>
        <v>367.58739419982396</v>
      </c>
      <c r="O38" s="74">
        <f>$H$94</f>
        <v>184.53497796581618</v>
      </c>
      <c r="P38" s="74">
        <f>$I$94</f>
        <v>550.63981043383171</v>
      </c>
      <c r="Q38" s="44" t="b">
        <f t="shared" si="6"/>
        <v>1</v>
      </c>
      <c r="R38" s="44">
        <f t="shared" si="25"/>
        <v>1.8299999999999998</v>
      </c>
      <c r="S38" s="44">
        <f t="shared" si="25"/>
        <v>1.83</v>
      </c>
      <c r="T38" s="44">
        <f t="shared" si="25"/>
        <v>1.83</v>
      </c>
      <c r="U38" s="116"/>
      <c r="V38" s="94">
        <f>22%*V42/7%</f>
        <v>17.977142857142859</v>
      </c>
      <c r="W38" s="95">
        <f>22%*W42/7%</f>
        <v>13.344571428571427</v>
      </c>
      <c r="X38" s="95">
        <f>22%*X42/7%</f>
        <v>23.288571428571426</v>
      </c>
      <c r="Y38" s="44" t="b">
        <f t="shared" si="8"/>
        <v>1</v>
      </c>
      <c r="Z38" s="95">
        <f>10%*Z42/7%</f>
        <v>3.0806285714285719</v>
      </c>
      <c r="AA38" s="95">
        <f>10%*AA42/7%</f>
        <v>1.5770857142857142</v>
      </c>
      <c r="AB38" s="95">
        <f>10%*AB42/7%</f>
        <v>5.2293428571428571</v>
      </c>
      <c r="AC38" s="44" t="b">
        <f t="shared" si="9"/>
        <v>1</v>
      </c>
      <c r="AD38" s="46">
        <f t="shared" si="46"/>
        <v>0.17136363636363638</v>
      </c>
      <c r="AE38" s="46">
        <f t="shared" si="46"/>
        <v>0.11818181818181818</v>
      </c>
      <c r="AF38" s="47">
        <f t="shared" si="46"/>
        <v>0.22454545454545458</v>
      </c>
      <c r="AG38" s="48">
        <f t="shared" si="47"/>
        <v>19.425112614660115</v>
      </c>
      <c r="AH38" s="58">
        <f t="shared" si="48"/>
        <v>17.764085230798219</v>
      </c>
      <c r="AI38" s="49">
        <f t="shared" ref="AI38:AJ40" si="52">L38/W38</f>
        <v>12.404135728250759</v>
      </c>
      <c r="AJ38" s="50">
        <f t="shared" si="52"/>
        <v>23.124034733345677</v>
      </c>
      <c r="AK38" s="112">
        <v>0.7</v>
      </c>
      <c r="AL38" s="113"/>
      <c r="AM38" s="114"/>
      <c r="AN38" s="96">
        <f>AVERAGE(27,79)%*AN42/7%</f>
        <v>72.475228571428559</v>
      </c>
      <c r="AO38" s="97">
        <f>27%*AO42/7%</f>
        <v>32.390087142857148</v>
      </c>
      <c r="AP38" s="98">
        <f>79%*AP42/7%</f>
        <v>121.28723285714285</v>
      </c>
      <c r="AQ38" s="96">
        <f>3%*AQ42/7%</f>
        <v>4.0901142857142858</v>
      </c>
      <c r="AR38" s="97">
        <f t="shared" ref="AR38:AS38" si="53">3%*AR42/7%</f>
        <v>3.588145714285714</v>
      </c>
      <c r="AS38" s="98">
        <f t="shared" si="53"/>
        <v>4.5920828571428576</v>
      </c>
      <c r="AT38" s="41"/>
      <c r="AU38" s="42"/>
      <c r="AV38" s="117">
        <v>523.96199999999999</v>
      </c>
      <c r="AW38" s="117"/>
      <c r="AX38" s="117"/>
      <c r="AY38" s="117"/>
      <c r="AZ38" s="117">
        <v>1757.8080000000002</v>
      </c>
      <c r="BA38" s="42"/>
      <c r="BB38" s="43"/>
    </row>
    <row r="39" spans="1:54" ht="30" x14ac:dyDescent="0.25">
      <c r="A39" s="70" t="s">
        <v>463</v>
      </c>
      <c r="B39" s="63"/>
      <c r="C39" s="399" t="s">
        <v>430</v>
      </c>
      <c r="D39" s="64" t="s">
        <v>426</v>
      </c>
      <c r="E39" s="99">
        <v>90</v>
      </c>
      <c r="F39" s="42"/>
      <c r="G39" s="43"/>
      <c r="H39" s="41"/>
      <c r="I39" s="42"/>
      <c r="J39" s="43"/>
      <c r="K39" s="41"/>
      <c r="L39" s="42"/>
      <c r="M39" s="42"/>
      <c r="N39" s="44"/>
      <c r="O39" s="44"/>
      <c r="P39" s="44"/>
      <c r="Q39" s="44" t="b">
        <f t="shared" si="6"/>
        <v>1</v>
      </c>
      <c r="R39" s="44" t="e">
        <f t="shared" si="25"/>
        <v>#DIV/0!</v>
      </c>
      <c r="S39" s="44" t="e">
        <f t="shared" si="25"/>
        <v>#DIV/0!</v>
      </c>
      <c r="T39" s="44" t="e">
        <f t="shared" si="25"/>
        <v>#DIV/0!</v>
      </c>
      <c r="U39" s="116"/>
      <c r="V39" s="94">
        <f>Z39</f>
        <v>67.346222745618348</v>
      </c>
      <c r="W39" s="95">
        <f t="shared" ref="W39:X40" si="54">AA39</f>
        <v>19.001434688437502</v>
      </c>
      <c r="X39" s="95">
        <f t="shared" si="54"/>
        <v>271.35605173895652</v>
      </c>
      <c r="Y39" s="44" t="b">
        <f t="shared" si="8"/>
        <v>1</v>
      </c>
      <c r="Z39" s="95">
        <f>81%*AVERAGE(Z41,Z43)/3%</f>
        <v>67.346222745618348</v>
      </c>
      <c r="AA39" s="95">
        <f t="shared" ref="AA39:AB39" si="55">81%*AVERAGE(AA41,AA43)/3%</f>
        <v>19.001434688437502</v>
      </c>
      <c r="AB39" s="95">
        <f t="shared" si="55"/>
        <v>271.35605173895652</v>
      </c>
      <c r="AC39" s="44" t="b">
        <f t="shared" si="9"/>
        <v>1</v>
      </c>
      <c r="AD39" s="46">
        <f t="shared" si="46"/>
        <v>1</v>
      </c>
      <c r="AE39" s="46">
        <f t="shared" si="46"/>
        <v>1</v>
      </c>
      <c r="AF39" s="47">
        <f t="shared" si="46"/>
        <v>1</v>
      </c>
      <c r="AG39" s="48">
        <f t="shared" si="47"/>
        <v>0</v>
      </c>
      <c r="AH39" s="58">
        <f t="shared" si="48"/>
        <v>0</v>
      </c>
      <c r="AI39" s="49">
        <f t="shared" si="52"/>
        <v>0</v>
      </c>
      <c r="AJ39" s="50">
        <f t="shared" si="52"/>
        <v>0</v>
      </c>
      <c r="AK39" s="112"/>
      <c r="AL39" s="113"/>
      <c r="AM39" s="114"/>
      <c r="AN39" s="96">
        <v>0</v>
      </c>
      <c r="AO39" s="97">
        <v>0</v>
      </c>
      <c r="AP39" s="98">
        <v>0</v>
      </c>
      <c r="AQ39" s="96">
        <f>4%*AQ42/3%</f>
        <v>12.724800000000005</v>
      </c>
      <c r="AR39" s="97">
        <f t="shared" ref="AR39:AS39" si="56">4%*AR42/3%</f>
        <v>11.163120000000003</v>
      </c>
      <c r="AS39" s="98">
        <f t="shared" si="56"/>
        <v>14.286480000000005</v>
      </c>
      <c r="AT39" s="41"/>
      <c r="AU39" s="42"/>
      <c r="AV39" s="117"/>
      <c r="AW39" s="117"/>
      <c r="AX39" s="117"/>
      <c r="AY39" s="117"/>
      <c r="AZ39" s="117"/>
      <c r="BA39" s="42"/>
      <c r="BB39" s="43"/>
    </row>
    <row r="40" spans="1:54" ht="30" x14ac:dyDescent="0.25">
      <c r="A40" s="70" t="s">
        <v>464</v>
      </c>
      <c r="B40" s="63"/>
      <c r="C40" s="399" t="s">
        <v>430</v>
      </c>
      <c r="D40" s="64" t="s">
        <v>426</v>
      </c>
      <c r="E40" s="99">
        <f>42/10</f>
        <v>4.2</v>
      </c>
      <c r="F40" s="100">
        <f>(42-9)/10</f>
        <v>3.3</v>
      </c>
      <c r="G40" s="101">
        <f>(42+9)/10</f>
        <v>5.0999999999999996</v>
      </c>
      <c r="H40" s="102"/>
      <c r="I40" s="103"/>
      <c r="J40" s="104"/>
      <c r="K40" s="41"/>
      <c r="L40" s="42"/>
      <c r="M40" s="42"/>
      <c r="N40" s="44"/>
      <c r="O40" s="44"/>
      <c r="P40" s="44"/>
      <c r="Q40" s="44" t="b">
        <f t="shared" si="6"/>
        <v>1</v>
      </c>
      <c r="R40" s="44" t="e">
        <f t="shared" si="25"/>
        <v>#DIV/0!</v>
      </c>
      <c r="S40" s="44" t="e">
        <f t="shared" si="25"/>
        <v>#DIV/0!</v>
      </c>
      <c r="T40" s="44" t="e">
        <f t="shared" si="25"/>
        <v>#DIV/0!</v>
      </c>
      <c r="U40" s="116"/>
      <c r="V40" s="94">
        <f>Z40</f>
        <v>0.24943045461340127</v>
      </c>
      <c r="W40" s="118">
        <f t="shared" si="54"/>
        <v>7.037568403125001E-2</v>
      </c>
      <c r="X40" s="95">
        <f t="shared" si="54"/>
        <v>1.0050224138479869</v>
      </c>
      <c r="Y40" s="44" t="b">
        <f t="shared" si="8"/>
        <v>1</v>
      </c>
      <c r="Z40" s="95">
        <f>9%*AVERAGE(Z41,Z43)/90%</f>
        <v>0.24943045461340127</v>
      </c>
      <c r="AA40" s="118">
        <f t="shared" ref="AA40:AB40" si="57">9%*AVERAGE(AA41,AA43)/90%</f>
        <v>7.037568403125001E-2</v>
      </c>
      <c r="AB40" s="95">
        <f t="shared" si="57"/>
        <v>1.0050224138479869</v>
      </c>
      <c r="AC40" s="44" t="b">
        <f t="shared" si="9"/>
        <v>1</v>
      </c>
      <c r="AD40" s="46">
        <f t="shared" si="46"/>
        <v>1</v>
      </c>
      <c r="AE40" s="46">
        <f t="shared" si="46"/>
        <v>1</v>
      </c>
      <c r="AF40" s="47">
        <f t="shared" si="46"/>
        <v>1</v>
      </c>
      <c r="AG40" s="48">
        <f t="shared" si="47"/>
        <v>0</v>
      </c>
      <c r="AH40" s="58">
        <f t="shared" si="48"/>
        <v>0</v>
      </c>
      <c r="AI40" s="49">
        <f t="shared" si="52"/>
        <v>0</v>
      </c>
      <c r="AJ40" s="50">
        <f t="shared" si="52"/>
        <v>0</v>
      </c>
      <c r="AK40" s="112"/>
      <c r="AL40" s="113"/>
      <c r="AM40" s="114"/>
      <c r="AN40" s="96">
        <f>AVERAGE(21,73)%*AVERAGE(AN41,AN43)/90%</f>
        <v>0.58501026724271243</v>
      </c>
      <c r="AO40" s="97">
        <f>21%*AVERAGE(AO41,AO43)/90%</f>
        <v>6.1295088203124994E-2</v>
      </c>
      <c r="AP40" s="98">
        <f>73%*AVERAGE(AP41,AP43)/90%</f>
        <v>2.487884856188769</v>
      </c>
      <c r="AQ40" s="96">
        <f>93%*AVERAGE(AQ41,AQ43)/90%</f>
        <v>6.7493703194423738</v>
      </c>
      <c r="AR40" s="97">
        <f t="shared" ref="AR40:AS40" si="58">93%*AVERAGE(AR41,AR43)/90%</f>
        <v>4.7660917060078116</v>
      </c>
      <c r="AS40" s="98">
        <f t="shared" si="58"/>
        <v>9.1035970348888888</v>
      </c>
      <c r="AT40" s="41"/>
      <c r="AU40" s="42"/>
      <c r="AV40" s="117"/>
      <c r="AW40" s="117"/>
      <c r="AX40" s="117"/>
      <c r="AY40" s="117"/>
      <c r="AZ40" s="117"/>
      <c r="BA40" s="42"/>
      <c r="BB40" s="43"/>
    </row>
    <row r="41" spans="1:54" x14ac:dyDescent="0.25">
      <c r="A41" s="70" t="s">
        <v>465</v>
      </c>
      <c r="B41" s="63"/>
      <c r="C41" s="399" t="s">
        <v>430</v>
      </c>
      <c r="D41" s="64" t="s">
        <v>426</v>
      </c>
      <c r="E41" s="93">
        <f>G105</f>
        <v>5.55</v>
      </c>
      <c r="F41" s="72">
        <f>H105</f>
        <v>4.5</v>
      </c>
      <c r="G41" s="73">
        <f>I105</f>
        <v>6.6</v>
      </c>
      <c r="H41" s="93">
        <f>K41*$G$87/10</f>
        <v>4.574353815958462</v>
      </c>
      <c r="I41" s="72">
        <f>L41*$H$87/10</f>
        <v>3.1118644067796604</v>
      </c>
      <c r="J41" s="73">
        <f>M41*$I$87/10</f>
        <v>6.241994065281899</v>
      </c>
      <c r="K41" s="108">
        <f>48%*E41%*1000</f>
        <v>26.64</v>
      </c>
      <c r="L41" s="109">
        <f>48%*F41%*1000</f>
        <v>21.599999999999998</v>
      </c>
      <c r="M41" s="109">
        <f>48%*G41%*1000</f>
        <v>31.68</v>
      </c>
      <c r="N41" s="44">
        <f t="shared" si="45"/>
        <v>480</v>
      </c>
      <c r="O41" s="44">
        <f t="shared" si="45"/>
        <v>479.99999999999994</v>
      </c>
      <c r="P41" s="44">
        <f t="shared" si="45"/>
        <v>480</v>
      </c>
      <c r="Q41" s="44" t="b">
        <f t="shared" si="6"/>
        <v>1</v>
      </c>
      <c r="R41" s="44">
        <f t="shared" si="25"/>
        <v>1.7170997807651882</v>
      </c>
      <c r="S41" s="44">
        <f t="shared" si="25"/>
        <v>1.4406779661016946</v>
      </c>
      <c r="T41" s="44">
        <f t="shared" si="25"/>
        <v>1.970326409495549</v>
      </c>
      <c r="U41" s="119">
        <f>76*56%</f>
        <v>42.56</v>
      </c>
      <c r="V41" s="110">
        <f>AVERAGE(7.7,9.2)%*E41*10</f>
        <v>4.6897499999999992</v>
      </c>
      <c r="W41" s="111">
        <f>7.7%*F41*10</f>
        <v>3.4649999999999999</v>
      </c>
      <c r="X41" s="111">
        <f>9.2%*G41*10</f>
        <v>6.0719999999999992</v>
      </c>
      <c r="Y41" s="44" t="b">
        <f t="shared" si="8"/>
        <v>1</v>
      </c>
      <c r="Z41" s="109">
        <f>AVERAGE(40,80)%*V41</f>
        <v>2.8138499999999995</v>
      </c>
      <c r="AA41" s="109">
        <f>40%*W41</f>
        <v>1.3860000000000001</v>
      </c>
      <c r="AB41" s="109">
        <f>80%*X41</f>
        <v>4.8575999999999997</v>
      </c>
      <c r="AC41" s="44" t="b">
        <f t="shared" si="9"/>
        <v>1</v>
      </c>
      <c r="AD41" s="46">
        <f t="shared" si="46"/>
        <v>0.6</v>
      </c>
      <c r="AE41" s="46">
        <f t="shared" si="46"/>
        <v>0.40000000000000008</v>
      </c>
      <c r="AF41" s="47">
        <f t="shared" si="46"/>
        <v>0.8</v>
      </c>
      <c r="AG41" s="48">
        <f t="shared" si="47"/>
        <v>5.6804733727810666</v>
      </c>
      <c r="AH41" s="41">
        <f t="shared" si="48"/>
        <v>6.350084697910785</v>
      </c>
      <c r="AI41" s="62">
        <f>L41/X41</f>
        <v>3.5573122529644272</v>
      </c>
      <c r="AJ41" s="66">
        <f>M41/W41</f>
        <v>9.1428571428571423</v>
      </c>
      <c r="AK41" s="112">
        <v>0.7</v>
      </c>
      <c r="AL41" s="113"/>
      <c r="AM41" s="114"/>
      <c r="AN41" s="108">
        <f>AVERAGE(0.4,0.7)%*E41%*1000*$P$108</f>
        <v>0.6990225000000001</v>
      </c>
      <c r="AO41" s="109">
        <f>0.4%*F41%*1000*$P$108</f>
        <v>0.41220000000000001</v>
      </c>
      <c r="AP41" s="115">
        <f>0.7%*G41%*1000*$P$108</f>
        <v>1.0579799999999999</v>
      </c>
      <c r="AQ41" s="108">
        <f>3.9%*E41%*1000*$P$109</f>
        <v>2.6082225000000006</v>
      </c>
      <c r="AR41" s="109">
        <f>3.9%*F41%*1000*$P$109</f>
        <v>2.1147749999999998</v>
      </c>
      <c r="AS41" s="115">
        <f>3.9%*G41%*1000*$P$109</f>
        <v>3.1016700000000004</v>
      </c>
      <c r="AT41" s="41"/>
      <c r="AU41" s="42"/>
      <c r="AV41" s="117"/>
      <c r="AW41" s="117"/>
      <c r="AX41" s="117"/>
      <c r="AY41" s="117"/>
      <c r="AZ41" s="117"/>
      <c r="BA41" s="42"/>
      <c r="BB41" s="43"/>
    </row>
    <row r="42" spans="1:54" x14ac:dyDescent="0.25">
      <c r="A42" s="70" t="s">
        <v>466</v>
      </c>
      <c r="B42" s="63"/>
      <c r="C42" s="399" t="s">
        <v>430</v>
      </c>
      <c r="D42" s="64" t="s">
        <v>434</v>
      </c>
      <c r="E42" s="93">
        <f t="shared" ref="E42:G43" si="59">G104</f>
        <v>22</v>
      </c>
      <c r="F42" s="72">
        <f t="shared" si="59"/>
        <v>19.3</v>
      </c>
      <c r="G42" s="73">
        <f t="shared" si="59"/>
        <v>24.7</v>
      </c>
      <c r="H42" s="93">
        <f>K42*$G$87/10</f>
        <v>15.034925680379994</v>
      </c>
      <c r="I42" s="72">
        <f>L42*$H$87/10</f>
        <v>11.010813559322035</v>
      </c>
      <c r="J42" s="73">
        <f>M42*$I$87/10</f>
        <v>19.466824925816024</v>
      </c>
      <c r="K42" s="108">
        <f>AVERAGE(39.6,40)%*E42%*1000</f>
        <v>87.56</v>
      </c>
      <c r="L42" s="109">
        <f>39.6%*F42%*1000</f>
        <v>76.428000000000011</v>
      </c>
      <c r="M42" s="109">
        <f>40%*G42%*1000</f>
        <v>98.8</v>
      </c>
      <c r="N42" s="44">
        <f t="shared" si="45"/>
        <v>398</v>
      </c>
      <c r="O42" s="44">
        <f t="shared" si="45"/>
        <v>396.00000000000006</v>
      </c>
      <c r="P42" s="44">
        <f t="shared" si="45"/>
        <v>400</v>
      </c>
      <c r="Q42" s="44" t="b">
        <f t="shared" si="6"/>
        <v>1</v>
      </c>
      <c r="R42" s="44">
        <f t="shared" si="25"/>
        <v>1.7170997807651887</v>
      </c>
      <c r="S42" s="44">
        <f t="shared" si="25"/>
        <v>1.4406779661016946</v>
      </c>
      <c r="T42" s="44">
        <f t="shared" si="25"/>
        <v>1.970326409495549</v>
      </c>
      <c r="U42" s="45">
        <v>90</v>
      </c>
      <c r="V42" s="110">
        <f>AVERAGE(2.2,3)%*E42*10</f>
        <v>5.7200000000000006</v>
      </c>
      <c r="W42" s="111">
        <f>2.2%*F42*10</f>
        <v>4.2460000000000004</v>
      </c>
      <c r="X42" s="111">
        <f>3%*G42*10</f>
        <v>7.41</v>
      </c>
      <c r="Y42" s="44" t="b">
        <f t="shared" si="8"/>
        <v>1</v>
      </c>
      <c r="Z42" s="109">
        <f>AVERAGE(26,49.4)%*V42</f>
        <v>2.1564400000000004</v>
      </c>
      <c r="AA42" s="109">
        <f>26%*W42</f>
        <v>1.1039600000000001</v>
      </c>
      <c r="AB42" s="109">
        <f>49.4%*X42</f>
        <v>3.6605400000000001</v>
      </c>
      <c r="AC42" s="44" t="b">
        <f t="shared" si="9"/>
        <v>1</v>
      </c>
      <c r="AD42" s="46">
        <f t="shared" si="46"/>
        <v>0.377</v>
      </c>
      <c r="AE42" s="46">
        <f t="shared" si="46"/>
        <v>0.26</v>
      </c>
      <c r="AF42" s="47">
        <f t="shared" si="46"/>
        <v>0.49399999999999999</v>
      </c>
      <c r="AG42" s="48">
        <f t="shared" si="47"/>
        <v>15.307692307692307</v>
      </c>
      <c r="AH42" s="41">
        <f t="shared" si="48"/>
        <v>16.791564530370092</v>
      </c>
      <c r="AI42" s="62">
        <f>L42/X42</f>
        <v>10.314170040485831</v>
      </c>
      <c r="AJ42" s="66">
        <f>M42/W42</f>
        <v>23.268959020254353</v>
      </c>
      <c r="AK42" s="112">
        <v>0.3</v>
      </c>
      <c r="AL42" s="113"/>
      <c r="AM42" s="114"/>
      <c r="AN42" s="108">
        <f>1.9%*E42%*1000*$P$108</f>
        <v>9.5721999999999987</v>
      </c>
      <c r="AO42" s="109">
        <f>1.9%*F42%*1000*$P$108</f>
        <v>8.3974299999999999</v>
      </c>
      <c r="AP42" s="115">
        <f>1.9%*G42%*1000*$P$108</f>
        <v>10.746970000000001</v>
      </c>
      <c r="AQ42" s="108">
        <f>3.6%*E42%*1000*$P$109</f>
        <v>9.5436000000000032</v>
      </c>
      <c r="AR42" s="109">
        <f>3.6%*F42%*1000*$P$109</f>
        <v>8.3723400000000012</v>
      </c>
      <c r="AS42" s="115">
        <f>3.6%*G42%*1000*$P$109</f>
        <v>10.714860000000002</v>
      </c>
      <c r="AT42" s="41"/>
      <c r="AU42" s="42"/>
      <c r="AV42" s="117"/>
      <c r="AW42" s="117"/>
      <c r="AX42" s="117"/>
      <c r="AY42" s="117"/>
      <c r="AZ42" s="117"/>
      <c r="BA42" s="42"/>
      <c r="BB42" s="43"/>
    </row>
    <row r="43" spans="1:54" x14ac:dyDescent="0.25">
      <c r="A43" s="70" t="s">
        <v>467</v>
      </c>
      <c r="B43" s="63"/>
      <c r="C43" s="399" t="s">
        <v>430</v>
      </c>
      <c r="D43" s="64" t="s">
        <v>426</v>
      </c>
      <c r="E43" s="93">
        <f t="shared" si="59"/>
        <v>5.55</v>
      </c>
      <c r="F43" s="72">
        <f t="shared" si="59"/>
        <v>4.5</v>
      </c>
      <c r="G43" s="73">
        <f t="shared" si="59"/>
        <v>6.6</v>
      </c>
      <c r="H43" s="93">
        <f>K43*$G$87/10</f>
        <v>4.574353815958462</v>
      </c>
      <c r="I43" s="72">
        <f>L43*$H$87/10</f>
        <v>3.1118644067796604</v>
      </c>
      <c r="J43" s="73">
        <f>M43*$I$87/10</f>
        <v>6.241994065281899</v>
      </c>
      <c r="K43" s="108">
        <f>48%*E43%*1000</f>
        <v>26.64</v>
      </c>
      <c r="L43" s="109">
        <f>48%*F43%*1000</f>
        <v>21.599999999999998</v>
      </c>
      <c r="M43" s="109">
        <f>48%*G43%*1000</f>
        <v>31.68</v>
      </c>
      <c r="N43" s="44">
        <f t="shared" si="45"/>
        <v>480</v>
      </c>
      <c r="O43" s="44">
        <f t="shared" si="45"/>
        <v>479.99999999999994</v>
      </c>
      <c r="P43" s="44">
        <f t="shared" si="45"/>
        <v>480</v>
      </c>
      <c r="Q43" s="44" t="b">
        <f t="shared" si="6"/>
        <v>1</v>
      </c>
      <c r="R43" s="44">
        <f t="shared" si="25"/>
        <v>1.7170997807651882</v>
      </c>
      <c r="S43" s="44">
        <f t="shared" si="25"/>
        <v>1.4406779661016946</v>
      </c>
      <c r="T43" s="44">
        <f t="shared" si="25"/>
        <v>1.970326409495549</v>
      </c>
      <c r="U43" s="119">
        <f>76*56%</f>
        <v>42.56</v>
      </c>
      <c r="V43" s="94">
        <f>(AVERAGE(75, 92,78,61.8)%*AVERAGE(V48:V49))/AVERAGE(80,90,93)%</f>
        <v>3.8075863117870727</v>
      </c>
      <c r="W43" s="118">
        <f>(AVERAGE(75, 61.8-3.3)%*AVERAGE(W48:W49))/80%</f>
        <v>4.4872687499999994E-2</v>
      </c>
      <c r="X43" s="95">
        <f>(AVERAGE(92, 61.8+3.3)%*AVERAGE(X48:X49))/93%</f>
        <v>23.671574612903225</v>
      </c>
      <c r="Y43" s="44" t="b">
        <f t="shared" si="8"/>
        <v>1</v>
      </c>
      <c r="Z43" s="95">
        <f>AVERAGE(89,97,90,67.1)%*AVERAGE(Z48:Z49)/AVERAGE(80,90,93)%</f>
        <v>2.174759092268026</v>
      </c>
      <c r="AA43" s="118">
        <f>AVERAGE(89, 67.1-5.5)%*AVERAGE(AA48:AA49)/80%</f>
        <v>2.1513680625E-2</v>
      </c>
      <c r="AB43" s="95">
        <f>AVERAGE(97, 67.1+5.5)%*AVERAGE(AB48:AB49)/93%</f>
        <v>15.242848276959739</v>
      </c>
      <c r="AC43" s="44" t="b">
        <f t="shared" si="9"/>
        <v>1</v>
      </c>
      <c r="AD43" s="46">
        <f t="shared" si="46"/>
        <v>0.57116475220421548</v>
      </c>
      <c r="AE43" s="46">
        <f t="shared" si="46"/>
        <v>0.47943820224719108</v>
      </c>
      <c r="AF43" s="47">
        <f t="shared" si="46"/>
        <v>0.64393047468210918</v>
      </c>
      <c r="AG43" s="48">
        <f t="shared" si="47"/>
        <v>6.9965584017179223</v>
      </c>
      <c r="AH43" s="41">
        <f t="shared" si="48"/>
        <v>6.9965584017179223</v>
      </c>
      <c r="AI43" s="62">
        <f>L43/V43</f>
        <v>5.6728851905820985</v>
      </c>
      <c r="AJ43" s="66">
        <f>M43/V43</f>
        <v>8.3202316128537461</v>
      </c>
      <c r="AK43" s="112">
        <v>0.7</v>
      </c>
      <c r="AL43" s="113"/>
      <c r="AM43" s="114"/>
      <c r="AN43" s="96">
        <f>AVERAGE(8,28,21,73,33.5)%*AVERAGE(AN48:AN49)/AVERAGE(80,90,93)%</f>
        <v>1.5414423532699622</v>
      </c>
      <c r="AO43" s="97">
        <f>AVERAGE(8,33.5-2.5)%*AVERAGE(AO48:AO49)/80%</f>
        <v>0.11318647031250001</v>
      </c>
      <c r="AP43" s="98">
        <f>AVERAGE(73,33.5+2.5)%*AVERAGE(AP48:AP49)/93%</f>
        <v>5.0765306043010749</v>
      </c>
      <c r="AQ43" s="96">
        <f>AVERAGE(87,94,97,70.1)%*AVERAGE(AQ48:AQ49)/AVERAGE(80,90,93)%</f>
        <v>10.45507489246911</v>
      </c>
      <c r="AR43" s="97">
        <f>AVERAGE(87,70.1-5.6)%*AVERAGE(AR48:AR49)/80%</f>
        <v>7.1099186245312485</v>
      </c>
      <c r="AS43" s="98">
        <f>AVERAGE(97,70.1+5.6)%*AVERAGE(AS48:AS49)/93%</f>
        <v>14.518195228817204</v>
      </c>
      <c r="AT43" s="41"/>
      <c r="AU43" s="42"/>
      <c r="AV43" s="117">
        <v>77.076999999999998</v>
      </c>
      <c r="AW43" s="117"/>
      <c r="AX43" s="117"/>
      <c r="AY43" s="117"/>
      <c r="AZ43" s="117">
        <v>197.35100000000003</v>
      </c>
      <c r="BA43" s="42"/>
      <c r="BB43" s="43"/>
    </row>
    <row r="44" spans="1:54" x14ac:dyDescent="0.25">
      <c r="A44" s="70" t="s">
        <v>468</v>
      </c>
      <c r="B44" s="63"/>
      <c r="C44" s="399" t="s">
        <v>430</v>
      </c>
      <c r="D44" s="64" t="s">
        <v>434</v>
      </c>
      <c r="E44" s="120">
        <f t="shared" ref="E44:G45" si="60">E69</f>
        <v>25.2</v>
      </c>
      <c r="F44" s="121">
        <f t="shared" si="60"/>
        <v>16</v>
      </c>
      <c r="G44" s="122">
        <f t="shared" si="60"/>
        <v>38</v>
      </c>
      <c r="H44" s="93">
        <f>K44*$G$87/10</f>
        <v>13.543796230763501</v>
      </c>
      <c r="I44" s="72">
        <f>L44*$H$87/10</f>
        <v>6.6386440677966094</v>
      </c>
      <c r="J44" s="73">
        <f>M44*$I$87/10</f>
        <v>25.007382789317511</v>
      </c>
      <c r="K44" s="84">
        <f t="shared" ref="K44:M45" si="61">N44*E44%</f>
        <v>78.876000000000005</v>
      </c>
      <c r="L44" s="85">
        <f t="shared" si="61"/>
        <v>46.08</v>
      </c>
      <c r="M44" s="85">
        <f t="shared" si="61"/>
        <v>126.92</v>
      </c>
      <c r="N44" s="74">
        <f>$G$99</f>
        <v>313</v>
      </c>
      <c r="O44" s="74">
        <f>$H$99</f>
        <v>288</v>
      </c>
      <c r="P44" s="74">
        <f>$I$99</f>
        <v>334</v>
      </c>
      <c r="Q44" s="44" t="b">
        <f t="shared" si="6"/>
        <v>1</v>
      </c>
      <c r="R44" s="44">
        <f t="shared" si="25"/>
        <v>1.7170997807651884</v>
      </c>
      <c r="S44" s="44">
        <f t="shared" si="25"/>
        <v>1.4406779661016949</v>
      </c>
      <c r="T44" s="44">
        <f t="shared" si="25"/>
        <v>1.9703264094955493</v>
      </c>
      <c r="U44" s="45">
        <v>45</v>
      </c>
      <c r="V44" s="123">
        <v>11.3</v>
      </c>
      <c r="W44" s="124">
        <v>7</v>
      </c>
      <c r="X44" s="124">
        <v>12</v>
      </c>
      <c r="Y44" s="44" t="b">
        <f t="shared" si="8"/>
        <v>1</v>
      </c>
      <c r="Z44" s="124">
        <f>V44*13%</f>
        <v>1.4690000000000001</v>
      </c>
      <c r="AA44" s="124">
        <f>W44*13%</f>
        <v>0.91</v>
      </c>
      <c r="AB44" s="124">
        <f>X44*13%</f>
        <v>1.56</v>
      </c>
      <c r="AC44" s="44" t="b">
        <f t="shared" si="9"/>
        <v>1</v>
      </c>
      <c r="AD44" s="46">
        <f t="shared" si="46"/>
        <v>0.13</v>
      </c>
      <c r="AE44" s="46">
        <f t="shared" si="46"/>
        <v>0.13</v>
      </c>
      <c r="AF44" s="47">
        <f t="shared" si="46"/>
        <v>0.13</v>
      </c>
      <c r="AG44" s="48">
        <f t="shared" si="47"/>
        <v>6.9801769911504428</v>
      </c>
      <c r="AH44" s="123">
        <v>5.9</v>
      </c>
      <c r="AI44" s="49">
        <f>L44/W44</f>
        <v>6.5828571428571427</v>
      </c>
      <c r="AJ44" s="50">
        <f>M44/X44</f>
        <v>10.576666666666666</v>
      </c>
      <c r="AK44" s="112">
        <v>0.4</v>
      </c>
      <c r="AL44" s="113"/>
      <c r="AM44" s="114"/>
      <c r="AN44" s="59">
        <f>21.17*(E44*10/1000)*$P$108</f>
        <v>12.216783600000001</v>
      </c>
      <c r="AO44" s="60">
        <f>2.85*($E44*10/1000)*$P$108</f>
        <v>1.6446780000000001</v>
      </c>
      <c r="AP44" s="45">
        <f>55.03*($E44*10/1000)*$P$108</f>
        <v>31.756712400000001</v>
      </c>
      <c r="AQ44" s="59">
        <f>3.04*($E44*10/1000)*$P$109</f>
        <v>0.92312640000000001</v>
      </c>
      <c r="AR44" s="60">
        <f>0.16*($E44*10/1000)*$P$109</f>
        <v>4.8585600000000007E-2</v>
      </c>
      <c r="AS44" s="45">
        <f>20.58*($E44*10/1000)*$P$109</f>
        <v>6.2493227999999998</v>
      </c>
      <c r="AT44" s="125">
        <v>0.53900000000000003</v>
      </c>
      <c r="AU44" s="117">
        <v>12.020250000000001</v>
      </c>
      <c r="AV44" s="117">
        <v>116.20125</v>
      </c>
      <c r="AW44" s="117">
        <v>0.45374999999999999</v>
      </c>
      <c r="AX44" s="117">
        <v>8.3215000000000003</v>
      </c>
      <c r="AY44" s="117">
        <v>21.568250000000003</v>
      </c>
      <c r="AZ44" s="117">
        <v>256.09100000000001</v>
      </c>
      <c r="BA44" s="42"/>
      <c r="BB44" s="43"/>
    </row>
    <row r="45" spans="1:54" x14ac:dyDescent="0.25">
      <c r="A45" s="70" t="s">
        <v>469</v>
      </c>
      <c r="B45" s="63"/>
      <c r="C45" s="399" t="s">
        <v>430</v>
      </c>
      <c r="D45" s="64" t="s">
        <v>434</v>
      </c>
      <c r="E45" s="120">
        <f t="shared" si="60"/>
        <v>85</v>
      </c>
      <c r="F45" s="121">
        <f t="shared" si="60"/>
        <v>80</v>
      </c>
      <c r="G45" s="122">
        <f t="shared" si="60"/>
        <v>90</v>
      </c>
      <c r="H45" s="93">
        <f>K45*$G$87/10</f>
        <v>45.683439667257844</v>
      </c>
      <c r="I45" s="72">
        <f>L45*$H$87/10</f>
        <v>33.193220338983046</v>
      </c>
      <c r="J45" s="73">
        <f>M45*$I$87/10</f>
        <v>59.228011869436202</v>
      </c>
      <c r="K45" s="84">
        <f t="shared" si="61"/>
        <v>266.05</v>
      </c>
      <c r="L45" s="85">
        <f t="shared" si="61"/>
        <v>230.4</v>
      </c>
      <c r="M45" s="85">
        <f t="shared" si="61"/>
        <v>300.60000000000002</v>
      </c>
      <c r="N45" s="74">
        <f>$G$99</f>
        <v>313</v>
      </c>
      <c r="O45" s="74">
        <f>$H$99</f>
        <v>288</v>
      </c>
      <c r="P45" s="74">
        <f>$I$99</f>
        <v>334</v>
      </c>
      <c r="Q45" s="44" t="b">
        <f t="shared" si="6"/>
        <v>1</v>
      </c>
      <c r="R45" s="44">
        <f t="shared" si="25"/>
        <v>1.7170997807651887</v>
      </c>
      <c r="S45" s="44">
        <f t="shared" si="25"/>
        <v>1.4406779661016949</v>
      </c>
      <c r="T45" s="44">
        <f t="shared" si="25"/>
        <v>1.9703264094955488</v>
      </c>
      <c r="U45" s="45">
        <v>45</v>
      </c>
      <c r="V45" s="123">
        <v>43</v>
      </c>
      <c r="W45" s="126"/>
      <c r="X45" s="126"/>
      <c r="Y45" s="44" t="b">
        <f t="shared" si="8"/>
        <v>1</v>
      </c>
      <c r="Z45" s="124">
        <f>V45*2%</f>
        <v>0.86</v>
      </c>
      <c r="AA45" s="126"/>
      <c r="AB45" s="126"/>
      <c r="AC45" s="44" t="b">
        <f t="shared" si="9"/>
        <v>1</v>
      </c>
      <c r="AD45" s="46">
        <f t="shared" si="46"/>
        <v>0.02</v>
      </c>
      <c r="AE45" s="46" t="e">
        <f t="shared" si="46"/>
        <v>#DIV/0!</v>
      </c>
      <c r="AF45" s="47" t="e">
        <f t="shared" si="46"/>
        <v>#DIV/0!</v>
      </c>
      <c r="AG45" s="48">
        <f t="shared" si="47"/>
        <v>6.1872093023255816</v>
      </c>
      <c r="AH45" s="123">
        <v>6.1</v>
      </c>
      <c r="AI45" s="49" t="e">
        <f>L45/W45</f>
        <v>#DIV/0!</v>
      </c>
      <c r="AJ45" s="50" t="e">
        <f>M45/X45</f>
        <v>#DIV/0!</v>
      </c>
      <c r="AK45" s="112">
        <f>AVERAGE(0.3,0.15)</f>
        <v>0.22499999999999998</v>
      </c>
      <c r="AL45" s="113">
        <f>MIN(0.3,0.15)</f>
        <v>0.15</v>
      </c>
      <c r="AM45" s="114">
        <f>MAX(0.3,0.15)</f>
        <v>0.3</v>
      </c>
      <c r="AN45" s="59">
        <f>21.17*(E45*10/1000)*$P$108</f>
        <v>41.207405000000008</v>
      </c>
      <c r="AO45" s="60">
        <f>2.85*($E45*10/1000)*$P$108</f>
        <v>5.5475249999999994</v>
      </c>
      <c r="AP45" s="45">
        <f>55.03*($E45*10/1000)*$P$108</f>
        <v>107.11589500000001</v>
      </c>
      <c r="AQ45" s="59">
        <f>3.04*($E45*10/1000)*$P$109</f>
        <v>3.1137200000000003</v>
      </c>
      <c r="AR45" s="60">
        <f>0.16*($E45*10/1000)*$P$109</f>
        <v>0.16388000000000003</v>
      </c>
      <c r="AS45" s="45">
        <f>20.58*($E45*10/1000)*$P$109</f>
        <v>21.079065</v>
      </c>
      <c r="AT45" s="125">
        <v>1.764</v>
      </c>
      <c r="AU45" s="117">
        <v>39.338999999999999</v>
      </c>
      <c r="AV45" s="117">
        <v>380.29500000000002</v>
      </c>
      <c r="AW45" s="117">
        <v>1.4850000000000001</v>
      </c>
      <c r="AX45" s="117">
        <v>27.234000000000002</v>
      </c>
      <c r="AY45" s="117">
        <v>70.587000000000003</v>
      </c>
      <c r="AZ45" s="117">
        <v>838.1160000000001</v>
      </c>
      <c r="BA45" s="42"/>
      <c r="BB45" s="43"/>
    </row>
    <row r="46" spans="1:54" s="37" customFormat="1" x14ac:dyDescent="0.25">
      <c r="A46" s="24" t="s">
        <v>470</v>
      </c>
      <c r="B46" s="25"/>
      <c r="C46" s="26"/>
      <c r="D46" s="27"/>
      <c r="E46" s="28"/>
      <c r="F46" s="29"/>
      <c r="G46" s="30"/>
      <c r="H46" s="28"/>
      <c r="I46" s="29"/>
      <c r="J46" s="30"/>
      <c r="K46" s="28"/>
      <c r="L46" s="29"/>
      <c r="M46" s="29"/>
      <c r="N46" s="31"/>
      <c r="O46" s="31"/>
      <c r="P46" s="31"/>
      <c r="Q46" s="44" t="b">
        <f t="shared" si="6"/>
        <v>1</v>
      </c>
      <c r="R46" s="31"/>
      <c r="S46" s="31"/>
      <c r="T46" s="31"/>
      <c r="U46" s="32"/>
      <c r="V46" s="28"/>
      <c r="W46" s="29"/>
      <c r="X46" s="29"/>
      <c r="Y46" s="44" t="b">
        <f t="shared" si="8"/>
        <v>1</v>
      </c>
      <c r="Z46" s="29"/>
      <c r="AA46" s="29"/>
      <c r="AB46" s="29"/>
      <c r="AC46" s="44" t="b">
        <f t="shared" si="9"/>
        <v>1</v>
      </c>
      <c r="AD46" s="29"/>
      <c r="AE46" s="29"/>
      <c r="AF46" s="30"/>
      <c r="AG46" s="127"/>
      <c r="AH46" s="28"/>
      <c r="AI46" s="29"/>
      <c r="AJ46" s="30"/>
      <c r="AK46" s="78"/>
      <c r="AL46" s="79"/>
      <c r="AM46" s="80"/>
      <c r="AN46" s="28"/>
      <c r="AO46" s="29"/>
      <c r="AP46" s="30"/>
      <c r="AQ46" s="28"/>
      <c r="AR46" s="29"/>
      <c r="AS46" s="30"/>
      <c r="AT46" s="28"/>
      <c r="AU46" s="29"/>
      <c r="AV46" s="29"/>
      <c r="AW46" s="29"/>
      <c r="AX46" s="29"/>
      <c r="AY46" s="29"/>
      <c r="AZ46" s="29"/>
      <c r="BA46" s="29"/>
      <c r="BB46" s="30"/>
    </row>
    <row r="47" spans="1:54" x14ac:dyDescent="0.25">
      <c r="A47" s="70" t="s">
        <v>471</v>
      </c>
      <c r="B47" s="63"/>
      <c r="C47" s="399" t="s">
        <v>430</v>
      </c>
      <c r="D47" s="64" t="s">
        <v>426</v>
      </c>
      <c r="E47" s="128">
        <f>E52</f>
        <v>26.5</v>
      </c>
      <c r="F47" s="129">
        <f t="shared" ref="F47:G47" si="62">F52</f>
        <v>4.5</v>
      </c>
      <c r="G47" s="130">
        <f t="shared" si="62"/>
        <v>54.5</v>
      </c>
      <c r="H47" s="92">
        <f t="shared" ref="H47:H52" si="63">K47*$G$87/10</f>
        <v>17.655219945827671</v>
      </c>
      <c r="I47" s="75">
        <f t="shared" ref="I47:I52" si="64">L47*$H$87/10</f>
        <v>2.4441101694915255</v>
      </c>
      <c r="J47" s="76">
        <f t="shared" ref="J47:J52" si="65">M47*$I$87/10</f>
        <v>43.382646884273001</v>
      </c>
      <c r="K47" s="84">
        <f t="shared" ref="K47:M52" si="66">N47*E47%</f>
        <v>102.82000000000001</v>
      </c>
      <c r="L47" s="85">
        <f t="shared" si="66"/>
        <v>16.965</v>
      </c>
      <c r="M47" s="85">
        <f t="shared" si="66"/>
        <v>220.18</v>
      </c>
      <c r="N47" s="74">
        <f>$G$95</f>
        <v>388</v>
      </c>
      <c r="O47" s="74">
        <f>$H$95</f>
        <v>377</v>
      </c>
      <c r="P47" s="74">
        <f>$I$95</f>
        <v>404</v>
      </c>
      <c r="Q47" s="44" t="b">
        <f t="shared" si="6"/>
        <v>1</v>
      </c>
      <c r="R47" s="44">
        <f t="shared" si="25"/>
        <v>1.7170997807651887</v>
      </c>
      <c r="S47" s="44">
        <f t="shared" si="25"/>
        <v>1.4406779661016949</v>
      </c>
      <c r="T47" s="44">
        <f t="shared" si="25"/>
        <v>1.9703264094955493</v>
      </c>
      <c r="U47" s="45">
        <v>90</v>
      </c>
      <c r="V47" s="131">
        <f>V52</f>
        <v>5.9201000000000006</v>
      </c>
      <c r="W47" s="132">
        <f t="shared" ref="W47:AB47" si="67">W52</f>
        <v>0.49409999999999998</v>
      </c>
      <c r="X47" s="132">
        <f t="shared" si="67"/>
        <v>17.358250000000002</v>
      </c>
      <c r="Y47" s="44" t="b">
        <f t="shared" si="8"/>
        <v>1</v>
      </c>
      <c r="Z47" s="132">
        <f>Z52</f>
        <v>1.8947500000000002</v>
      </c>
      <c r="AA47" s="133">
        <f t="shared" si="67"/>
        <v>4.9500000000000002E-2</v>
      </c>
      <c r="AB47" s="132">
        <f t="shared" si="67"/>
        <v>5.6462000000000003</v>
      </c>
      <c r="AC47" s="44" t="b">
        <f t="shared" si="9"/>
        <v>1</v>
      </c>
      <c r="AD47" s="46">
        <f>Z47/V47</f>
        <v>0.32005371530886301</v>
      </c>
      <c r="AE47" s="46">
        <f>AA47/W47</f>
        <v>0.10018214936247724</v>
      </c>
      <c r="AF47" s="47">
        <f>AB47/X47</f>
        <v>0.32527472527472528</v>
      </c>
      <c r="AG47" s="48">
        <f t="shared" ref="AG47:AG52" si="68">K47/V47</f>
        <v>17.367949865711726</v>
      </c>
      <c r="AH47" s="110">
        <v>18.2</v>
      </c>
      <c r="AI47" s="111">
        <v>3.1</v>
      </c>
      <c r="AJ47" s="134">
        <v>45.7</v>
      </c>
      <c r="AK47" s="51"/>
      <c r="AL47" s="52"/>
      <c r="AM47" s="53"/>
      <c r="AN47" s="59">
        <f>14.13*(E47*10/1000)*$P$108</f>
        <v>8.5747905000000006</v>
      </c>
      <c r="AO47" s="60">
        <f>0.44*($E47*10/1000)*$P$108</f>
        <v>0.26701400000000003</v>
      </c>
      <c r="AP47" s="45">
        <f>25.75*($E47*10/1000)*$P$108</f>
        <v>15.626387500000002</v>
      </c>
      <c r="AQ47" s="59">
        <f>68.44*($E47*10/1000)*$P$109</f>
        <v>21.854603000000004</v>
      </c>
      <c r="AR47" s="60">
        <f>4.61*($E47*10/1000)*$P$109</f>
        <v>1.4720882500000003</v>
      </c>
      <c r="AS47" s="45">
        <f>173.14*($E47*10/1000)*$P$109</f>
        <v>55.287930500000002</v>
      </c>
      <c r="AT47" s="41"/>
      <c r="AU47" s="42"/>
      <c r="AV47" s="42"/>
      <c r="AW47" s="42"/>
      <c r="AX47" s="42"/>
      <c r="AY47" s="42"/>
      <c r="AZ47" s="42"/>
      <c r="BA47" s="42"/>
      <c r="BB47" s="43"/>
    </row>
    <row r="48" spans="1:54" x14ac:dyDescent="0.25">
      <c r="A48" s="70" t="s">
        <v>472</v>
      </c>
      <c r="B48" s="63"/>
      <c r="C48" s="399" t="s">
        <v>430</v>
      </c>
      <c r="D48" s="64" t="s">
        <v>426</v>
      </c>
      <c r="E48" s="108">
        <v>8</v>
      </c>
      <c r="F48" s="109">
        <v>1</v>
      </c>
      <c r="G48" s="115">
        <v>42.2</v>
      </c>
      <c r="H48" s="93">
        <f t="shared" si="63"/>
        <v>5.0494738719405179</v>
      </c>
      <c r="I48" s="72">
        <f t="shared" si="64"/>
        <v>0.26585547673041315</v>
      </c>
      <c r="J48" s="73">
        <f t="shared" si="65"/>
        <v>45.784474778054339</v>
      </c>
      <c r="K48" s="84">
        <f t="shared" si="66"/>
        <v>29.406991535985917</v>
      </c>
      <c r="L48" s="85">
        <f t="shared" si="66"/>
        <v>1.8453497796581619</v>
      </c>
      <c r="M48" s="85">
        <f t="shared" si="66"/>
        <v>232.370000003077</v>
      </c>
      <c r="N48" s="74">
        <f>$G$94</f>
        <v>367.58739419982396</v>
      </c>
      <c r="O48" s="74">
        <f>$H$94</f>
        <v>184.53497796581618</v>
      </c>
      <c r="P48" s="74">
        <f>$I$94</f>
        <v>550.63981043383171</v>
      </c>
      <c r="Q48" s="44" t="b">
        <f t="shared" si="6"/>
        <v>1</v>
      </c>
      <c r="R48" s="44">
        <f t="shared" si="25"/>
        <v>1.7170997807651887</v>
      </c>
      <c r="S48" s="44">
        <f t="shared" si="25"/>
        <v>1.4406779661016949</v>
      </c>
      <c r="T48" s="44">
        <f t="shared" si="25"/>
        <v>1.970326409495549</v>
      </c>
      <c r="U48" s="45">
        <v>91</v>
      </c>
      <c r="V48" s="96">
        <f>75.4*(E48*10/1000)</f>
        <v>6.0320000000000009</v>
      </c>
      <c r="W48" s="135">
        <f>2*(F48*10/1000)</f>
        <v>0.02</v>
      </c>
      <c r="X48" s="97">
        <f>121.28*(G48*10/1000)</f>
        <v>51.180160000000001</v>
      </c>
      <c r="Y48" s="44" t="b">
        <f t="shared" si="8"/>
        <v>1</v>
      </c>
      <c r="Z48" s="97">
        <f>V48*AD48</f>
        <v>3.0807564643799474</v>
      </c>
      <c r="AA48" s="135">
        <f>0.85*(F48*10/1000)</f>
        <v>8.5000000000000006E-3</v>
      </c>
      <c r="AB48" s="97">
        <f>72.34*(G48*10/1000)</f>
        <v>30.527480000000001</v>
      </c>
      <c r="AC48" s="44" t="b">
        <f t="shared" si="9"/>
        <v>1</v>
      </c>
      <c r="AD48" s="46">
        <f>AVERAGE(AE48:AF48)</f>
        <v>0.51073548812664904</v>
      </c>
      <c r="AE48" s="46">
        <f>AA48/W48</f>
        <v>0.42500000000000004</v>
      </c>
      <c r="AF48" s="47">
        <f>AB48/X48</f>
        <v>0.59647097625329815</v>
      </c>
      <c r="AG48" s="48">
        <f t="shared" si="68"/>
        <v>4.8751643793080097</v>
      </c>
      <c r="AH48" s="59">
        <v>2.1</v>
      </c>
      <c r="AI48" s="60">
        <v>0.3</v>
      </c>
      <c r="AJ48" s="45">
        <v>4</v>
      </c>
      <c r="AK48" s="112">
        <f>AVERAGE(0.5,0.9,0.8)</f>
        <v>0.73333333333333339</v>
      </c>
      <c r="AL48" s="113">
        <f>MIN(0.5,0.9,0.8)</f>
        <v>0.5</v>
      </c>
      <c r="AM48" s="114">
        <f>MAX(0.5,0.9,0.8)</f>
        <v>0.9</v>
      </c>
      <c r="AN48" s="59">
        <f>20.19*(E48*10/1000)*$P$108</f>
        <v>3.6988080000000005</v>
      </c>
      <c r="AO48" s="60">
        <f>0.79*($E48*10/1000)*$P$108</f>
        <v>0.14472800000000002</v>
      </c>
      <c r="AP48" s="45">
        <f>42.3*($E48*10/1000)*$P$108</f>
        <v>7.7493600000000002</v>
      </c>
      <c r="AQ48" s="59">
        <f>144.8*($E48*10/1000)*$P$109</f>
        <v>13.958720000000003</v>
      </c>
      <c r="AR48" s="60">
        <f>134.2*($E48*10/1000)*$P$109</f>
        <v>12.936879999999999</v>
      </c>
      <c r="AS48" s="45">
        <f>155.4*($E48*10/1000)*$P$109</f>
        <v>14.980560000000001</v>
      </c>
      <c r="AT48" s="125">
        <v>1.8</v>
      </c>
      <c r="AU48" s="117">
        <v>31.8</v>
      </c>
      <c r="AV48" s="117">
        <v>30.784800000000001</v>
      </c>
      <c r="AW48" s="117"/>
      <c r="AX48" s="117">
        <v>16.100000000000001</v>
      </c>
      <c r="AY48" s="117">
        <v>8.9</v>
      </c>
      <c r="AZ48" s="117">
        <v>79.628399999999999</v>
      </c>
      <c r="BA48" s="42"/>
      <c r="BB48" s="43"/>
    </row>
    <row r="49" spans="1:54" x14ac:dyDescent="0.25">
      <c r="A49" s="70" t="s">
        <v>473</v>
      </c>
      <c r="B49" s="63"/>
      <c r="C49" s="399" t="s">
        <v>430</v>
      </c>
      <c r="D49" s="64" t="s">
        <v>426</v>
      </c>
      <c r="E49" s="108">
        <v>16.7</v>
      </c>
      <c r="F49" s="109">
        <v>4.4000000000000004</v>
      </c>
      <c r="G49" s="115">
        <v>34</v>
      </c>
      <c r="H49" s="93">
        <f t="shared" si="63"/>
        <v>10.540776707675828</v>
      </c>
      <c r="I49" s="72">
        <f t="shared" si="64"/>
        <v>1.1697640976138179</v>
      </c>
      <c r="J49" s="73">
        <f t="shared" si="65"/>
        <v>36.887965460991651</v>
      </c>
      <c r="K49" s="84">
        <f t="shared" si="66"/>
        <v>61.387094831370597</v>
      </c>
      <c r="L49" s="85">
        <f t="shared" si="66"/>
        <v>8.119539030495913</v>
      </c>
      <c r="M49" s="85">
        <f t="shared" si="66"/>
        <v>187.21753554750279</v>
      </c>
      <c r="N49" s="74">
        <f>$G$94</f>
        <v>367.58739419982396</v>
      </c>
      <c r="O49" s="74">
        <f>$H$94</f>
        <v>184.53497796581618</v>
      </c>
      <c r="P49" s="74">
        <f>$I$94</f>
        <v>550.63981043383171</v>
      </c>
      <c r="Q49" s="44" t="b">
        <f t="shared" si="6"/>
        <v>1</v>
      </c>
      <c r="R49" s="44">
        <f t="shared" si="25"/>
        <v>1.7170997807651884</v>
      </c>
      <c r="S49" s="44">
        <f t="shared" si="25"/>
        <v>1.4406779661016949</v>
      </c>
      <c r="T49" s="44">
        <f t="shared" si="25"/>
        <v>1.9703264094955493</v>
      </c>
      <c r="U49" s="45">
        <v>91</v>
      </c>
      <c r="V49" s="96">
        <f>16*(E49*10/1000)</f>
        <v>2.6720000000000002</v>
      </c>
      <c r="W49" s="97">
        <f>1.99*(F49*10/1000)</f>
        <v>8.7559999999999999E-2</v>
      </c>
      <c r="X49" s="97">
        <f>14.33*(G49*10/1000)</f>
        <v>4.8722000000000003</v>
      </c>
      <c r="Y49" s="44" t="b">
        <f t="shared" si="8"/>
        <v>1</v>
      </c>
      <c r="Z49" s="44">
        <f>V49*AD49</f>
        <v>1.3646852242744063</v>
      </c>
      <c r="AA49" s="136">
        <f>W49*AE49</f>
        <v>3.7213000000000003E-2</v>
      </c>
      <c r="AB49" s="44">
        <f>X49*AF49</f>
        <v>2.9061258905013192</v>
      </c>
      <c r="AC49" s="44" t="b">
        <f t="shared" si="9"/>
        <v>1</v>
      </c>
      <c r="AD49" s="137">
        <f>AD48</f>
        <v>0.51073548812664904</v>
      </c>
      <c r="AE49" s="137">
        <f t="shared" ref="AE49:AF49" si="69">AE48</f>
        <v>0.42500000000000004</v>
      </c>
      <c r="AF49" s="138">
        <f t="shared" si="69"/>
        <v>0.59647097625329815</v>
      </c>
      <c r="AG49" s="48">
        <f t="shared" si="68"/>
        <v>22.974212137488994</v>
      </c>
      <c r="AH49" s="59">
        <v>16.399999999999999</v>
      </c>
      <c r="AI49" s="60">
        <v>3</v>
      </c>
      <c r="AJ49" s="45">
        <v>34</v>
      </c>
      <c r="AK49" s="112">
        <f>AVERAGE(0.5,0.9,0.8)</f>
        <v>0.73333333333333339</v>
      </c>
      <c r="AL49" s="113">
        <f>MIN(0.5,0.9,0.8)</f>
        <v>0.5</v>
      </c>
      <c r="AM49" s="114">
        <f>MAX(0.5,0.9,0.8)</f>
        <v>0.9</v>
      </c>
      <c r="AN49" s="59">
        <f>11.94*(E49*10/1000)*$P$108</f>
        <v>4.5662142000000001</v>
      </c>
      <c r="AO49" s="60">
        <f>2.05*($E49*10/1000)*$P$108</f>
        <v>0.7839815</v>
      </c>
      <c r="AP49" s="45">
        <f>25.04*($E49*10/1000)*$P$108</f>
        <v>9.5760471999999996</v>
      </c>
      <c r="AQ49" s="59">
        <f>35.31*($E49*10/1000)*$P$109</f>
        <v>7.1056078500000019</v>
      </c>
      <c r="AR49" s="60">
        <f>10.34*($E49*10/1000)*$P$109</f>
        <v>2.0807699</v>
      </c>
      <c r="AS49" s="45">
        <f>80.96*($E49*10/1000)*$P$109</f>
        <v>16.2919856</v>
      </c>
      <c r="AT49" s="125">
        <v>0.56000000000000005</v>
      </c>
      <c r="AU49" s="117">
        <v>7.6</v>
      </c>
      <c r="AV49" s="117">
        <v>73</v>
      </c>
      <c r="AW49" s="117"/>
      <c r="AX49" s="117">
        <v>8.1</v>
      </c>
      <c r="AY49" s="117">
        <v>6.7</v>
      </c>
      <c r="AZ49" s="117">
        <v>304</v>
      </c>
      <c r="BA49" s="42"/>
      <c r="BB49" s="43"/>
    </row>
    <row r="50" spans="1:54" x14ac:dyDescent="0.25">
      <c r="A50" s="70" t="s">
        <v>474</v>
      </c>
      <c r="B50" s="63"/>
      <c r="C50" s="399" t="s">
        <v>430</v>
      </c>
      <c r="D50" s="64" t="s">
        <v>426</v>
      </c>
      <c r="E50" s="128">
        <v>11.5</v>
      </c>
      <c r="F50" s="129">
        <v>1.7</v>
      </c>
      <c r="G50" s="130">
        <v>41.6</v>
      </c>
      <c r="H50" s="93">
        <f t="shared" si="63"/>
        <v>7.2586186909144939</v>
      </c>
      <c r="I50" s="72">
        <f t="shared" si="64"/>
        <v>0.45195431044170231</v>
      </c>
      <c r="J50" s="73">
        <f t="shared" si="65"/>
        <v>45.133510681683902</v>
      </c>
      <c r="K50" s="84">
        <f t="shared" si="66"/>
        <v>42.272550332979755</v>
      </c>
      <c r="L50" s="85">
        <f t="shared" si="66"/>
        <v>3.1370946254188752</v>
      </c>
      <c r="M50" s="85">
        <f t="shared" si="66"/>
        <v>229.06616114047401</v>
      </c>
      <c r="N50" s="74">
        <f>$G$94</f>
        <v>367.58739419982396</v>
      </c>
      <c r="O50" s="74">
        <f>$H$94</f>
        <v>184.53497796581618</v>
      </c>
      <c r="P50" s="74">
        <f>$I$94</f>
        <v>550.63981043383171</v>
      </c>
      <c r="Q50" s="44" t="b">
        <f t="shared" si="6"/>
        <v>1</v>
      </c>
      <c r="R50" s="44">
        <f t="shared" si="25"/>
        <v>1.7170997807651887</v>
      </c>
      <c r="S50" s="44">
        <f t="shared" si="25"/>
        <v>1.4406779661016949</v>
      </c>
      <c r="T50" s="44">
        <f t="shared" si="25"/>
        <v>1.970326409495549</v>
      </c>
      <c r="U50" s="45">
        <v>90</v>
      </c>
      <c r="V50" s="96">
        <f>63.06*(E50*10/1000)</f>
        <v>7.2519000000000009</v>
      </c>
      <c r="W50" s="97">
        <f>30.18*(F50*10/1000)</f>
        <v>0.51306000000000007</v>
      </c>
      <c r="X50" s="97">
        <f>88.14*(G50*10/1000)</f>
        <v>36.666240000000002</v>
      </c>
      <c r="Y50" s="44" t="b">
        <f t="shared" si="8"/>
        <v>1</v>
      </c>
      <c r="Z50" s="97">
        <f>42.84*(E50*10/1000)</f>
        <v>4.9266000000000005</v>
      </c>
      <c r="AA50" s="135">
        <f>3.25*(F50*10/1000)</f>
        <v>5.5250000000000007E-2</v>
      </c>
      <c r="AB50" s="97">
        <f>52.44*(G50*10/1000)</f>
        <v>21.81504</v>
      </c>
      <c r="AC50" s="44" t="b">
        <f t="shared" si="9"/>
        <v>1</v>
      </c>
      <c r="AD50" s="46">
        <f t="shared" ref="AD50:AF52" si="70">Z50/V50</f>
        <v>0.67935299714557562</v>
      </c>
      <c r="AE50" s="46">
        <f t="shared" si="70"/>
        <v>0.10768721007289596</v>
      </c>
      <c r="AF50" s="139">
        <f t="shared" si="70"/>
        <v>0.59496255956432942</v>
      </c>
      <c r="AG50" s="48">
        <f t="shared" si="68"/>
        <v>5.8291689533749427</v>
      </c>
      <c r="AH50" s="59">
        <v>5.9</v>
      </c>
      <c r="AI50" s="49">
        <f>L50/W50</f>
        <v>6.1144790578467916</v>
      </c>
      <c r="AJ50" s="50">
        <f>M50/X50</f>
        <v>6.2473316364174236</v>
      </c>
      <c r="AK50" s="112">
        <f>AVERAGE(0.5,0.9,0.8)</f>
        <v>0.73333333333333339</v>
      </c>
      <c r="AL50" s="113">
        <f>MIN(0.5,0.9,0.8)</f>
        <v>0.5</v>
      </c>
      <c r="AM50" s="114">
        <f>MAX(0.5,0.9,0.8)</f>
        <v>0.9</v>
      </c>
      <c r="AN50" s="59">
        <f>11.68*(E50*10/1000)*$P$108</f>
        <v>3.0759279999999998</v>
      </c>
      <c r="AO50" s="60">
        <f>0.92*($E50*10/1000)*$P$108</f>
        <v>0.24228200000000003</v>
      </c>
      <c r="AP50" s="45">
        <f>50.23*($E50*10/1000)*$P$108</f>
        <v>13.228070499999999</v>
      </c>
      <c r="AQ50" s="59">
        <f>42.55*($E50*10/1000)*$P$109</f>
        <v>5.8963662500000007</v>
      </c>
      <c r="AR50" s="60">
        <f>3.26*($E50*10/1000)*$P$109</f>
        <v>0.45175450000000006</v>
      </c>
      <c r="AS50" s="45">
        <f>109.28*($E50*10/1000)*$P$109</f>
        <v>15.143476000000003</v>
      </c>
      <c r="AT50" s="125"/>
      <c r="AU50" s="117"/>
      <c r="AV50" s="117"/>
      <c r="AW50" s="117"/>
      <c r="AX50" s="117"/>
      <c r="AY50" s="117"/>
      <c r="AZ50" s="117"/>
      <c r="BA50" s="42"/>
      <c r="BB50" s="43"/>
    </row>
    <row r="51" spans="1:54" x14ac:dyDescent="0.25">
      <c r="A51" s="70" t="s">
        <v>475</v>
      </c>
      <c r="B51" s="63"/>
      <c r="C51" s="399" t="s">
        <v>430</v>
      </c>
      <c r="D51" s="64" t="s">
        <v>426</v>
      </c>
      <c r="E51" s="128">
        <v>7.5</v>
      </c>
      <c r="F51" s="129">
        <v>4.3</v>
      </c>
      <c r="G51" s="130">
        <v>18.5</v>
      </c>
      <c r="H51" s="93">
        <f t="shared" si="63"/>
        <v>4.7338817549442354</v>
      </c>
      <c r="I51" s="72">
        <f t="shared" si="64"/>
        <v>1.1431785499407763</v>
      </c>
      <c r="J51" s="73">
        <f t="shared" si="65"/>
        <v>20.071392971421925</v>
      </c>
      <c r="K51" s="84">
        <f t="shared" si="66"/>
        <v>27.569054564986796</v>
      </c>
      <c r="L51" s="85">
        <f t="shared" si="66"/>
        <v>7.9350040525300951</v>
      </c>
      <c r="M51" s="85">
        <f t="shared" si="66"/>
        <v>101.86836493025886</v>
      </c>
      <c r="N51" s="74">
        <f>$G$94</f>
        <v>367.58739419982396</v>
      </c>
      <c r="O51" s="74">
        <f>$H$94</f>
        <v>184.53497796581618</v>
      </c>
      <c r="P51" s="74">
        <f>$I$94</f>
        <v>550.63981043383171</v>
      </c>
      <c r="Q51" s="44" t="b">
        <f t="shared" si="6"/>
        <v>1</v>
      </c>
      <c r="R51" s="44">
        <f t="shared" si="25"/>
        <v>1.7170997807651887</v>
      </c>
      <c r="S51" s="44">
        <f t="shared" si="25"/>
        <v>1.4406779661016949</v>
      </c>
      <c r="T51" s="44">
        <f t="shared" si="25"/>
        <v>1.970326409495549</v>
      </c>
      <c r="U51" s="45">
        <v>90</v>
      </c>
      <c r="V51" s="123">
        <v>6</v>
      </c>
      <c r="W51" s="124">
        <f>6*50%</f>
        <v>3</v>
      </c>
      <c r="X51" s="124">
        <f>6*150%</f>
        <v>9</v>
      </c>
      <c r="Y51" s="44" t="b">
        <f t="shared" si="8"/>
        <v>1</v>
      </c>
      <c r="Z51" s="124">
        <f>80%*V51</f>
        <v>4.8000000000000007</v>
      </c>
      <c r="AA51" s="124">
        <f>80%*W51</f>
        <v>2.4000000000000004</v>
      </c>
      <c r="AB51" s="124">
        <f>80%*X51</f>
        <v>7.2</v>
      </c>
      <c r="AC51" s="44" t="b">
        <f t="shared" si="9"/>
        <v>1</v>
      </c>
      <c r="AD51" s="46">
        <f t="shared" si="70"/>
        <v>0.80000000000000016</v>
      </c>
      <c r="AE51" s="46">
        <f t="shared" si="70"/>
        <v>0.80000000000000016</v>
      </c>
      <c r="AF51" s="47">
        <f t="shared" si="70"/>
        <v>0.8</v>
      </c>
      <c r="AG51" s="48">
        <f t="shared" si="68"/>
        <v>4.5948424274977997</v>
      </c>
      <c r="AH51" s="58">
        <f>K51/V51</f>
        <v>4.5948424274977997</v>
      </c>
      <c r="AI51" s="49">
        <f>L51/W51</f>
        <v>2.6450013508433652</v>
      </c>
      <c r="AJ51" s="50">
        <f>M51/X51</f>
        <v>11.318707214473207</v>
      </c>
      <c r="AK51" s="112">
        <f>AVERAGE(0.5,0.9,0.8)</f>
        <v>0.73333333333333339</v>
      </c>
      <c r="AL51" s="113">
        <f>MIN(0.5,0.9,0.8)</f>
        <v>0.5</v>
      </c>
      <c r="AM51" s="114">
        <f>MAX(0.5,0.9,0.8)</f>
        <v>0.9</v>
      </c>
      <c r="AN51" s="65">
        <f>AVERAGE(AO51:AP51)</f>
        <v>5.6105</v>
      </c>
      <c r="AO51" s="140">
        <f>1.2*$P$108</f>
        <v>2.7479999999999998</v>
      </c>
      <c r="AP51" s="119">
        <f>3.7*$P$108</f>
        <v>8.4730000000000008</v>
      </c>
      <c r="AQ51" s="65">
        <f>AVERAGE(AR51:AS51)</f>
        <v>3.7957500000000008</v>
      </c>
      <c r="AR51" s="140">
        <f>2.1*$P$109</f>
        <v>2.5305000000000004</v>
      </c>
      <c r="AS51" s="119">
        <f>4.2*$P$109</f>
        <v>5.0610000000000008</v>
      </c>
      <c r="AT51" s="125"/>
      <c r="AU51" s="117"/>
      <c r="AV51" s="117"/>
      <c r="AW51" s="117"/>
      <c r="AX51" s="117"/>
      <c r="AY51" s="117"/>
      <c r="AZ51" s="117"/>
      <c r="BA51" s="42"/>
      <c r="BB51" s="43"/>
    </row>
    <row r="52" spans="1:54" x14ac:dyDescent="0.25">
      <c r="A52" s="70" t="s">
        <v>476</v>
      </c>
      <c r="B52" s="63"/>
      <c r="C52" s="399" t="s">
        <v>430</v>
      </c>
      <c r="D52" s="64" t="s">
        <v>426</v>
      </c>
      <c r="E52" s="108">
        <v>26.5</v>
      </c>
      <c r="F52" s="109">
        <v>4.5</v>
      </c>
      <c r="G52" s="115">
        <v>54.5</v>
      </c>
      <c r="H52" s="93">
        <f t="shared" si="63"/>
        <v>17.655219945827671</v>
      </c>
      <c r="I52" s="72">
        <f t="shared" si="64"/>
        <v>2.4441101694915255</v>
      </c>
      <c r="J52" s="73">
        <f t="shared" si="65"/>
        <v>43.382646884273001</v>
      </c>
      <c r="K52" s="84">
        <f>N52*E52%</f>
        <v>102.82000000000001</v>
      </c>
      <c r="L52" s="85">
        <f t="shared" si="66"/>
        <v>16.965</v>
      </c>
      <c r="M52" s="85">
        <f t="shared" si="66"/>
        <v>220.18</v>
      </c>
      <c r="N52" s="74">
        <f>$G$95</f>
        <v>388</v>
      </c>
      <c r="O52" s="74">
        <f>$H$95</f>
        <v>377</v>
      </c>
      <c r="P52" s="74">
        <f>$I$95</f>
        <v>404</v>
      </c>
      <c r="Q52" s="44" t="b">
        <f t="shared" si="6"/>
        <v>1</v>
      </c>
      <c r="R52" s="44">
        <f t="shared" si="25"/>
        <v>1.7170997807651887</v>
      </c>
      <c r="S52" s="44">
        <f t="shared" si="25"/>
        <v>1.4406779661016949</v>
      </c>
      <c r="T52" s="44">
        <f t="shared" si="25"/>
        <v>1.9703264094955493</v>
      </c>
      <c r="U52" s="45">
        <v>91</v>
      </c>
      <c r="V52" s="96">
        <f>22.34*(E52*10/1000)</f>
        <v>5.9201000000000006</v>
      </c>
      <c r="W52" s="97">
        <f>10.98*(F52*10/1000)</f>
        <v>0.49409999999999998</v>
      </c>
      <c r="X52" s="97">
        <f>31.85*(G52*10/1000)</f>
        <v>17.358250000000002</v>
      </c>
      <c r="Y52" s="44" t="b">
        <f t="shared" si="8"/>
        <v>1</v>
      </c>
      <c r="Z52" s="97">
        <f>7.15*(E52*10/1000)</f>
        <v>1.8947500000000002</v>
      </c>
      <c r="AA52" s="135">
        <f>1.1*(F52*10/1000)</f>
        <v>4.9500000000000002E-2</v>
      </c>
      <c r="AB52" s="97">
        <f>10.36*(G52*10/1000)</f>
        <v>5.6462000000000003</v>
      </c>
      <c r="AC52" s="44" t="b">
        <f t="shared" si="9"/>
        <v>1</v>
      </c>
      <c r="AD52" s="46">
        <f t="shared" si="70"/>
        <v>0.32005371530886301</v>
      </c>
      <c r="AE52" s="46">
        <f t="shared" si="70"/>
        <v>0.10018214936247724</v>
      </c>
      <c r="AF52" s="47">
        <f t="shared" si="70"/>
        <v>0.32527472527472528</v>
      </c>
      <c r="AG52" s="48">
        <f t="shared" si="68"/>
        <v>17.367949865711726</v>
      </c>
      <c r="AH52" s="59">
        <v>18</v>
      </c>
      <c r="AI52" s="60">
        <v>5.8</v>
      </c>
      <c r="AJ52" s="45">
        <v>39.299999999999997</v>
      </c>
      <c r="AK52" s="112">
        <f>AVERAGE(0.5,0.9,0.8)</f>
        <v>0.73333333333333339</v>
      </c>
      <c r="AL52" s="113">
        <f>MIN(0.5,0.9,0.8)</f>
        <v>0.5</v>
      </c>
      <c r="AM52" s="114">
        <f>MAX(0.5,0.9,0.8)</f>
        <v>0.9</v>
      </c>
      <c r="AN52" s="59">
        <f>4.43*(E52*10/1000)*$P$108</f>
        <v>2.6883455000000001</v>
      </c>
      <c r="AO52" s="60">
        <f>1.96*($E52*10/1000)*$P$108</f>
        <v>1.1894259999999999</v>
      </c>
      <c r="AP52" s="45">
        <f>7.41*($E52*10/1000)*$P$108</f>
        <v>4.4967585000000003</v>
      </c>
      <c r="AQ52" s="59">
        <f>16.07*($E52*10/1000)*$P$109</f>
        <v>5.1315527500000009</v>
      </c>
      <c r="AR52" s="60">
        <f>4.99*($E52*10/1000)*$P$109</f>
        <v>1.5934317500000004</v>
      </c>
      <c r="AS52" s="45">
        <f>41.1*($E52*10/1000)*$P$109</f>
        <v>13.124257500000002</v>
      </c>
      <c r="AT52" s="125">
        <v>0.18549999999999997</v>
      </c>
      <c r="AU52" s="117">
        <v>9.01</v>
      </c>
      <c r="AV52" s="117">
        <v>59.36</v>
      </c>
      <c r="AW52" s="117">
        <v>3.4450000000000001E-2</v>
      </c>
      <c r="AX52" s="117">
        <v>3.71</v>
      </c>
      <c r="AY52" s="117">
        <v>2.5439999999999996</v>
      </c>
      <c r="AZ52" s="117">
        <v>117.925</v>
      </c>
      <c r="BA52" s="42"/>
      <c r="BB52" s="43"/>
    </row>
    <row r="53" spans="1:54" s="37" customFormat="1" x14ac:dyDescent="0.25">
      <c r="A53" s="24" t="s">
        <v>477</v>
      </c>
      <c r="B53" s="25"/>
      <c r="C53" s="26"/>
      <c r="D53" s="27"/>
      <c r="E53" s="28"/>
      <c r="F53" s="29"/>
      <c r="G53" s="30"/>
      <c r="H53" s="28"/>
      <c r="I53" s="29"/>
      <c r="J53" s="30"/>
      <c r="K53" s="28"/>
      <c r="L53" s="29"/>
      <c r="M53" s="29"/>
      <c r="N53" s="31"/>
      <c r="O53" s="31"/>
      <c r="P53" s="31"/>
      <c r="Q53" s="44" t="b">
        <f t="shared" si="6"/>
        <v>1</v>
      </c>
      <c r="R53" s="31"/>
      <c r="S53" s="31"/>
      <c r="T53" s="31"/>
      <c r="U53" s="30"/>
      <c r="V53" s="28"/>
      <c r="W53" s="29"/>
      <c r="X53" s="29"/>
      <c r="Y53" s="44" t="b">
        <f t="shared" si="8"/>
        <v>1</v>
      </c>
      <c r="Z53" s="29"/>
      <c r="AA53" s="29"/>
      <c r="AB53" s="29"/>
      <c r="AC53" s="44" t="b">
        <f t="shared" si="9"/>
        <v>1</v>
      </c>
      <c r="AD53" s="29"/>
      <c r="AE53" s="29"/>
      <c r="AF53" s="30"/>
      <c r="AG53" s="127"/>
      <c r="AH53" s="28"/>
      <c r="AI53" s="29"/>
      <c r="AJ53" s="30"/>
      <c r="AK53" s="28"/>
      <c r="AL53" s="29"/>
      <c r="AM53" s="30"/>
      <c r="AN53" s="28"/>
      <c r="AO53" s="29"/>
      <c r="AP53" s="30"/>
      <c r="AQ53" s="28"/>
      <c r="AR53" s="29"/>
      <c r="AS53" s="30"/>
      <c r="AT53" s="28"/>
      <c r="AU53" s="29"/>
      <c r="AV53" s="29"/>
      <c r="AW53" s="29"/>
      <c r="AX53" s="29"/>
      <c r="AY53" s="29"/>
      <c r="AZ53" s="29"/>
      <c r="BA53" s="29"/>
      <c r="BB53" s="30"/>
    </row>
    <row r="54" spans="1:54" x14ac:dyDescent="0.25">
      <c r="A54" s="70" t="s">
        <v>478</v>
      </c>
      <c r="B54" s="63"/>
      <c r="C54" s="399" t="s">
        <v>430</v>
      </c>
      <c r="D54" s="64" t="s">
        <v>434</v>
      </c>
      <c r="E54" s="84">
        <f>AVERAGE(F54:G54)</f>
        <v>37.049999999999997</v>
      </c>
      <c r="F54" s="109">
        <v>24.8</v>
      </c>
      <c r="G54" s="115">
        <v>49.3</v>
      </c>
      <c r="H54" s="84">
        <f>AVERAGE(I54:J54)</f>
        <v>18.649999999999999</v>
      </c>
      <c r="I54" s="60">
        <v>14.5</v>
      </c>
      <c r="J54" s="45">
        <v>22.8</v>
      </c>
      <c r="K54" s="92">
        <f>H54*10/$G$90</f>
        <v>100.7771847898599</v>
      </c>
      <c r="L54" s="75">
        <f>I54*10/$I$90</f>
        <v>75.579150579150578</v>
      </c>
      <c r="M54" s="75">
        <f>J54*10/$H$90</f>
        <v>132.38709677419354</v>
      </c>
      <c r="N54" s="44">
        <f t="shared" ref="N54:P64" si="71">K54/E54%</f>
        <v>272.00319781338703</v>
      </c>
      <c r="O54" s="44">
        <f>L54/G54%</f>
        <v>153.30456506927095</v>
      </c>
      <c r="P54" s="44">
        <f>M54/F54%</f>
        <v>533.81893860561911</v>
      </c>
      <c r="Q54" s="44" t="b">
        <f t="shared" si="6"/>
        <v>1</v>
      </c>
      <c r="R54" s="44">
        <f t="shared" si="25"/>
        <v>1.8506172839506174</v>
      </c>
      <c r="S54" s="44">
        <f t="shared" si="25"/>
        <v>1.9185185185185185</v>
      </c>
      <c r="T54" s="44">
        <f t="shared" si="25"/>
        <v>1.7222222222222223</v>
      </c>
      <c r="U54" s="45">
        <v>65</v>
      </c>
      <c r="V54" s="84">
        <f>AVERAGE(W54:X54)</f>
        <v>7.35</v>
      </c>
      <c r="W54" s="109">
        <v>5.0999999999999996</v>
      </c>
      <c r="X54" s="109">
        <v>9.6</v>
      </c>
      <c r="Y54" s="44" t="b">
        <f t="shared" si="8"/>
        <v>1</v>
      </c>
      <c r="Z54" s="85">
        <f>AVERAGE(AA54:AB54)</f>
        <v>0.9</v>
      </c>
      <c r="AA54" s="109">
        <v>0.1</v>
      </c>
      <c r="AB54" s="109">
        <v>1.7</v>
      </c>
      <c r="AC54" s="44" t="b">
        <f t="shared" si="9"/>
        <v>1</v>
      </c>
      <c r="AD54" s="46">
        <f t="shared" ref="AD54:AF64" si="72">Z54/V54</f>
        <v>0.12244897959183675</v>
      </c>
      <c r="AE54" s="46">
        <f t="shared" si="72"/>
        <v>1.9607843137254905E-2</v>
      </c>
      <c r="AF54" s="47">
        <f t="shared" si="72"/>
        <v>0.17708333333333334</v>
      </c>
      <c r="AG54" s="48">
        <f t="shared" ref="AG54:AG64" si="73">K54/V54</f>
        <v>13.711181604062572</v>
      </c>
      <c r="AH54" s="58">
        <f>AVERAGE(AI54:AJ54)</f>
        <v>13.35</v>
      </c>
      <c r="AI54" s="60">
        <v>11</v>
      </c>
      <c r="AJ54" s="45">
        <v>15.7</v>
      </c>
      <c r="AK54" s="112">
        <v>0.26</v>
      </c>
      <c r="AL54" s="52"/>
      <c r="AM54" s="53"/>
      <c r="AN54" s="58">
        <f>AVERAGE(AO54:AP54)</f>
        <v>7.5570000000000004</v>
      </c>
      <c r="AO54" s="60">
        <f>2.8*$P$108</f>
        <v>6.4119999999999999</v>
      </c>
      <c r="AP54" s="45">
        <f>3.8*$P$108</f>
        <v>8.702</v>
      </c>
      <c r="AQ54" s="41">
        <f>5.3*$P$109</f>
        <v>6.3864999999999998</v>
      </c>
      <c r="AR54" s="42"/>
      <c r="AS54" s="43"/>
      <c r="AT54" s="125">
        <v>0.11610000000000001</v>
      </c>
      <c r="AU54" s="117">
        <v>15.48</v>
      </c>
      <c r="AV54" s="117">
        <v>69.660000000000011</v>
      </c>
      <c r="AW54" s="117"/>
      <c r="AX54" s="117">
        <v>9.2880000000000003</v>
      </c>
      <c r="AY54" s="117">
        <v>6.1920000000000002</v>
      </c>
      <c r="AZ54" s="117">
        <v>270.90000000000003</v>
      </c>
      <c r="BA54" s="42"/>
      <c r="BB54" s="43"/>
    </row>
    <row r="55" spans="1:54" s="37" customFormat="1" x14ac:dyDescent="0.25">
      <c r="A55" s="141" t="s">
        <v>479</v>
      </c>
      <c r="B55" s="142">
        <v>16</v>
      </c>
      <c r="C55" s="143"/>
      <c r="D55" s="144" t="s">
        <v>434</v>
      </c>
      <c r="E55" s="145">
        <f>570/10</f>
        <v>57</v>
      </c>
      <c r="F55" s="146">
        <f>(570-85.5)/10</f>
        <v>48.45</v>
      </c>
      <c r="G55" s="116">
        <f>(570+85.5)/10</f>
        <v>65.55</v>
      </c>
      <c r="H55" s="145">
        <f>430/10</f>
        <v>43</v>
      </c>
      <c r="I55" s="146">
        <f>(430-68.8)/10</f>
        <v>36.119999999999997</v>
      </c>
      <c r="J55" s="116">
        <f>(430+68.8)/10</f>
        <v>49.88</v>
      </c>
      <c r="K55" s="92">
        <f>H55*10/$G$90</f>
        <v>232.35490326884587</v>
      </c>
      <c r="L55" s="75">
        <f>I55*10/$I$90</f>
        <v>188.27027027027026</v>
      </c>
      <c r="M55" s="75">
        <f>J55*10/$H$90</f>
        <v>289.6258064516129</v>
      </c>
      <c r="N55" s="44">
        <f t="shared" si="71"/>
        <v>407.64018117341385</v>
      </c>
      <c r="O55" s="44">
        <f t="shared" si="71"/>
        <v>388.58672914400461</v>
      </c>
      <c r="P55" s="44">
        <f t="shared" si="71"/>
        <v>441.83952166531338</v>
      </c>
      <c r="Q55" s="44" t="b">
        <f t="shared" si="6"/>
        <v>1</v>
      </c>
      <c r="R55" s="44">
        <f t="shared" si="25"/>
        <v>1.8506172839506174</v>
      </c>
      <c r="S55" s="44">
        <f t="shared" si="25"/>
        <v>1.9185185185185185</v>
      </c>
      <c r="T55" s="44">
        <f t="shared" si="25"/>
        <v>1.7222222222222223</v>
      </c>
      <c r="U55" s="45">
        <f t="shared" ref="U55:U56" si="74">AVERAGE(65,58)</f>
        <v>61.5</v>
      </c>
      <c r="V55" s="145">
        <v>20.6</v>
      </c>
      <c r="W55" s="146">
        <f>20.6-2.3</f>
        <v>18.3</v>
      </c>
      <c r="X55" s="146">
        <f>20.6+2.3</f>
        <v>22.900000000000002</v>
      </c>
      <c r="Y55" s="44" t="b">
        <f t="shared" si="8"/>
        <v>1</v>
      </c>
      <c r="Z55" s="146">
        <v>2.2000000000000002</v>
      </c>
      <c r="AA55" s="146">
        <f>2.2-1.6</f>
        <v>0.60000000000000009</v>
      </c>
      <c r="AB55" s="146">
        <f>2.2+1.6</f>
        <v>3.8000000000000003</v>
      </c>
      <c r="AC55" s="44" t="b">
        <f t="shared" si="9"/>
        <v>1</v>
      </c>
      <c r="AD55" s="46">
        <f t="shared" si="72"/>
        <v>0.10679611650485438</v>
      </c>
      <c r="AE55" s="46">
        <f t="shared" si="72"/>
        <v>3.2786885245901641E-2</v>
      </c>
      <c r="AF55" s="47">
        <f t="shared" si="72"/>
        <v>0.16593886462882096</v>
      </c>
      <c r="AG55" s="48">
        <f t="shared" si="73"/>
        <v>11.279364236351741</v>
      </c>
      <c r="AH55" s="145">
        <v>10.199999999999999</v>
      </c>
      <c r="AI55" s="49">
        <f t="shared" ref="AI55:AJ60" si="75">L55/W55</f>
        <v>10.28799291094373</v>
      </c>
      <c r="AJ55" s="50">
        <f t="shared" si="75"/>
        <v>12.647415128891392</v>
      </c>
      <c r="AK55" s="147">
        <f>AVERAGE(0.35, 0.2, 0.35, 0.1, 0.07, 0.1, 0.1, 0.1, 0.3, 0.1, 0.1, 0.45, 0.1, 0.2, 0.2)</f>
        <v>0.18800000000000008</v>
      </c>
      <c r="AL55" s="148">
        <f>MIN(0.35, 0.2, 0.35, 0.1, 0.07, 0.1, 0.1, 0.1, 0.3, 0.1, 0.1, 0.45, 0.1, 0.2, 0.2)</f>
        <v>7.0000000000000007E-2</v>
      </c>
      <c r="AM55" s="149">
        <f>MAX(0.35, 0.2, 0.35, 0.1, 0.07, 0.1, 0.1, 0.1, 0.3, 0.1, 0.1, 0.45, 0.1, 0.2, 0.2)</f>
        <v>0.45</v>
      </c>
      <c r="AN55" s="145">
        <v>31</v>
      </c>
      <c r="AO55" s="146">
        <f>31-5.27</f>
        <v>25.73</v>
      </c>
      <c r="AP55" s="116">
        <f>31+5.27</f>
        <v>36.269999999999996</v>
      </c>
      <c r="AQ55" s="145">
        <v>19</v>
      </c>
      <c r="AR55" s="146">
        <f>19-2.1</f>
        <v>16.899999999999999</v>
      </c>
      <c r="AS55" s="116">
        <f>19+2.1</f>
        <v>21.1</v>
      </c>
      <c r="AT55" s="145"/>
      <c r="AU55" s="146"/>
      <c r="AV55" s="146">
        <v>166</v>
      </c>
      <c r="AW55" s="146"/>
      <c r="AX55" s="146"/>
      <c r="AY55" s="146"/>
      <c r="AZ55" s="146">
        <v>820</v>
      </c>
      <c r="BA55" s="146"/>
      <c r="BB55" s="116"/>
    </row>
    <row r="56" spans="1:54" s="37" customFormat="1" x14ac:dyDescent="0.25">
      <c r="A56" s="141" t="s">
        <v>480</v>
      </c>
      <c r="B56" s="142">
        <v>19</v>
      </c>
      <c r="C56" s="143"/>
      <c r="D56" s="144" t="s">
        <v>434</v>
      </c>
      <c r="E56" s="145">
        <f>502/10</f>
        <v>50.2</v>
      </c>
      <c r="F56" s="146">
        <f>(502-68)/10</f>
        <v>43.4</v>
      </c>
      <c r="G56" s="116">
        <f>(502+68)/10</f>
        <v>57</v>
      </c>
      <c r="H56" s="145">
        <f>300/10</f>
        <v>30</v>
      </c>
      <c r="I56" s="146">
        <f>(300-59)/10</f>
        <v>24.1</v>
      </c>
      <c r="J56" s="116">
        <f>(300+59)/10</f>
        <v>35.9</v>
      </c>
      <c r="K56" s="145">
        <v>143</v>
      </c>
      <c r="L56" s="146">
        <f>143-42</f>
        <v>101</v>
      </c>
      <c r="M56" s="146">
        <f>143+42</f>
        <v>185</v>
      </c>
      <c r="N56" s="44">
        <f t="shared" si="71"/>
        <v>284.86055776892431</v>
      </c>
      <c r="O56" s="44">
        <f t="shared" si="71"/>
        <v>232.7188940092166</v>
      </c>
      <c r="P56" s="44">
        <f t="shared" si="71"/>
        <v>324.56140350877195</v>
      </c>
      <c r="Q56" s="44" t="b">
        <f t="shared" si="6"/>
        <v>1</v>
      </c>
      <c r="R56" s="44">
        <f t="shared" si="25"/>
        <v>2.0979020979020979</v>
      </c>
      <c r="S56" s="44">
        <f t="shared" si="25"/>
        <v>2.386138613861386</v>
      </c>
      <c r="T56" s="44">
        <f t="shared" si="25"/>
        <v>1.9405405405405405</v>
      </c>
      <c r="U56" s="45">
        <f t="shared" si="74"/>
        <v>61.5</v>
      </c>
      <c r="V56" s="145">
        <v>16.8</v>
      </c>
      <c r="W56" s="146">
        <f>16.8-3.9</f>
        <v>12.9</v>
      </c>
      <c r="X56" s="146">
        <f>16.8+3.9</f>
        <v>20.7</v>
      </c>
      <c r="Y56" s="44" t="b">
        <f t="shared" si="8"/>
        <v>1</v>
      </c>
      <c r="Z56" s="146">
        <v>5.0999999999999996</v>
      </c>
      <c r="AA56" s="146">
        <f>5.1-2.8</f>
        <v>2.2999999999999998</v>
      </c>
      <c r="AB56" s="146">
        <f>5.1+2.8</f>
        <v>7.8999999999999995</v>
      </c>
      <c r="AC56" s="44" t="b">
        <f t="shared" si="9"/>
        <v>1</v>
      </c>
      <c r="AD56" s="46">
        <f t="shared" si="72"/>
        <v>0.30357142857142855</v>
      </c>
      <c r="AE56" s="46">
        <f t="shared" si="72"/>
        <v>0.17829457364341084</v>
      </c>
      <c r="AF56" s="47">
        <f t="shared" si="72"/>
        <v>0.38164251207729466</v>
      </c>
      <c r="AG56" s="48">
        <f t="shared" si="73"/>
        <v>8.511904761904761</v>
      </c>
      <c r="AH56" s="145">
        <v>8.5</v>
      </c>
      <c r="AI56" s="49">
        <f t="shared" si="75"/>
        <v>7.829457364341085</v>
      </c>
      <c r="AJ56" s="50">
        <f t="shared" si="75"/>
        <v>8.9371980676328509</v>
      </c>
      <c r="AK56" s="147">
        <f>AVERAGE(0.3,0.2, 0.15, 0.15, 0.15, 0.1,0.15, 0.15, 0.4,0.15, 0.15, 0.4,0.1,0.15,0.35)</f>
        <v>0.20333333333333331</v>
      </c>
      <c r="AL56" s="148">
        <f>MIN(0.3,0.2, 0.15, 0.15, 0.15, 0.1,0.15, 0.15, 0.4,0.15, 0.15, 0.4,0.1,0.15,0.35)</f>
        <v>0.1</v>
      </c>
      <c r="AM56" s="149">
        <f>MAX(0.3,0.2, 0.15, 0.15, 0.15, 0.1,0.15, 0.15, 0.4,0.15, 0.15, 0.4,0.1,0.15,0.35)</f>
        <v>0.4</v>
      </c>
      <c r="AN56" s="145">
        <v>46.4</v>
      </c>
      <c r="AO56" s="146">
        <f>46.4-13.8</f>
        <v>32.599999999999994</v>
      </c>
      <c r="AP56" s="116">
        <f>46.4+13.8</f>
        <v>60.2</v>
      </c>
      <c r="AQ56" s="145">
        <v>5.6</v>
      </c>
      <c r="AR56" s="146">
        <f>5.6-2.6</f>
        <v>2.9999999999999996</v>
      </c>
      <c r="AS56" s="116">
        <f>5.6+2.6</f>
        <v>8.1999999999999993</v>
      </c>
      <c r="AT56" s="145">
        <v>0.33</v>
      </c>
      <c r="AU56" s="146">
        <v>16.8</v>
      </c>
      <c r="AV56" s="146">
        <v>486</v>
      </c>
      <c r="AW56" s="146">
        <v>0.03</v>
      </c>
      <c r="AX56" s="146">
        <v>13</v>
      </c>
      <c r="AY56" s="146">
        <v>7.8</v>
      </c>
      <c r="AZ56" s="146">
        <v>1079</v>
      </c>
      <c r="BA56" s="146">
        <v>1.3</v>
      </c>
      <c r="BB56" s="116">
        <v>3</v>
      </c>
    </row>
    <row r="57" spans="1:54" s="5" customFormat="1" x14ac:dyDescent="0.25">
      <c r="A57" s="84" t="s">
        <v>481</v>
      </c>
      <c r="B57" s="150"/>
      <c r="C57" s="151" t="s">
        <v>430</v>
      </c>
      <c r="D57" s="152" t="s">
        <v>434</v>
      </c>
      <c r="E57" s="153">
        <f t="shared" ref="E57:BB58" si="76">AVERAGE(E55:E56)</f>
        <v>53.6</v>
      </c>
      <c r="F57" s="151">
        <f t="shared" si="76"/>
        <v>45.924999999999997</v>
      </c>
      <c r="G57" s="152">
        <f t="shared" si="76"/>
        <v>61.274999999999999</v>
      </c>
      <c r="H57" s="153">
        <f t="shared" si="76"/>
        <v>36.5</v>
      </c>
      <c r="I57" s="151">
        <f t="shared" si="76"/>
        <v>30.11</v>
      </c>
      <c r="J57" s="152">
        <f t="shared" si="76"/>
        <v>42.89</v>
      </c>
      <c r="K57" s="153">
        <f t="shared" si="76"/>
        <v>187.67745163442294</v>
      </c>
      <c r="L57" s="151">
        <f t="shared" si="76"/>
        <v>144.63513513513513</v>
      </c>
      <c r="M57" s="151">
        <f t="shared" si="76"/>
        <v>237.31290322580645</v>
      </c>
      <c r="N57" s="44">
        <f t="shared" si="71"/>
        <v>350.1444993179532</v>
      </c>
      <c r="O57" s="44">
        <f t="shared" si="71"/>
        <v>314.93769218320114</v>
      </c>
      <c r="P57" s="44">
        <f t="shared" si="71"/>
        <v>387.29155973203825</v>
      </c>
      <c r="Q57" s="44" t="b">
        <f t="shared" si="6"/>
        <v>1</v>
      </c>
      <c r="R57" s="44">
        <f t="shared" si="25"/>
        <v>1.9448260663245993</v>
      </c>
      <c r="S57" s="44">
        <f t="shared" si="25"/>
        <v>2.0817901522937499</v>
      </c>
      <c r="T57" s="44">
        <f t="shared" si="25"/>
        <v>1.8073184987834219</v>
      </c>
      <c r="U57" s="45">
        <f>AVERAGE(65,58)</f>
        <v>61.5</v>
      </c>
      <c r="V57" s="153">
        <f t="shared" si="76"/>
        <v>18.700000000000003</v>
      </c>
      <c r="W57" s="151">
        <f t="shared" si="76"/>
        <v>15.600000000000001</v>
      </c>
      <c r="X57" s="151">
        <f t="shared" si="76"/>
        <v>21.8</v>
      </c>
      <c r="Y57" s="44" t="b">
        <f t="shared" si="8"/>
        <v>1</v>
      </c>
      <c r="Z57" s="151">
        <f t="shared" si="76"/>
        <v>3.65</v>
      </c>
      <c r="AA57" s="151">
        <f t="shared" si="76"/>
        <v>1.45</v>
      </c>
      <c r="AB57" s="151">
        <f t="shared" si="76"/>
        <v>5.85</v>
      </c>
      <c r="AC57" s="44" t="b">
        <f t="shared" si="9"/>
        <v>1</v>
      </c>
      <c r="AD57" s="46">
        <f t="shared" si="72"/>
        <v>0.19518716577540104</v>
      </c>
      <c r="AE57" s="46">
        <f t="shared" si="72"/>
        <v>9.2948717948717938E-2</v>
      </c>
      <c r="AF57" s="47">
        <f t="shared" si="72"/>
        <v>0.26834862385321101</v>
      </c>
      <c r="AG57" s="48">
        <f t="shared" si="73"/>
        <v>10.036227360129567</v>
      </c>
      <c r="AH57" s="153">
        <f t="shared" si="76"/>
        <v>9.35</v>
      </c>
      <c r="AI57" s="49">
        <f t="shared" si="75"/>
        <v>9.2714830214830197</v>
      </c>
      <c r="AJ57" s="50">
        <f t="shared" si="75"/>
        <v>10.885912992009469</v>
      </c>
      <c r="AK57" s="154">
        <f t="shared" si="76"/>
        <v>0.19566666666666671</v>
      </c>
      <c r="AL57" s="155">
        <f t="shared" si="76"/>
        <v>8.5000000000000006E-2</v>
      </c>
      <c r="AM57" s="156">
        <f t="shared" si="76"/>
        <v>0.42500000000000004</v>
      </c>
      <c r="AN57" s="153">
        <f t="shared" si="76"/>
        <v>38.700000000000003</v>
      </c>
      <c r="AO57" s="151">
        <f t="shared" si="76"/>
        <v>29.164999999999999</v>
      </c>
      <c r="AP57" s="152">
        <f t="shared" si="76"/>
        <v>48.234999999999999</v>
      </c>
      <c r="AQ57" s="153">
        <f t="shared" si="76"/>
        <v>12.3</v>
      </c>
      <c r="AR57" s="151">
        <f t="shared" si="76"/>
        <v>9.9499999999999993</v>
      </c>
      <c r="AS57" s="152">
        <f t="shared" si="76"/>
        <v>14.65</v>
      </c>
      <c r="AT57" s="153">
        <f t="shared" si="76"/>
        <v>0.33</v>
      </c>
      <c r="AU57" s="151">
        <f t="shared" si="76"/>
        <v>16.8</v>
      </c>
      <c r="AV57" s="151">
        <f t="shared" si="76"/>
        <v>326</v>
      </c>
      <c r="AW57" s="151">
        <f t="shared" si="76"/>
        <v>0.03</v>
      </c>
      <c r="AX57" s="151">
        <f t="shared" si="76"/>
        <v>13</v>
      </c>
      <c r="AY57" s="151">
        <f t="shared" si="76"/>
        <v>7.8</v>
      </c>
      <c r="AZ57" s="151">
        <f t="shared" si="76"/>
        <v>949.5</v>
      </c>
      <c r="BA57" s="151">
        <f t="shared" si="76"/>
        <v>1.3</v>
      </c>
      <c r="BB57" s="152">
        <f t="shared" si="76"/>
        <v>3</v>
      </c>
    </row>
    <row r="58" spans="1:54" x14ac:dyDescent="0.25">
      <c r="A58" s="70" t="s">
        <v>482</v>
      </c>
      <c r="B58" s="63"/>
      <c r="C58" s="399" t="s">
        <v>430</v>
      </c>
      <c r="D58" s="64" t="s">
        <v>434</v>
      </c>
      <c r="E58" s="84">
        <f>AVERAGE(F58:G58)</f>
        <v>39.5</v>
      </c>
      <c r="F58" s="157">
        <v>35</v>
      </c>
      <c r="G58" s="158">
        <v>44</v>
      </c>
      <c r="H58" s="93">
        <f>K58*G90/10</f>
        <v>19.736833333333337</v>
      </c>
      <c r="I58" s="72">
        <f>L58*H90/10</f>
        <v>6.9922222222222219</v>
      </c>
      <c r="J58" s="73">
        <f>M58*I90/10</f>
        <v>35.791881481481482</v>
      </c>
      <c r="K58" s="84">
        <f t="shared" ref="K58:M58" si="77">N58*E58%</f>
        <v>106.65</v>
      </c>
      <c r="L58" s="85">
        <f t="shared" si="77"/>
        <v>40.599999999999994</v>
      </c>
      <c r="M58" s="85">
        <f t="shared" si="77"/>
        <v>186.56</v>
      </c>
      <c r="N58" s="74">
        <f>G92</f>
        <v>270</v>
      </c>
      <c r="O58" s="74">
        <f>H92</f>
        <v>116</v>
      </c>
      <c r="P58" s="74">
        <f>I92</f>
        <v>424</v>
      </c>
      <c r="Q58" s="44" t="b">
        <f t="shared" si="6"/>
        <v>1</v>
      </c>
      <c r="R58" s="44">
        <f t="shared" si="25"/>
        <v>1.8506172839506174</v>
      </c>
      <c r="S58" s="44">
        <f t="shared" si="25"/>
        <v>1.7222222222222223</v>
      </c>
      <c r="T58" s="44">
        <f t="shared" si="25"/>
        <v>1.9185185185185185</v>
      </c>
      <c r="U58" s="159">
        <v>80</v>
      </c>
      <c r="V58" s="84">
        <f>AVERAGE(W58:X58)</f>
        <v>12</v>
      </c>
      <c r="W58" s="160">
        <v>5</v>
      </c>
      <c r="X58" s="160">
        <v>19</v>
      </c>
      <c r="Y58" s="44" t="b">
        <f t="shared" si="8"/>
        <v>1</v>
      </c>
      <c r="Z58" s="85">
        <f>AVERAGE(AA58:AB58)</f>
        <v>1.5250000000000001</v>
      </c>
      <c r="AA58" s="157">
        <f>4%*W58</f>
        <v>0.2</v>
      </c>
      <c r="AB58" s="157">
        <f>15%*X58</f>
        <v>2.85</v>
      </c>
      <c r="AC58" s="44" t="b">
        <f t="shared" si="9"/>
        <v>1</v>
      </c>
      <c r="AD58" s="46">
        <f t="shared" si="72"/>
        <v>0.12708333333333335</v>
      </c>
      <c r="AE58" s="46">
        <f t="shared" si="72"/>
        <v>0.04</v>
      </c>
      <c r="AF58" s="47">
        <f t="shared" si="72"/>
        <v>0.15</v>
      </c>
      <c r="AG58" s="48">
        <f t="shared" si="73"/>
        <v>8.8875000000000011</v>
      </c>
      <c r="AH58" s="153">
        <f t="shared" si="76"/>
        <v>8.9250000000000007</v>
      </c>
      <c r="AI58" s="49">
        <f t="shared" si="75"/>
        <v>8.1199999999999992</v>
      </c>
      <c r="AJ58" s="50">
        <f t="shared" si="75"/>
        <v>9.8189473684210533</v>
      </c>
      <c r="AK58" s="105">
        <v>0.1</v>
      </c>
      <c r="AL58" s="52"/>
      <c r="AM58" s="53"/>
      <c r="AN58" s="58">
        <f>AVERAGE(AO58:AP58)</f>
        <v>26.335000000000001</v>
      </c>
      <c r="AO58" s="160">
        <f>4*$P$108</f>
        <v>9.16</v>
      </c>
      <c r="AP58" s="161">
        <f>19*$P$108</f>
        <v>43.51</v>
      </c>
      <c r="AQ58" s="58">
        <f>AVERAGE(AR58:AS58)</f>
        <v>7.23</v>
      </c>
      <c r="AR58" s="160">
        <f>5*$P$109</f>
        <v>6.0250000000000004</v>
      </c>
      <c r="AS58" s="161">
        <f>7*$P$109</f>
        <v>8.4350000000000005</v>
      </c>
      <c r="AT58" s="125">
        <v>0.5</v>
      </c>
      <c r="AU58" s="117">
        <v>23.5</v>
      </c>
      <c r="AV58" s="117">
        <v>27</v>
      </c>
      <c r="AW58" s="117">
        <v>0.15</v>
      </c>
      <c r="AX58" s="117">
        <v>8.8000000000000007</v>
      </c>
      <c r="AY58" s="117">
        <v>105</v>
      </c>
      <c r="AZ58" s="117">
        <v>171.5</v>
      </c>
      <c r="BA58" s="117">
        <v>2.9</v>
      </c>
      <c r="BB58" s="43"/>
    </row>
    <row r="59" spans="1:54" x14ac:dyDescent="0.25">
      <c r="A59" s="70" t="s">
        <v>483</v>
      </c>
      <c r="B59" s="63">
        <v>26</v>
      </c>
      <c r="C59" s="399" t="s">
        <v>430</v>
      </c>
      <c r="D59" s="64" t="s">
        <v>434</v>
      </c>
      <c r="E59" s="41">
        <f>262/10</f>
        <v>26.2</v>
      </c>
      <c r="F59" s="42">
        <f>(262-39)/10</f>
        <v>22.3</v>
      </c>
      <c r="G59" s="43">
        <f>(262+39)/10</f>
        <v>30.1</v>
      </c>
      <c r="H59" s="41">
        <f>160/10</f>
        <v>16</v>
      </c>
      <c r="I59" s="42">
        <f>(160-22)/10</f>
        <v>13.8</v>
      </c>
      <c r="J59" s="43">
        <f>(160+22)/10</f>
        <v>18.2</v>
      </c>
      <c r="K59" s="41">
        <v>81.599999999999994</v>
      </c>
      <c r="L59" s="42">
        <f>81.6-23.3</f>
        <v>58.3</v>
      </c>
      <c r="M59" s="42">
        <f>81.6+23.3</f>
        <v>104.89999999999999</v>
      </c>
      <c r="N59" s="44">
        <f t="shared" si="71"/>
        <v>311.4503816793893</v>
      </c>
      <c r="O59" s="44">
        <f t="shared" si="71"/>
        <v>261.4349775784753</v>
      </c>
      <c r="P59" s="44">
        <f t="shared" si="71"/>
        <v>348.50498338870432</v>
      </c>
      <c r="Q59" s="44" t="b">
        <f t="shared" si="6"/>
        <v>1</v>
      </c>
      <c r="R59" s="44">
        <f t="shared" si="25"/>
        <v>1.9607843137254903</v>
      </c>
      <c r="S59" s="44">
        <f t="shared" si="25"/>
        <v>2.3670668953687821</v>
      </c>
      <c r="T59" s="44">
        <f t="shared" si="25"/>
        <v>1.7349857006673024</v>
      </c>
      <c r="U59" s="159">
        <v>69</v>
      </c>
      <c r="V59" s="41">
        <v>6.7</v>
      </c>
      <c r="W59" s="42">
        <f>6.7-1.2</f>
        <v>5.5</v>
      </c>
      <c r="X59" s="42">
        <f>6.7+1.2</f>
        <v>7.9</v>
      </c>
      <c r="Y59" s="44" t="b">
        <f t="shared" si="8"/>
        <v>1</v>
      </c>
      <c r="Z59" s="42">
        <v>0.6</v>
      </c>
      <c r="AA59" s="42">
        <f>0.6-0.4</f>
        <v>0.19999999999999996</v>
      </c>
      <c r="AB59" s="42">
        <f>0.6+0.4</f>
        <v>1</v>
      </c>
      <c r="AC59" s="44" t="b">
        <f t="shared" si="9"/>
        <v>1</v>
      </c>
      <c r="AD59" s="46">
        <f t="shared" si="72"/>
        <v>8.9552238805970144E-2</v>
      </c>
      <c r="AE59" s="46">
        <f t="shared" si="72"/>
        <v>3.6363636363636355E-2</v>
      </c>
      <c r="AF59" s="47">
        <f t="shared" si="72"/>
        <v>0.12658227848101264</v>
      </c>
      <c r="AG59" s="48">
        <f t="shared" si="73"/>
        <v>12.17910447761194</v>
      </c>
      <c r="AH59" s="41">
        <v>14.4</v>
      </c>
      <c r="AI59" s="49">
        <f t="shared" si="75"/>
        <v>10.6</v>
      </c>
      <c r="AJ59" s="50">
        <f t="shared" si="75"/>
        <v>13.278481012658226</v>
      </c>
      <c r="AK59" s="162">
        <f>AVERAGE(0.2,0.11,0.11,0.15,0.11,0.11,0.15,0.15,0.25,0.15,0.15,0.2,0.1,0.15,0.1)</f>
        <v>0.14599999999999999</v>
      </c>
      <c r="AL59" s="163">
        <f>MIN(0.2,0.11,0.11,0.15,0.11,0.11,0.15,0.15,0.25,0.15,0.15,0.2,0.1,0.15,0.1)</f>
        <v>0.1</v>
      </c>
      <c r="AM59" s="164">
        <f>MAX(0.2,0.11,0.11,0.15,0.11,0.11,0.15,0.15,0.25,0.15,0.15,0.2,0.1,0.15,0.1)</f>
        <v>0.25</v>
      </c>
      <c r="AN59" s="41">
        <v>3.6</v>
      </c>
      <c r="AO59" s="42">
        <f>3.6-1.1</f>
        <v>2.5</v>
      </c>
      <c r="AP59" s="43">
        <f>3.6+1.1</f>
        <v>4.7</v>
      </c>
      <c r="AQ59" s="41">
        <v>10.8</v>
      </c>
      <c r="AR59" s="42">
        <f>10.8-3.4</f>
        <v>7.4</v>
      </c>
      <c r="AS59" s="43">
        <f>10.8+3.4</f>
        <v>14.200000000000001</v>
      </c>
      <c r="AT59" s="125">
        <v>0.52800000000000002</v>
      </c>
      <c r="AU59" s="117">
        <v>26.4</v>
      </c>
      <c r="AV59" s="117">
        <v>66</v>
      </c>
      <c r="AW59" s="117"/>
      <c r="AX59" s="117">
        <v>9.9</v>
      </c>
      <c r="AY59" s="117">
        <v>66</v>
      </c>
      <c r="AZ59" s="117">
        <v>165</v>
      </c>
      <c r="BA59" s="42"/>
      <c r="BB59" s="43"/>
    </row>
    <row r="60" spans="1:54" x14ac:dyDescent="0.25">
      <c r="A60" s="70" t="s">
        <v>484</v>
      </c>
      <c r="B60" s="63">
        <v>15</v>
      </c>
      <c r="C60" s="399" t="s">
        <v>430</v>
      </c>
      <c r="D60" s="64" t="s">
        <v>434</v>
      </c>
      <c r="E60" s="41">
        <f>453/10</f>
        <v>45.3</v>
      </c>
      <c r="F60" s="42">
        <f>(453-121)/10</f>
        <v>33.200000000000003</v>
      </c>
      <c r="G60" s="43">
        <f>(453+121)/10</f>
        <v>57.4</v>
      </c>
      <c r="H60" s="41">
        <f>283/10</f>
        <v>28.3</v>
      </c>
      <c r="I60" s="42">
        <f>(283-83)/10</f>
        <v>20</v>
      </c>
      <c r="J60" s="43">
        <f>(283+83)/10</f>
        <v>36.6</v>
      </c>
      <c r="K60" s="41">
        <v>135</v>
      </c>
      <c r="L60" s="42">
        <f>135-43</f>
        <v>92</v>
      </c>
      <c r="M60" s="42">
        <f>135+43</f>
        <v>178</v>
      </c>
      <c r="N60" s="44">
        <f t="shared" si="71"/>
        <v>298.01324503311258</v>
      </c>
      <c r="O60" s="44">
        <f t="shared" si="71"/>
        <v>277.10843373493975</v>
      </c>
      <c r="P60" s="44">
        <f t="shared" si="71"/>
        <v>310.10452961672479</v>
      </c>
      <c r="Q60" s="44" t="b">
        <f t="shared" si="6"/>
        <v>1</v>
      </c>
      <c r="R60" s="44">
        <f t="shared" si="25"/>
        <v>2.0962962962962961</v>
      </c>
      <c r="S60" s="44">
        <f t="shared" si="25"/>
        <v>2.1739130434782608</v>
      </c>
      <c r="T60" s="44">
        <f t="shared" si="25"/>
        <v>2.0561797752808988</v>
      </c>
      <c r="U60" s="159">
        <v>69</v>
      </c>
      <c r="V60" s="41">
        <v>13.3</v>
      </c>
      <c r="W60" s="42">
        <f>13.3-3.4</f>
        <v>9.9</v>
      </c>
      <c r="X60" s="42">
        <f>13.3+3.4</f>
        <v>16.7</v>
      </c>
      <c r="Y60" s="44" t="b">
        <f t="shared" si="8"/>
        <v>1</v>
      </c>
      <c r="Z60" s="42">
        <v>1.3</v>
      </c>
      <c r="AA60" s="42">
        <f>1.3-1.1</f>
        <v>0.19999999999999996</v>
      </c>
      <c r="AB60" s="42">
        <f>1.3+1.1</f>
        <v>2.4000000000000004</v>
      </c>
      <c r="AC60" s="44" t="b">
        <f t="shared" si="9"/>
        <v>1</v>
      </c>
      <c r="AD60" s="46">
        <f t="shared" si="72"/>
        <v>9.7744360902255634E-2</v>
      </c>
      <c r="AE60" s="46">
        <f t="shared" si="72"/>
        <v>2.0202020202020197E-2</v>
      </c>
      <c r="AF60" s="47">
        <f t="shared" si="72"/>
        <v>0.14371257485029942</v>
      </c>
      <c r="AG60" s="48">
        <f t="shared" si="73"/>
        <v>10.150375939849624</v>
      </c>
      <c r="AH60" s="41">
        <v>10.8</v>
      </c>
      <c r="AI60" s="49">
        <f t="shared" si="75"/>
        <v>9.2929292929292924</v>
      </c>
      <c r="AJ60" s="50">
        <f t="shared" si="75"/>
        <v>10.658682634730539</v>
      </c>
      <c r="AK60" s="51">
        <f>AVERAGE(0.35, 0.3, 0.15, 0.07, 0.07, 0.1, 0.1, 0.1, 0.25, 0.1, 0.1, 0.25, 0.1, 0.2, 0.2)</f>
        <v>0.16266666666666671</v>
      </c>
      <c r="AL60" s="52">
        <f>MIN(0.35, 0.3, 0.15, 0.07, 0.07, 0.1, 0.1, 0.1, 0.25, 0.1, 0.1, 0.25, 0.1, 0.2, 0.2)</f>
        <v>7.0000000000000007E-2</v>
      </c>
      <c r="AM60" s="53">
        <f>MAX(0.35, 0.3, 0.15, 0.07, 0.07, 0.1, 0.1, 0.1, 0.25, 0.1, 0.1, 0.25, 0.1, 0.2, 0.2)</f>
        <v>0.35</v>
      </c>
      <c r="AN60" s="41">
        <v>18.399999999999999</v>
      </c>
      <c r="AO60" s="42">
        <f>18.4-4.3</f>
        <v>14.099999999999998</v>
      </c>
      <c r="AP60" s="43">
        <f>18.4+4.3</f>
        <v>22.7</v>
      </c>
      <c r="AQ60" s="41">
        <v>24.8</v>
      </c>
      <c r="AR60" s="42">
        <f>24.8-6.8</f>
        <v>18</v>
      </c>
      <c r="AS60" s="43">
        <f>24.8+6.8</f>
        <v>31.6</v>
      </c>
      <c r="AT60" s="41"/>
      <c r="AU60" s="42">
        <v>5.5</v>
      </c>
      <c r="AV60" s="42">
        <v>120</v>
      </c>
      <c r="AW60" s="42"/>
      <c r="AX60" s="42">
        <v>3.8</v>
      </c>
      <c r="AY60" s="42">
        <v>4.9000000000000004</v>
      </c>
      <c r="AZ60" s="42">
        <v>602</v>
      </c>
      <c r="BA60" s="42">
        <v>2.4</v>
      </c>
      <c r="BB60" s="43">
        <v>0.5</v>
      </c>
    </row>
    <row r="61" spans="1:54" x14ac:dyDescent="0.25">
      <c r="A61" s="70" t="s">
        <v>485</v>
      </c>
      <c r="B61" s="63"/>
      <c r="C61" s="399" t="s">
        <v>430</v>
      </c>
      <c r="D61" s="64" t="s">
        <v>434</v>
      </c>
      <c r="E61" s="108">
        <v>49.2</v>
      </c>
      <c r="F61" s="109">
        <v>28</v>
      </c>
      <c r="G61" s="115">
        <v>86.9</v>
      </c>
      <c r="H61" s="108">
        <v>24.8</v>
      </c>
      <c r="I61" s="109">
        <v>15.5</v>
      </c>
      <c r="J61" s="115">
        <v>34</v>
      </c>
      <c r="K61" s="92">
        <f>H61*10/$G$90</f>
        <v>134.00933955970646</v>
      </c>
      <c r="L61" s="75">
        <f>I61*10/$I$90</f>
        <v>80.791505791505799</v>
      </c>
      <c r="M61" s="75">
        <f>J61*10/$H$90</f>
        <v>197.41935483870967</v>
      </c>
      <c r="N61" s="44">
        <f t="shared" si="71"/>
        <v>272.37670642216756</v>
      </c>
      <c r="O61" s="44">
        <f>L61/E61%</f>
        <v>164.21037762501177</v>
      </c>
      <c r="P61" s="44">
        <f t="shared" si="71"/>
        <v>227.17992501577635</v>
      </c>
      <c r="Q61" s="44" t="b">
        <f t="shared" si="6"/>
        <v>1</v>
      </c>
      <c r="R61" s="44">
        <f t="shared" si="25"/>
        <v>1.8506172839506174</v>
      </c>
      <c r="S61" s="44">
        <f t="shared" si="25"/>
        <v>1.9185185185185183</v>
      </c>
      <c r="T61" s="44">
        <f t="shared" si="25"/>
        <v>1.7222222222222223</v>
      </c>
      <c r="U61" s="159">
        <f>AVERAGE(82,79)</f>
        <v>80.5</v>
      </c>
      <c r="V61" s="108">
        <f>17.21*(E61*10/1000)</f>
        <v>8.4673200000000008</v>
      </c>
      <c r="W61" s="109">
        <f>1.18*(F61*10/1000)</f>
        <v>0.33040000000000003</v>
      </c>
      <c r="X61" s="109">
        <f>55.7*(G61*10/1000)</f>
        <v>48.403300000000002</v>
      </c>
      <c r="Y61" s="44" t="b">
        <f t="shared" si="8"/>
        <v>1</v>
      </c>
      <c r="Z61" s="109">
        <f>2.1*(E61*10/1000)</f>
        <v>1.0332000000000001</v>
      </c>
      <c r="AA61" s="165">
        <f>0.01*(F61*10/1000)</f>
        <v>2.8000000000000004E-3</v>
      </c>
      <c r="AB61" s="109">
        <f>12*(G61*10/1000)</f>
        <v>10.428000000000001</v>
      </c>
      <c r="AC61" s="44" t="b">
        <f t="shared" si="9"/>
        <v>1</v>
      </c>
      <c r="AD61" s="46">
        <f t="shared" si="72"/>
        <v>0.12202208018593841</v>
      </c>
      <c r="AE61" s="46">
        <f t="shared" si="72"/>
        <v>8.4745762711864406E-3</v>
      </c>
      <c r="AF61" s="47">
        <f t="shared" si="72"/>
        <v>0.21543985637342911</v>
      </c>
      <c r="AG61" s="48">
        <f t="shared" si="73"/>
        <v>15.826653481822637</v>
      </c>
      <c r="AH61" s="108">
        <v>14.63</v>
      </c>
      <c r="AI61" s="109">
        <v>6.6</v>
      </c>
      <c r="AJ61" s="115">
        <v>65</v>
      </c>
      <c r="AK61" s="112">
        <v>0.15</v>
      </c>
      <c r="AL61" s="52"/>
      <c r="AM61" s="53"/>
      <c r="AN61" s="108">
        <f>4.93*$P$108</f>
        <v>11.2897</v>
      </c>
      <c r="AO61" s="109">
        <f>0.5*$P$108</f>
        <v>1.145</v>
      </c>
      <c r="AP61" s="115">
        <f>12.3*$P$108</f>
        <v>28.167000000000002</v>
      </c>
      <c r="AQ61" s="108">
        <f>2.67*$P$109</f>
        <v>3.2173500000000002</v>
      </c>
      <c r="AR61" s="109">
        <f>0.92*$P$109</f>
        <v>1.1086</v>
      </c>
      <c r="AS61" s="115">
        <f>6.9*$P$109</f>
        <v>8.3145000000000007</v>
      </c>
      <c r="AT61" s="125">
        <v>0.57564000000000004</v>
      </c>
      <c r="AU61" s="117">
        <v>17.692320000000002</v>
      </c>
      <c r="AV61" s="117">
        <v>160.93320000000003</v>
      </c>
      <c r="AW61" s="117">
        <v>0.44280000000000003</v>
      </c>
      <c r="AX61" s="117">
        <v>10.1844</v>
      </c>
      <c r="AY61" s="117">
        <v>23.960400000000003</v>
      </c>
      <c r="AZ61" s="117">
        <v>300.61200000000002</v>
      </c>
      <c r="BA61" s="117"/>
      <c r="BB61" s="43"/>
    </row>
    <row r="62" spans="1:54" x14ac:dyDescent="0.25">
      <c r="A62" s="70" t="s">
        <v>486</v>
      </c>
      <c r="B62" s="63"/>
      <c r="C62" s="399" t="s">
        <v>430</v>
      </c>
      <c r="D62" s="64" t="s">
        <v>434</v>
      </c>
      <c r="E62" s="108">
        <v>56.6</v>
      </c>
      <c r="F62" s="109">
        <v>36.1</v>
      </c>
      <c r="G62" s="115">
        <v>74.7</v>
      </c>
      <c r="H62" s="108">
        <v>23.9</v>
      </c>
      <c r="I62" s="109">
        <v>15.7</v>
      </c>
      <c r="J62" s="115">
        <v>32.700000000000003</v>
      </c>
      <c r="K62" s="92">
        <f>H62*10/$G$90</f>
        <v>129.14609739826551</v>
      </c>
      <c r="L62" s="75">
        <f>I62*10/$I$90</f>
        <v>81.833976833976834</v>
      </c>
      <c r="M62" s="75">
        <f>J62*10/$H$90</f>
        <v>189.87096774193546</v>
      </c>
      <c r="N62" s="44">
        <f t="shared" si="71"/>
        <v>228.17331695806624</v>
      </c>
      <c r="O62" s="44">
        <f t="shared" si="71"/>
        <v>226.68691643760897</v>
      </c>
      <c r="P62" s="44">
        <f t="shared" si="71"/>
        <v>254.17800233190826</v>
      </c>
      <c r="Q62" s="44" t="b">
        <f t="shared" si="6"/>
        <v>1</v>
      </c>
      <c r="R62" s="44">
        <f t="shared" si="25"/>
        <v>1.8506172839506172</v>
      </c>
      <c r="S62" s="44">
        <f t="shared" si="25"/>
        <v>1.9185185185185185</v>
      </c>
      <c r="T62" s="44">
        <f t="shared" si="25"/>
        <v>1.7222222222222225</v>
      </c>
      <c r="U62" s="159">
        <f>AVERAGE(80,79)</f>
        <v>79.5</v>
      </c>
      <c r="V62" s="108">
        <f>13.77*(E62*10/1000)</f>
        <v>7.7938199999999993</v>
      </c>
      <c r="W62" s="109">
        <f>0.89*(F62*10/1000)</f>
        <v>0.32129000000000002</v>
      </c>
      <c r="X62" s="109">
        <f>52.3*(G62*10/1000)</f>
        <v>39.068100000000001</v>
      </c>
      <c r="Y62" s="44" t="b">
        <f t="shared" si="8"/>
        <v>1</v>
      </c>
      <c r="Z62" s="109">
        <f>0.77*(E62*10/1000)</f>
        <v>0.43581999999999999</v>
      </c>
      <c r="AA62" s="165">
        <f>0.01*(F62*10/1000)</f>
        <v>3.6099999999999999E-3</v>
      </c>
      <c r="AB62" s="109">
        <f>7.45*(G62*10/1000)</f>
        <v>5.56515</v>
      </c>
      <c r="AC62" s="44" t="b">
        <f t="shared" si="9"/>
        <v>1</v>
      </c>
      <c r="AD62" s="46">
        <f t="shared" si="72"/>
        <v>5.5918663761801018E-2</v>
      </c>
      <c r="AE62" s="46">
        <f t="shared" si="72"/>
        <v>1.1235955056179775E-2</v>
      </c>
      <c r="AF62" s="47">
        <f t="shared" si="72"/>
        <v>0.1424474187380497</v>
      </c>
      <c r="AG62" s="48">
        <f t="shared" si="73"/>
        <v>16.570320766744103</v>
      </c>
      <c r="AH62" s="108">
        <v>13.5</v>
      </c>
      <c r="AI62" s="109">
        <v>9.1</v>
      </c>
      <c r="AJ62" s="115">
        <v>45.1</v>
      </c>
      <c r="AK62" s="112">
        <v>0.1</v>
      </c>
      <c r="AL62" s="52"/>
      <c r="AM62" s="53"/>
      <c r="AN62" s="108">
        <f>1.85*$P$108</f>
        <v>4.2365000000000004</v>
      </c>
      <c r="AO62" s="109">
        <f>1.4*$P$108</f>
        <v>3.206</v>
      </c>
      <c r="AP62" s="115">
        <f>2.6*$P$108</f>
        <v>5.9540000000000006</v>
      </c>
      <c r="AQ62" s="108">
        <f>4.21*$P$109</f>
        <v>5.0730500000000003</v>
      </c>
      <c r="AR62" s="109">
        <f>2.4*$P$109</f>
        <v>2.8919999999999999</v>
      </c>
      <c r="AS62" s="115">
        <f>7.8*$P$109</f>
        <v>9.3990000000000009</v>
      </c>
      <c r="AT62" s="125">
        <v>0.11320000000000001</v>
      </c>
      <c r="AU62" s="117">
        <v>10.188000000000001</v>
      </c>
      <c r="AV62" s="117">
        <v>27.734000000000002</v>
      </c>
      <c r="AW62" s="117">
        <v>3.3959999999999997E-2</v>
      </c>
      <c r="AX62" s="117">
        <v>6.7920000000000007</v>
      </c>
      <c r="AY62" s="117">
        <v>33.96</v>
      </c>
      <c r="AZ62" s="117">
        <v>92.25800000000001</v>
      </c>
      <c r="BA62" s="117">
        <v>2.83</v>
      </c>
      <c r="BB62" s="43"/>
    </row>
    <row r="63" spans="1:54" x14ac:dyDescent="0.25">
      <c r="A63" s="70" t="s">
        <v>487</v>
      </c>
      <c r="B63" s="63"/>
      <c r="C63" s="399" t="s">
        <v>430</v>
      </c>
      <c r="D63" s="64" t="s">
        <v>434</v>
      </c>
      <c r="E63" s="108">
        <v>62.29</v>
      </c>
      <c r="F63" s="109">
        <v>37.5</v>
      </c>
      <c r="G63" s="115">
        <v>94.7</v>
      </c>
      <c r="H63" s="108">
        <v>29.3</v>
      </c>
      <c r="I63" s="109">
        <v>15.1</v>
      </c>
      <c r="J63" s="115">
        <v>58.2</v>
      </c>
      <c r="K63" s="92">
        <f>H63*10/$G$90</f>
        <v>158.32555036691127</v>
      </c>
      <c r="L63" s="75">
        <f>I63*10/$I$90</f>
        <v>78.706563706563713</v>
      </c>
      <c r="M63" s="75">
        <f>J63*10/$H$90</f>
        <v>337.93548387096774</v>
      </c>
      <c r="N63" s="44">
        <f t="shared" si="71"/>
        <v>254.17490827887505</v>
      </c>
      <c r="O63" s="44">
        <f t="shared" si="71"/>
        <v>209.88416988416989</v>
      </c>
      <c r="P63" s="44">
        <f t="shared" si="71"/>
        <v>356.84845181728377</v>
      </c>
      <c r="Q63" s="44" t="b">
        <f t="shared" si="6"/>
        <v>1</v>
      </c>
      <c r="R63" s="44">
        <f t="shared" si="25"/>
        <v>1.8506172839506172</v>
      </c>
      <c r="S63" s="44">
        <f t="shared" si="25"/>
        <v>1.9185185185185183</v>
      </c>
      <c r="T63" s="44">
        <f t="shared" si="25"/>
        <v>1.7222222222222223</v>
      </c>
      <c r="U63" s="159">
        <f>AVERAGE(52,77)</f>
        <v>64.5</v>
      </c>
      <c r="V63" s="108">
        <f>13.9*(E63*10/1000)</f>
        <v>8.6583100000000002</v>
      </c>
      <c r="W63" s="109">
        <f>1.1*(F63*10/1000)</f>
        <v>0.41250000000000003</v>
      </c>
      <c r="X63" s="109">
        <f>43.2*(G63*10/1000)</f>
        <v>40.910400000000003</v>
      </c>
      <c r="Y63" s="44" t="b">
        <f t="shared" si="8"/>
        <v>1</v>
      </c>
      <c r="Z63" s="109">
        <f>0.1*(E63*10/1000)</f>
        <v>6.2290000000000005E-2</v>
      </c>
      <c r="AA63" s="165">
        <f>0.01*(F63*10/1000)</f>
        <v>3.7499999999999999E-3</v>
      </c>
      <c r="AB63" s="109">
        <f>0.26*(G63*10/1000)</f>
        <v>0.24621999999999999</v>
      </c>
      <c r="AC63" s="44" t="b">
        <f t="shared" si="9"/>
        <v>1</v>
      </c>
      <c r="AD63" s="46">
        <f t="shared" si="72"/>
        <v>7.1942446043165471E-3</v>
      </c>
      <c r="AE63" s="46">
        <f t="shared" si="72"/>
        <v>9.0909090909090905E-3</v>
      </c>
      <c r="AF63" s="47">
        <f t="shared" si="72"/>
        <v>6.0185185185185177E-3</v>
      </c>
      <c r="AG63" s="48">
        <f t="shared" si="73"/>
        <v>18.285964624379499</v>
      </c>
      <c r="AH63" s="108">
        <v>13.07</v>
      </c>
      <c r="AI63" s="109">
        <v>7.6</v>
      </c>
      <c r="AJ63" s="115">
        <v>35.4</v>
      </c>
      <c r="AK63" s="112">
        <v>0.1</v>
      </c>
      <c r="AL63" s="52"/>
      <c r="AM63" s="53"/>
      <c r="AN63" s="108">
        <f>3.23*$P$108</f>
        <v>7.3967000000000001</v>
      </c>
      <c r="AO63" s="109">
        <f>2.4*$P$108</f>
        <v>5.4959999999999996</v>
      </c>
      <c r="AP63" s="115">
        <f>5.54*$P$108</f>
        <v>12.6866</v>
      </c>
      <c r="AQ63" s="108">
        <f>9.3*$P$109</f>
        <v>11.206500000000002</v>
      </c>
      <c r="AR63" s="109">
        <f>4.9*$P$109</f>
        <v>5.9045000000000005</v>
      </c>
      <c r="AS63" s="115">
        <f>11.1*$P$109</f>
        <v>13.375500000000001</v>
      </c>
      <c r="AT63" s="125">
        <v>0.18686999999999998</v>
      </c>
      <c r="AU63" s="117">
        <v>15.261050000000001</v>
      </c>
      <c r="AV63" s="117">
        <v>47.340400000000002</v>
      </c>
      <c r="AW63" s="117">
        <v>6.2289999999999998E-2</v>
      </c>
      <c r="AX63" s="117">
        <v>9.9664000000000001</v>
      </c>
      <c r="AY63" s="117">
        <v>47.963299999999997</v>
      </c>
      <c r="AZ63" s="117">
        <v>125.8258</v>
      </c>
      <c r="BA63" s="117">
        <v>4.3602999999999996</v>
      </c>
      <c r="BB63" s="43"/>
    </row>
    <row r="64" spans="1:54" x14ac:dyDescent="0.25">
      <c r="A64" s="70" t="s">
        <v>488</v>
      </c>
      <c r="B64" s="63"/>
      <c r="C64" s="399" t="s">
        <v>430</v>
      </c>
      <c r="D64" s="144" t="s">
        <v>434</v>
      </c>
      <c r="E64" s="84">
        <f>AVERAGE(E62:E63)</f>
        <v>59.445</v>
      </c>
      <c r="F64" s="85">
        <f t="shared" ref="F64:J64" si="78">AVERAGE(F62:F63)</f>
        <v>36.799999999999997</v>
      </c>
      <c r="G64" s="91">
        <f t="shared" si="78"/>
        <v>84.7</v>
      </c>
      <c r="H64" s="84">
        <f t="shared" si="78"/>
        <v>26.6</v>
      </c>
      <c r="I64" s="85">
        <f t="shared" si="78"/>
        <v>15.399999999999999</v>
      </c>
      <c r="J64" s="91">
        <f t="shared" si="78"/>
        <v>45.45</v>
      </c>
      <c r="K64" s="92">
        <f>H64*10/$G$90</f>
        <v>143.73582388258839</v>
      </c>
      <c r="L64" s="75">
        <f>I64*10/$I$90</f>
        <v>80.270270270270274</v>
      </c>
      <c r="M64" s="75">
        <f>J64*10/$H$90</f>
        <v>263.90322580645159</v>
      </c>
      <c r="N64" s="44">
        <f t="shared" si="71"/>
        <v>241.79632245367716</v>
      </c>
      <c r="O64" s="44">
        <f t="shared" si="71"/>
        <v>218.12573443008228</v>
      </c>
      <c r="P64" s="44">
        <f t="shared" si="71"/>
        <v>311.5740564420916</v>
      </c>
      <c r="Q64" s="44" t="b">
        <f t="shared" si="6"/>
        <v>1</v>
      </c>
      <c r="R64" s="44">
        <f t="shared" si="25"/>
        <v>1.8506172839506172</v>
      </c>
      <c r="S64" s="44">
        <f t="shared" si="25"/>
        <v>1.9185185185185185</v>
      </c>
      <c r="T64" s="44">
        <f t="shared" si="25"/>
        <v>1.7222222222222223</v>
      </c>
      <c r="U64" s="159">
        <f>AVERAGE(80,55)</f>
        <v>67.5</v>
      </c>
      <c r="V64" s="84">
        <f t="shared" ref="V64:AB64" si="79">AVERAGE(V62:V63)</f>
        <v>8.2260650000000002</v>
      </c>
      <c r="W64" s="85">
        <f t="shared" si="79"/>
        <v>0.36689500000000003</v>
      </c>
      <c r="X64" s="85">
        <f t="shared" si="79"/>
        <v>39.989249999999998</v>
      </c>
      <c r="Y64" s="44" t="b">
        <f t="shared" si="8"/>
        <v>1</v>
      </c>
      <c r="Z64" s="85">
        <f t="shared" si="79"/>
        <v>0.249055</v>
      </c>
      <c r="AA64" s="166">
        <f t="shared" si="79"/>
        <v>3.6800000000000001E-3</v>
      </c>
      <c r="AB64" s="85">
        <f t="shared" si="79"/>
        <v>2.9056850000000001</v>
      </c>
      <c r="AC64" s="44" t="b">
        <f t="shared" si="9"/>
        <v>1</v>
      </c>
      <c r="AD64" s="46">
        <f t="shared" si="72"/>
        <v>3.0276322883419957E-2</v>
      </c>
      <c r="AE64" s="46">
        <f t="shared" si="72"/>
        <v>1.0030117608580112E-2</v>
      </c>
      <c r="AF64" s="47">
        <f t="shared" si="72"/>
        <v>7.2661652819195163E-2</v>
      </c>
      <c r="AG64" s="48">
        <f t="shared" si="73"/>
        <v>17.473217617729546</v>
      </c>
      <c r="AH64" s="84">
        <f>AVERAGE(AH62:AH63)</f>
        <v>13.285</v>
      </c>
      <c r="AI64" s="85">
        <f>AVERAGE(AI62:AI63)</f>
        <v>8.35</v>
      </c>
      <c r="AJ64" s="91">
        <f>AVERAGE(AJ62:AJ63)</f>
        <v>40.25</v>
      </c>
      <c r="AK64" s="112">
        <v>0.1</v>
      </c>
      <c r="AL64" s="52"/>
      <c r="AM64" s="53"/>
      <c r="AN64" s="84">
        <f t="shared" ref="AN64:AS64" si="80">AVERAGE(AN62:AN63)</f>
        <v>5.8166000000000002</v>
      </c>
      <c r="AO64" s="85">
        <f t="shared" si="80"/>
        <v>4.351</v>
      </c>
      <c r="AP64" s="91">
        <f t="shared" si="80"/>
        <v>9.3202999999999996</v>
      </c>
      <c r="AQ64" s="84">
        <f t="shared" si="80"/>
        <v>8.1397750000000002</v>
      </c>
      <c r="AR64" s="85">
        <f t="shared" si="80"/>
        <v>4.39825</v>
      </c>
      <c r="AS64" s="91">
        <f t="shared" si="80"/>
        <v>11.387250000000002</v>
      </c>
      <c r="AT64" s="125">
        <v>5.9445000000000005E-2</v>
      </c>
      <c r="AU64" s="117">
        <v>11.65122</v>
      </c>
      <c r="AV64" s="117">
        <v>28.117484999999999</v>
      </c>
      <c r="AW64" s="117"/>
      <c r="AX64" s="117">
        <v>7.6089600000000006</v>
      </c>
      <c r="AY64" s="117">
        <v>27.285254999999996</v>
      </c>
      <c r="AZ64" s="117">
        <v>67.351185000000001</v>
      </c>
      <c r="BA64" s="117"/>
      <c r="BB64" s="43"/>
    </row>
    <row r="65" spans="1:54" s="37" customFormat="1" x14ac:dyDescent="0.25">
      <c r="A65" s="24" t="s">
        <v>489</v>
      </c>
      <c r="B65" s="25"/>
      <c r="C65" s="26"/>
      <c r="D65" s="27"/>
      <c r="E65" s="28"/>
      <c r="F65" s="29"/>
      <c r="G65" s="30"/>
      <c r="H65" s="28"/>
      <c r="I65" s="29"/>
      <c r="J65" s="30"/>
      <c r="K65" s="28"/>
      <c r="L65" s="29"/>
      <c r="M65" s="29"/>
      <c r="N65" s="31"/>
      <c r="O65" s="31"/>
      <c r="P65" s="31"/>
      <c r="Q65" s="44" t="b">
        <f t="shared" si="6"/>
        <v>1</v>
      </c>
      <c r="R65" s="31"/>
      <c r="S65" s="31"/>
      <c r="T65" s="31"/>
      <c r="U65" s="32"/>
      <c r="V65" s="28"/>
      <c r="W65" s="29"/>
      <c r="X65" s="29"/>
      <c r="Y65" s="44" t="b">
        <f t="shared" si="8"/>
        <v>1</v>
      </c>
      <c r="Z65" s="29"/>
      <c r="AA65" s="29"/>
      <c r="AB65" s="29"/>
      <c r="AC65" s="44" t="b">
        <f t="shared" si="9"/>
        <v>1</v>
      </c>
      <c r="AD65" s="29"/>
      <c r="AE65" s="29"/>
      <c r="AF65" s="30"/>
      <c r="AG65" s="127"/>
      <c r="AH65" s="28"/>
      <c r="AI65" s="29"/>
      <c r="AJ65" s="30"/>
      <c r="AK65" s="78"/>
      <c r="AL65" s="79"/>
      <c r="AM65" s="80"/>
      <c r="AN65" s="28"/>
      <c r="AO65" s="29"/>
      <c r="AP65" s="30"/>
      <c r="AQ65" s="28"/>
      <c r="AR65" s="29"/>
      <c r="AS65" s="30"/>
      <c r="AT65" s="28"/>
      <c r="AU65" s="29"/>
      <c r="AV65" s="29"/>
      <c r="AW65" s="29"/>
      <c r="AX65" s="29"/>
      <c r="AY65" s="29"/>
      <c r="AZ65" s="29"/>
      <c r="BA65" s="29"/>
      <c r="BB65" s="30"/>
    </row>
    <row r="66" spans="1:54" x14ac:dyDescent="0.25">
      <c r="A66" s="70" t="s">
        <v>490</v>
      </c>
      <c r="B66" s="63"/>
      <c r="C66" s="399" t="s">
        <v>430</v>
      </c>
      <c r="D66" s="64" t="s">
        <v>426</v>
      </c>
      <c r="E66" s="120">
        <v>2</v>
      </c>
      <c r="F66" s="121">
        <v>1</v>
      </c>
      <c r="G66" s="122">
        <v>5.2</v>
      </c>
      <c r="H66" s="59">
        <v>1.8</v>
      </c>
      <c r="I66" s="60">
        <v>0.96</v>
      </c>
      <c r="J66" s="45">
        <v>3.7</v>
      </c>
      <c r="K66" s="84">
        <f t="shared" ref="K66:K67" si="81">N66*E66%</f>
        <v>7.68</v>
      </c>
      <c r="L66" s="75">
        <f>I66*10/$G$86</f>
        <v>5.333333333333333</v>
      </c>
      <c r="M66" s="75">
        <f>J66*10/$G$86</f>
        <v>20.555555555555554</v>
      </c>
      <c r="N66" s="74">
        <f>G97</f>
        <v>384</v>
      </c>
      <c r="O66" s="44">
        <f>L66/E66%</f>
        <v>266.66666666666663</v>
      </c>
      <c r="P66" s="44">
        <f>M66/G66%</f>
        <v>395.29914529914521</v>
      </c>
      <c r="Q66" s="44" t="b">
        <f t="shared" si="6"/>
        <v>1</v>
      </c>
      <c r="R66" s="44">
        <f t="shared" si="25"/>
        <v>2.34375</v>
      </c>
      <c r="S66" s="44">
        <f t="shared" si="25"/>
        <v>1.8</v>
      </c>
      <c r="T66" s="44">
        <f t="shared" si="25"/>
        <v>1.8000000000000003</v>
      </c>
      <c r="U66" s="45">
        <v>57</v>
      </c>
      <c r="V66" s="108">
        <f>57.1*(E66*10/1000)</f>
        <v>1.1420000000000001</v>
      </c>
      <c r="W66" s="109">
        <v>0.6</v>
      </c>
      <c r="X66" s="109">
        <v>4.0999999999999996</v>
      </c>
      <c r="Y66" s="44" t="b">
        <f t="shared" si="8"/>
        <v>1</v>
      </c>
      <c r="Z66" s="109">
        <f>18.6*(E66*10/1000)</f>
        <v>0.37200000000000005</v>
      </c>
      <c r="AA66" s="85">
        <f>W66*AD66</f>
        <v>0.19544658493870404</v>
      </c>
      <c r="AB66" s="85">
        <f>X66*AD66</f>
        <v>1.3355516637478109</v>
      </c>
      <c r="AC66" s="44" t="b">
        <f t="shared" si="9"/>
        <v>1</v>
      </c>
      <c r="AD66" s="46">
        <f t="shared" ref="AD66:AF70" si="82">Z66/V66</f>
        <v>0.3257443082311734</v>
      </c>
      <c r="AE66" s="46">
        <f t="shared" si="82"/>
        <v>0.3257443082311734</v>
      </c>
      <c r="AF66" s="47">
        <f t="shared" si="82"/>
        <v>0.3257443082311734</v>
      </c>
      <c r="AG66" s="48">
        <f>K66/V66</f>
        <v>6.725043782837127</v>
      </c>
      <c r="AH66" s="84">
        <f>AVERAGE(AI66:AJ66)</f>
        <v>6.9512195121951219</v>
      </c>
      <c r="AI66" s="62">
        <f>M66/X66</f>
        <v>5.0135501355013545</v>
      </c>
      <c r="AJ66" s="66">
        <f>L66/W66</f>
        <v>8.8888888888888893</v>
      </c>
      <c r="AK66" s="112">
        <v>0.5</v>
      </c>
      <c r="AL66" s="52"/>
      <c r="AM66" s="53"/>
      <c r="AN66" s="108">
        <f>0.7*$P$108</f>
        <v>1.603</v>
      </c>
      <c r="AO66" s="109">
        <f>0.2*$P$108</f>
        <v>0.45800000000000002</v>
      </c>
      <c r="AP66" s="115">
        <f>2.1*$P$108</f>
        <v>4.8090000000000002</v>
      </c>
      <c r="AQ66" s="108">
        <f>0.14*$P$109</f>
        <v>0.16870000000000002</v>
      </c>
      <c r="AR66" s="109">
        <f>0.07*$P$109</f>
        <v>8.4350000000000008E-2</v>
      </c>
      <c r="AS66" s="115">
        <f>0.6*$P$109</f>
        <v>0.72299999999999998</v>
      </c>
      <c r="AT66" s="125">
        <v>5.6211999999999998E-2</v>
      </c>
      <c r="AU66" s="117">
        <v>1.613612</v>
      </c>
      <c r="AV66" s="117">
        <v>19.531356000000002</v>
      </c>
      <c r="AW66" s="117">
        <v>3.9831999999999999E-2</v>
      </c>
      <c r="AX66" s="117">
        <v>1.1109800000000001</v>
      </c>
      <c r="AY66" s="117">
        <v>2.1593</v>
      </c>
      <c r="AZ66" s="117">
        <v>32.912619999999997</v>
      </c>
      <c r="BA66" s="42"/>
      <c r="BB66" s="43"/>
    </row>
    <row r="67" spans="1:54" x14ac:dyDescent="0.25">
      <c r="A67" s="70" t="s">
        <v>491</v>
      </c>
      <c r="B67" s="63"/>
      <c r="C67" s="399" t="s">
        <v>430</v>
      </c>
      <c r="D67" s="64" t="s">
        <v>426</v>
      </c>
      <c r="E67" s="120">
        <v>4.2</v>
      </c>
      <c r="F67" s="121">
        <v>2.5</v>
      </c>
      <c r="G67" s="122">
        <v>7.1</v>
      </c>
      <c r="H67" s="59">
        <v>3.11</v>
      </c>
      <c r="I67" s="60">
        <v>2.5</v>
      </c>
      <c r="J67" s="45">
        <v>3.6</v>
      </c>
      <c r="K67" s="84">
        <f t="shared" si="81"/>
        <v>16.128</v>
      </c>
      <c r="L67" s="75">
        <f>I67*10/$G$86</f>
        <v>13.888888888888889</v>
      </c>
      <c r="M67" s="75">
        <f>J67*10/$G$86</f>
        <v>20</v>
      </c>
      <c r="N67" s="74">
        <f>G97</f>
        <v>384</v>
      </c>
      <c r="O67" s="44">
        <f>L67/E67%</f>
        <v>330.68783068783068</v>
      </c>
      <c r="P67" s="44">
        <f>M67/E67%</f>
        <v>476.19047619047615</v>
      </c>
      <c r="Q67" s="44" t="b">
        <f t="shared" si="6"/>
        <v>1</v>
      </c>
      <c r="R67" s="44">
        <f t="shared" si="25"/>
        <v>1.9283234126984126</v>
      </c>
      <c r="S67" s="44">
        <f t="shared" si="25"/>
        <v>1.8</v>
      </c>
      <c r="T67" s="44">
        <f t="shared" si="25"/>
        <v>1.8</v>
      </c>
      <c r="U67" s="45">
        <v>52</v>
      </c>
      <c r="V67" s="108">
        <f>70.6*(E67*10/1000)</f>
        <v>2.9651999999999998</v>
      </c>
      <c r="W67" s="109">
        <f>64*(F67*10/1000)</f>
        <v>1.6</v>
      </c>
      <c r="X67" s="109">
        <f>77.3*(G67*10/1000)</f>
        <v>5.4882999999999997</v>
      </c>
      <c r="Y67" s="44" t="b">
        <f t="shared" si="8"/>
        <v>1</v>
      </c>
      <c r="Z67" s="109">
        <f>6.5*(E67*10/1000)</f>
        <v>0.27300000000000002</v>
      </c>
      <c r="AA67" s="109">
        <f>3.3*(F67*10/1000)</f>
        <v>8.2500000000000004E-2</v>
      </c>
      <c r="AB67" s="109">
        <f>9.6*(G67*10/1000)</f>
        <v>0.68159999999999987</v>
      </c>
      <c r="AC67" s="44" t="b">
        <f t="shared" si="9"/>
        <v>1</v>
      </c>
      <c r="AD67" s="46">
        <f t="shared" si="82"/>
        <v>9.2067988668555256E-2</v>
      </c>
      <c r="AE67" s="46">
        <f t="shared" si="82"/>
        <v>5.1562499999999997E-2</v>
      </c>
      <c r="AF67" s="47">
        <f t="shared" si="82"/>
        <v>0.1241914618369987</v>
      </c>
      <c r="AG67" s="48">
        <f>K67/V67</f>
        <v>5.4390934844192635</v>
      </c>
      <c r="AH67" s="84">
        <f>AVERAGE(AI67:AJ67)</f>
        <v>6.1623356098933693</v>
      </c>
      <c r="AI67" s="62">
        <f>M67/X67</f>
        <v>3.6441156642311827</v>
      </c>
      <c r="AJ67" s="66">
        <f>L67/W67</f>
        <v>8.6805555555555554</v>
      </c>
      <c r="AK67" s="112">
        <v>0.45</v>
      </c>
      <c r="AL67" s="52"/>
      <c r="AM67" s="53"/>
      <c r="AN67" s="108">
        <f>1.18*$P$108</f>
        <v>2.7021999999999999</v>
      </c>
      <c r="AO67" s="109">
        <f>0.92*$P$108</f>
        <v>2.1068000000000002</v>
      </c>
      <c r="AP67" s="115">
        <f>1.4*$P$108</f>
        <v>3.206</v>
      </c>
      <c r="AQ67" s="108">
        <f>0.43*$P$109</f>
        <v>0.51815</v>
      </c>
      <c r="AR67" s="109">
        <f>0.21*$P$109</f>
        <v>0.25305</v>
      </c>
      <c r="AS67" s="115">
        <f>0.57*$P$109</f>
        <v>0.68684999999999996</v>
      </c>
      <c r="AT67" s="125">
        <v>5.4590499999999993E-2</v>
      </c>
      <c r="AU67" s="117">
        <v>1.5670655</v>
      </c>
      <c r="AV67" s="117">
        <v>18.967951499999998</v>
      </c>
      <c r="AW67" s="117">
        <v>3.8683000000000002E-2</v>
      </c>
      <c r="AX67" s="117">
        <v>1.0789324999999999</v>
      </c>
      <c r="AY67" s="117">
        <v>2.0970124999999999</v>
      </c>
      <c r="AZ67" s="117">
        <v>31.963217499999995</v>
      </c>
      <c r="BA67" s="42"/>
      <c r="BB67" s="43"/>
    </row>
    <row r="68" spans="1:54" x14ac:dyDescent="0.25">
      <c r="A68" s="70" t="s">
        <v>492</v>
      </c>
      <c r="B68" s="63"/>
      <c r="C68" s="399" t="s">
        <v>430</v>
      </c>
      <c r="D68" s="64" t="s">
        <v>434</v>
      </c>
      <c r="E68" s="120">
        <v>25</v>
      </c>
      <c r="F68" s="121">
        <v>10</v>
      </c>
      <c r="G68" s="122">
        <v>40</v>
      </c>
      <c r="H68" s="84">
        <f>K68*$G$86/10</f>
        <v>9.9450000000000003</v>
      </c>
      <c r="I68" s="85">
        <f>L68*$G$86/10</f>
        <v>3.1859999999999999</v>
      </c>
      <c r="J68" s="91">
        <f>M68*$G$86/10</f>
        <v>21.167999999999999</v>
      </c>
      <c r="K68" s="108">
        <f>22.1%*E68%*1000</f>
        <v>55.25</v>
      </c>
      <c r="L68" s="109">
        <f>17.7%*F68%*1000</f>
        <v>17.7</v>
      </c>
      <c r="M68" s="109">
        <f>29.4%*G68%*1000</f>
        <v>117.6</v>
      </c>
      <c r="N68" s="44">
        <f t="shared" ref="N68:P69" si="83">K68/E68%</f>
        <v>221</v>
      </c>
      <c r="O68" s="44">
        <f t="shared" si="83"/>
        <v>176.99999999999997</v>
      </c>
      <c r="P68" s="44">
        <f t="shared" si="83"/>
        <v>293.99999999999994</v>
      </c>
      <c r="Q68" s="44" t="b">
        <f t="shared" si="6"/>
        <v>1</v>
      </c>
      <c r="R68" s="44">
        <f t="shared" si="25"/>
        <v>1.8</v>
      </c>
      <c r="S68" s="44">
        <f t="shared" si="25"/>
        <v>1.8</v>
      </c>
      <c r="T68" s="44">
        <f t="shared" si="25"/>
        <v>1.8</v>
      </c>
      <c r="U68" s="45">
        <f>AVERAGE(45,52)</f>
        <v>48.5</v>
      </c>
      <c r="V68" s="108">
        <f>20.8*(E68*10/1000)</f>
        <v>5.2</v>
      </c>
      <c r="W68" s="109">
        <f>16.1*(F68*10/1000)</f>
        <v>1.6100000000000003</v>
      </c>
      <c r="X68" s="109">
        <f>26.5*(G68*10/1000)</f>
        <v>10.600000000000001</v>
      </c>
      <c r="Y68" s="44" t="b">
        <f t="shared" si="8"/>
        <v>1</v>
      </c>
      <c r="Z68" s="109">
        <f>0.3*(E68*10/1000)</f>
        <v>7.4999999999999997E-2</v>
      </c>
      <c r="AA68" s="109">
        <f>0.1*(F68*10/1000)</f>
        <v>1.0000000000000002E-2</v>
      </c>
      <c r="AB68" s="109">
        <f>0.4*(G68*10/1000)</f>
        <v>0.16000000000000003</v>
      </c>
      <c r="AC68" s="44" t="b">
        <f t="shared" si="9"/>
        <v>1</v>
      </c>
      <c r="AD68" s="46">
        <f t="shared" si="82"/>
        <v>1.4423076923076922E-2</v>
      </c>
      <c r="AE68" s="46">
        <f t="shared" si="82"/>
        <v>6.2111801242236021E-3</v>
      </c>
      <c r="AF68" s="47">
        <f t="shared" si="82"/>
        <v>1.509433962264151E-2</v>
      </c>
      <c r="AG68" s="48">
        <f>K68/V68</f>
        <v>10.625</v>
      </c>
      <c r="AH68" s="84">
        <f>AVERAGE(AI68:AJ68)</f>
        <v>11.04406422125864</v>
      </c>
      <c r="AI68" s="49">
        <f>L68/W68</f>
        <v>10.993788819875773</v>
      </c>
      <c r="AJ68" s="50">
        <f>M68/X68</f>
        <v>11.094339622641508</v>
      </c>
      <c r="AK68" s="112">
        <v>0.35</v>
      </c>
      <c r="AL68" s="113">
        <v>0.25</v>
      </c>
      <c r="AM68" s="53"/>
      <c r="AN68" s="108">
        <f>5.19*$P$108</f>
        <v>11.885100000000001</v>
      </c>
      <c r="AO68" s="109">
        <f>2.3*$P$108</f>
        <v>5.2669999999999995</v>
      </c>
      <c r="AP68" s="115">
        <f>9.6*$P$108</f>
        <v>21.983999999999998</v>
      </c>
      <c r="AQ68" s="108">
        <f>0.78*$P$109</f>
        <v>0.93990000000000007</v>
      </c>
      <c r="AR68" s="109">
        <f>0.3*$P$109</f>
        <v>0.36149999999999999</v>
      </c>
      <c r="AS68" s="115">
        <f>1.6*$P$109</f>
        <v>1.9280000000000002</v>
      </c>
      <c r="AT68" s="125">
        <v>0.27024999999999999</v>
      </c>
      <c r="AU68" s="117">
        <v>7.7577499999999997</v>
      </c>
      <c r="AV68" s="117">
        <v>93.900750000000002</v>
      </c>
      <c r="AW68" s="117">
        <v>0.19149999999999998</v>
      </c>
      <c r="AX68" s="117">
        <v>5.3412499999999996</v>
      </c>
      <c r="AY68" s="117">
        <v>10.38125</v>
      </c>
      <c r="AZ68" s="117">
        <v>158.23374999999999</v>
      </c>
      <c r="BA68" s="42"/>
      <c r="BB68" s="43"/>
    </row>
    <row r="69" spans="1:54" x14ac:dyDescent="0.25">
      <c r="A69" s="70" t="s">
        <v>493</v>
      </c>
      <c r="B69" s="63"/>
      <c r="C69" s="399" t="s">
        <v>430</v>
      </c>
      <c r="D69" s="64" t="s">
        <v>426</v>
      </c>
      <c r="E69" s="120">
        <v>25.2</v>
      </c>
      <c r="F69" s="121">
        <v>16</v>
      </c>
      <c r="G69" s="122">
        <v>38</v>
      </c>
      <c r="H69" s="59">
        <v>10</v>
      </c>
      <c r="I69" s="60">
        <v>8</v>
      </c>
      <c r="J69" s="45">
        <v>11.5</v>
      </c>
      <c r="K69" s="92">
        <f>H69*10/$G$86</f>
        <v>55.555555555555557</v>
      </c>
      <c r="L69" s="75">
        <f t="shared" ref="L69:M69" si="84">I69*10/$G$86</f>
        <v>44.444444444444443</v>
      </c>
      <c r="M69" s="75">
        <f t="shared" si="84"/>
        <v>63.888888888888886</v>
      </c>
      <c r="N69" s="44">
        <f t="shared" si="83"/>
        <v>220.45855379188714</v>
      </c>
      <c r="O69" s="44">
        <f>L69/G69%</f>
        <v>116.95906432748538</v>
      </c>
      <c r="P69" s="44">
        <f>M69/F69%</f>
        <v>399.30555555555554</v>
      </c>
      <c r="Q69" s="44" t="b">
        <f t="shared" si="6"/>
        <v>1</v>
      </c>
      <c r="R69" s="44">
        <f t="shared" si="25"/>
        <v>1.8</v>
      </c>
      <c r="S69" s="44">
        <f t="shared" si="25"/>
        <v>1.8</v>
      </c>
      <c r="T69" s="44">
        <f t="shared" si="25"/>
        <v>1.8</v>
      </c>
      <c r="U69" s="45">
        <v>45</v>
      </c>
      <c r="V69" s="108">
        <v>9</v>
      </c>
      <c r="W69" s="109">
        <v>7.4</v>
      </c>
      <c r="X69" s="109">
        <v>12.8</v>
      </c>
      <c r="Y69" s="44" t="b">
        <f t="shared" si="8"/>
        <v>1</v>
      </c>
      <c r="Z69" s="157">
        <f>5%*V69</f>
        <v>0.45</v>
      </c>
      <c r="AA69" s="157">
        <f>5%*W69</f>
        <v>0.37000000000000005</v>
      </c>
      <c r="AB69" s="157">
        <f>5%*X69</f>
        <v>0.64000000000000012</v>
      </c>
      <c r="AC69" s="44" t="b">
        <f t="shared" si="9"/>
        <v>1</v>
      </c>
      <c r="AD69" s="46">
        <f t="shared" si="82"/>
        <v>0.05</v>
      </c>
      <c r="AE69" s="46">
        <f t="shared" si="82"/>
        <v>0.05</v>
      </c>
      <c r="AF69" s="47">
        <f t="shared" si="82"/>
        <v>5.000000000000001E-2</v>
      </c>
      <c r="AG69" s="48">
        <f>K69/V69</f>
        <v>6.1728395061728394</v>
      </c>
      <c r="AH69" s="84">
        <f>AVERAGE(AI69:AJ69)</f>
        <v>5.4986627252252251</v>
      </c>
      <c r="AI69" s="62">
        <f>M69/X69</f>
        <v>4.9913194444444438</v>
      </c>
      <c r="AJ69" s="66">
        <f>L69/W69</f>
        <v>6.0060060060060056</v>
      </c>
      <c r="AK69" s="112">
        <v>0.35</v>
      </c>
      <c r="AL69" s="52"/>
      <c r="AM69" s="53"/>
      <c r="AN69" s="108">
        <f>3.71*$P$108</f>
        <v>8.4959000000000007</v>
      </c>
      <c r="AO69" s="109">
        <f>1.88*$P$108</f>
        <v>4.3052000000000001</v>
      </c>
      <c r="AP69" s="115">
        <f>6.02*$P$108</f>
        <v>13.7858</v>
      </c>
      <c r="AQ69" s="108">
        <f>0.71*$P$109</f>
        <v>0.85555000000000003</v>
      </c>
      <c r="AR69" s="109">
        <f>0.35*$P$109</f>
        <v>0.42175000000000001</v>
      </c>
      <c r="AS69" s="115">
        <f>1.56*$P$109</f>
        <v>1.8798000000000001</v>
      </c>
      <c r="AT69" s="125">
        <v>0.178365</v>
      </c>
      <c r="AU69" s="117">
        <v>5.1201149999999993</v>
      </c>
      <c r="AV69" s="117">
        <v>61.974494999999997</v>
      </c>
      <c r="AW69" s="117">
        <v>0.12639</v>
      </c>
      <c r="AX69" s="117">
        <v>3.5252249999999998</v>
      </c>
      <c r="AY69" s="117">
        <v>6.8516250000000003</v>
      </c>
      <c r="AZ69" s="117">
        <v>104.434275</v>
      </c>
      <c r="BA69" s="42"/>
      <c r="BB69" s="43"/>
    </row>
    <row r="70" spans="1:54" x14ac:dyDescent="0.25">
      <c r="A70" s="70" t="s">
        <v>494</v>
      </c>
      <c r="B70" s="63"/>
      <c r="C70" s="399" t="s">
        <v>430</v>
      </c>
      <c r="D70" s="64" t="s">
        <v>426</v>
      </c>
      <c r="E70" s="120">
        <f>AVERAGE(F70:G70)</f>
        <v>85</v>
      </c>
      <c r="F70" s="121">
        <v>80</v>
      </c>
      <c r="G70" s="122">
        <v>90</v>
      </c>
      <c r="H70" s="84">
        <f>K70*$G$86/10</f>
        <v>52.02</v>
      </c>
      <c r="I70" s="85">
        <f>L70*$G$86/10</f>
        <v>31.68</v>
      </c>
      <c r="J70" s="91">
        <f>M70*$G$86/10</f>
        <v>61.56</v>
      </c>
      <c r="K70" s="84">
        <f t="shared" ref="K70:M70" si="85">N70*E70%</f>
        <v>289</v>
      </c>
      <c r="L70" s="85">
        <f t="shared" si="85"/>
        <v>176</v>
      </c>
      <c r="M70" s="85">
        <f t="shared" si="85"/>
        <v>342</v>
      </c>
      <c r="N70" s="74">
        <f>G98</f>
        <v>340</v>
      </c>
      <c r="O70" s="74">
        <f>H98</f>
        <v>220</v>
      </c>
      <c r="P70" s="74">
        <f>I98</f>
        <v>380</v>
      </c>
      <c r="Q70" s="44" t="b">
        <f t="shared" ref="Q70:Q79" si="86">P70&gt;=O70</f>
        <v>1</v>
      </c>
      <c r="R70" s="44">
        <f t="shared" si="25"/>
        <v>1.8000000000000003</v>
      </c>
      <c r="S70" s="44">
        <f t="shared" si="25"/>
        <v>1.8</v>
      </c>
      <c r="T70" s="44">
        <f t="shared" si="25"/>
        <v>1.8</v>
      </c>
      <c r="U70" s="45">
        <f>AVERAGE(45,44)</f>
        <v>44.5</v>
      </c>
      <c r="V70" s="84">
        <f>AVERAGE(W70:X70)</f>
        <v>40.375</v>
      </c>
      <c r="W70" s="157">
        <f>3.5%*E70*10</f>
        <v>29.75</v>
      </c>
      <c r="X70" s="157">
        <f>6%*E70*10</f>
        <v>51</v>
      </c>
      <c r="Y70" s="44" t="b">
        <f t="shared" ref="Y70:Y79" si="87">X70&gt;=W70</f>
        <v>1</v>
      </c>
      <c r="Z70" s="157">
        <f>2%*V70</f>
        <v>0.8075</v>
      </c>
      <c r="AA70" s="157">
        <f>2%*W70</f>
        <v>0.59499999999999997</v>
      </c>
      <c r="AB70" s="157">
        <f>2%*X70</f>
        <v>1.02</v>
      </c>
      <c r="AC70" s="44" t="b">
        <f t="shared" ref="AC70:AC79" si="88">AB70&gt;=AA70</f>
        <v>1</v>
      </c>
      <c r="AD70" s="46">
        <f t="shared" si="82"/>
        <v>0.02</v>
      </c>
      <c r="AE70" s="46">
        <f t="shared" si="82"/>
        <v>0.02</v>
      </c>
      <c r="AF70" s="47">
        <f t="shared" si="82"/>
        <v>0.02</v>
      </c>
      <c r="AG70" s="48">
        <f>K70/V70</f>
        <v>7.1578947368421053</v>
      </c>
      <c r="AH70" s="84">
        <f>AVERAGE(AI70:AJ70)</f>
        <v>6.3109243697478998</v>
      </c>
      <c r="AI70" s="62">
        <f>M70/X70</f>
        <v>6.7058823529411766</v>
      </c>
      <c r="AJ70" s="66">
        <f>L70/W70</f>
        <v>5.9159663865546221</v>
      </c>
      <c r="AK70" s="112">
        <v>0.35</v>
      </c>
      <c r="AL70" s="52"/>
      <c r="AM70" s="53"/>
      <c r="AN70" s="108">
        <f>60*$P$108</f>
        <v>137.4</v>
      </c>
      <c r="AO70" s="109"/>
      <c r="AP70" s="115"/>
      <c r="AQ70" s="108">
        <f>5*$P$109</f>
        <v>6.0250000000000004</v>
      </c>
      <c r="AR70" s="109"/>
      <c r="AS70" s="115"/>
      <c r="AT70" s="125">
        <v>1.0053300000000001</v>
      </c>
      <c r="AU70" s="117">
        <v>28.858829999999998</v>
      </c>
      <c r="AV70" s="117">
        <v>349.31079</v>
      </c>
      <c r="AW70" s="117">
        <v>0.71238000000000001</v>
      </c>
      <c r="AX70" s="117">
        <v>19.869450000000001</v>
      </c>
      <c r="AY70" s="117">
        <v>38.618249999999996</v>
      </c>
      <c r="AZ70" s="117">
        <v>588.62954999999999</v>
      </c>
      <c r="BA70" s="42"/>
      <c r="BB70" s="43"/>
    </row>
    <row r="71" spans="1:54" s="37" customFormat="1" ht="16.5" customHeight="1" x14ac:dyDescent="0.25">
      <c r="A71" s="167" t="s">
        <v>495</v>
      </c>
      <c r="B71" s="25"/>
      <c r="C71" s="26"/>
      <c r="D71" s="27"/>
      <c r="E71" s="28"/>
      <c r="F71" s="29"/>
      <c r="G71" s="30"/>
      <c r="H71" s="28"/>
      <c r="I71" s="29"/>
      <c r="J71" s="30"/>
      <c r="K71" s="28"/>
      <c r="L71" s="29"/>
      <c r="M71" s="29"/>
      <c r="N71" s="31"/>
      <c r="O71" s="31"/>
      <c r="P71" s="31"/>
      <c r="Q71" s="44" t="b">
        <f t="shared" si="86"/>
        <v>1</v>
      </c>
      <c r="R71" s="31"/>
      <c r="S71" s="31"/>
      <c r="T71" s="31"/>
      <c r="U71" s="32"/>
      <c r="V71" s="28"/>
      <c r="W71" s="29"/>
      <c r="X71" s="29"/>
      <c r="Y71" s="44" t="b">
        <f t="shared" si="87"/>
        <v>1</v>
      </c>
      <c r="Z71" s="29"/>
      <c r="AA71" s="29"/>
      <c r="AB71" s="29"/>
      <c r="AC71" s="44" t="b">
        <f t="shared" si="88"/>
        <v>1</v>
      </c>
      <c r="AD71" s="29"/>
      <c r="AE71" s="29"/>
      <c r="AF71" s="30"/>
      <c r="AG71" s="127"/>
      <c r="AH71" s="28"/>
      <c r="AI71" s="29"/>
      <c r="AJ71" s="30"/>
      <c r="AK71" s="28"/>
      <c r="AL71" s="29"/>
      <c r="AM71" s="30"/>
      <c r="AN71" s="28"/>
      <c r="AO71" s="29"/>
      <c r="AP71" s="30"/>
      <c r="AQ71" s="28"/>
      <c r="AR71" s="29"/>
      <c r="AS71" s="30"/>
      <c r="AT71" s="28"/>
      <c r="AU71" s="29"/>
      <c r="AV71" s="29"/>
      <c r="AW71" s="29"/>
      <c r="AX71" s="29"/>
      <c r="AY71" s="29"/>
      <c r="AZ71" s="29"/>
      <c r="BA71" s="29"/>
      <c r="BB71" s="30"/>
    </row>
    <row r="72" spans="1:54" x14ac:dyDescent="0.25">
      <c r="A72" s="70" t="s">
        <v>496</v>
      </c>
      <c r="B72" s="63"/>
      <c r="C72" s="399" t="s">
        <v>430</v>
      </c>
      <c r="D72" s="64" t="s">
        <v>426</v>
      </c>
      <c r="E72" s="168">
        <v>95</v>
      </c>
      <c r="F72" s="85">
        <f>E72*0.97</f>
        <v>92.149999999999991</v>
      </c>
      <c r="G72" s="91">
        <f>E72*1.03</f>
        <v>97.850000000000009</v>
      </c>
      <c r="H72" s="84">
        <f t="shared" ref="H72:J79" si="89">K72*$G$90/10</f>
        <v>68.565370370370374</v>
      </c>
      <c r="I72" s="85">
        <f t="shared" si="89"/>
        <v>52.742592592592601</v>
      </c>
      <c r="J72" s="91">
        <f t="shared" si="89"/>
        <v>84.388148148148147</v>
      </c>
      <c r="K72" s="84">
        <f t="shared" ref="K72:M79" si="90">V72*$AH72</f>
        <v>370.5</v>
      </c>
      <c r="L72" s="85">
        <f t="shared" si="90"/>
        <v>285</v>
      </c>
      <c r="M72" s="85">
        <f t="shared" si="90"/>
        <v>456</v>
      </c>
      <c r="N72" s="44">
        <f t="shared" ref="N72:P79" si="91">K72/E72%</f>
        <v>390</v>
      </c>
      <c r="O72" s="44">
        <f t="shared" si="91"/>
        <v>309.27835051546396</v>
      </c>
      <c r="P72" s="44">
        <f t="shared" si="91"/>
        <v>466.01941747572812</v>
      </c>
      <c r="Q72" s="44" t="b">
        <f t="shared" si="86"/>
        <v>1</v>
      </c>
      <c r="R72" s="44">
        <f t="shared" si="25"/>
        <v>1.8506172839506174</v>
      </c>
      <c r="S72" s="44">
        <f t="shared" si="25"/>
        <v>1.8506172839506174</v>
      </c>
      <c r="T72" s="44">
        <f t="shared" si="25"/>
        <v>1.8506172839506174</v>
      </c>
      <c r="U72" s="45">
        <v>65</v>
      </c>
      <c r="V72" s="168">
        <f>AVERAGE(W72:X72)</f>
        <v>92.625</v>
      </c>
      <c r="W72" s="157">
        <f>75*(E72*10/1000)</f>
        <v>71.25</v>
      </c>
      <c r="X72" s="157">
        <f>120*(E72*10/1000)</f>
        <v>114</v>
      </c>
      <c r="Y72" s="44" t="b">
        <f t="shared" si="87"/>
        <v>1</v>
      </c>
      <c r="Z72" s="157">
        <f>AVERAGE(AA72:AB72)</f>
        <v>1.4962500000000001</v>
      </c>
      <c r="AA72" s="157">
        <f>1%*W72</f>
        <v>0.71250000000000002</v>
      </c>
      <c r="AB72" s="157">
        <f>2%*X72</f>
        <v>2.2800000000000002</v>
      </c>
      <c r="AC72" s="44" t="b">
        <f t="shared" si="88"/>
        <v>1</v>
      </c>
      <c r="AD72" s="46">
        <f>Z72/V72</f>
        <v>1.6153846153846154E-2</v>
      </c>
      <c r="AE72" s="46">
        <f>AA72/W72</f>
        <v>0.01</v>
      </c>
      <c r="AF72" s="47">
        <f>AB72/X72</f>
        <v>2.0000000000000004E-2</v>
      </c>
      <c r="AG72" s="48">
        <f t="shared" ref="AG72:AG79" si="92">K72/V72</f>
        <v>4</v>
      </c>
      <c r="AH72" s="168">
        <f>AVERAGE(AI72:AJ72)</f>
        <v>4</v>
      </c>
      <c r="AI72" s="157">
        <v>3</v>
      </c>
      <c r="AJ72" s="158">
        <v>5</v>
      </c>
      <c r="AK72" s="169">
        <f>AVERAGE(0.85, 0.82,0.7,0.66)*(V72/100)</f>
        <v>0.70163437500000003</v>
      </c>
      <c r="AL72" s="170">
        <f>MIN(0.85, 0.82,0.7,0.66)*(O72/100)</f>
        <v>2.0412371134020622</v>
      </c>
      <c r="AM72" s="171">
        <f>MAX(0.85, 0.82,0.7,0.66)*(O72/100)</f>
        <v>2.6288659793814437</v>
      </c>
      <c r="AN72" s="70">
        <f>37.2*(E72*10/1000)</f>
        <v>35.340000000000003</v>
      </c>
      <c r="AO72" s="172">
        <f>22*(F72*10/1000)</f>
        <v>20.272999999999996</v>
      </c>
      <c r="AP72" s="173">
        <f>66.1*(G72*10/1000)</f>
        <v>64.678850000000011</v>
      </c>
      <c r="AQ72" s="70">
        <f>8.4*(E72*10/1000)</f>
        <v>7.9799999999999995</v>
      </c>
      <c r="AR72" s="172">
        <f>3.15*(F72*10/1000)</f>
        <v>2.9027249999999993</v>
      </c>
      <c r="AS72" s="173">
        <f>13.3*(G72*10/1000)</f>
        <v>13.014050000000003</v>
      </c>
      <c r="AT72" s="125">
        <v>0.19</v>
      </c>
      <c r="AU72" s="117">
        <v>61.75</v>
      </c>
      <c r="AV72" s="117">
        <v>6.9349999999999996</v>
      </c>
      <c r="AW72" s="117">
        <v>9.5000000000000001E-2</v>
      </c>
      <c r="AX72" s="117">
        <v>2.66</v>
      </c>
      <c r="AY72" s="117">
        <v>7.8850000000000016</v>
      </c>
      <c r="AZ72" s="117">
        <v>128.53500000000003</v>
      </c>
      <c r="BA72" s="117"/>
      <c r="BB72" s="174"/>
    </row>
    <row r="73" spans="1:54" x14ac:dyDescent="0.25">
      <c r="A73" s="70" t="s">
        <v>497</v>
      </c>
      <c r="B73" s="63"/>
      <c r="C73" s="399" t="s">
        <v>430</v>
      </c>
      <c r="D73" s="64" t="s">
        <v>434</v>
      </c>
      <c r="E73" s="175">
        <f>AVERAGE(F73:G73)</f>
        <v>79.5</v>
      </c>
      <c r="F73" s="399">
        <v>77</v>
      </c>
      <c r="G73" s="64">
        <v>82</v>
      </c>
      <c r="H73" s="84">
        <f t="shared" si="89"/>
        <v>52.326203703703712</v>
      </c>
      <c r="I73" s="85">
        <f t="shared" si="89"/>
        <v>45.617716049382722</v>
      </c>
      <c r="J73" s="91">
        <f t="shared" si="89"/>
        <v>59.034691358024702</v>
      </c>
      <c r="K73" s="84">
        <f t="shared" si="90"/>
        <v>282.75</v>
      </c>
      <c r="L73" s="85">
        <f t="shared" si="90"/>
        <v>246.5</v>
      </c>
      <c r="M73" s="85">
        <f t="shared" si="90"/>
        <v>319.00000000000006</v>
      </c>
      <c r="N73" s="44">
        <f t="shared" si="91"/>
        <v>355.66037735849056</v>
      </c>
      <c r="O73" s="44">
        <f t="shared" si="91"/>
        <v>320.12987012987014</v>
      </c>
      <c r="P73" s="44">
        <f t="shared" si="91"/>
        <v>389.02439024390253</v>
      </c>
      <c r="Q73" s="44" t="b">
        <f t="shared" si="86"/>
        <v>1</v>
      </c>
      <c r="R73" s="44">
        <f t="shared" si="25"/>
        <v>1.8506172839506174</v>
      </c>
      <c r="S73" s="44">
        <f t="shared" si="25"/>
        <v>1.8506172839506174</v>
      </c>
      <c r="T73" s="44">
        <f t="shared" si="25"/>
        <v>1.8506172839506172</v>
      </c>
      <c r="U73" s="45">
        <f>AVERAGE(76,70)</f>
        <v>73</v>
      </c>
      <c r="V73" s="175">
        <f>AVERAGE(W73:X73)</f>
        <v>19.5</v>
      </c>
      <c r="W73" s="399">
        <v>17</v>
      </c>
      <c r="X73" s="399">
        <f>2.2%*1000</f>
        <v>22.000000000000004</v>
      </c>
      <c r="Y73" s="44" t="b">
        <f t="shared" si="87"/>
        <v>1</v>
      </c>
      <c r="Z73" s="172">
        <v>2</v>
      </c>
      <c r="AA73" s="85">
        <f t="shared" ref="AA73:AA79" si="93">Z73*0.97</f>
        <v>1.94</v>
      </c>
      <c r="AB73" s="85">
        <f t="shared" ref="AB73:AB79" si="94">Z73*1.03</f>
        <v>2.06</v>
      </c>
      <c r="AC73" s="44" t="b">
        <f t="shared" si="88"/>
        <v>1</v>
      </c>
      <c r="AD73" s="46">
        <f t="shared" ref="AD73:AF79" si="95">Z73/V73</f>
        <v>0.10256410256410256</v>
      </c>
      <c r="AE73" s="46">
        <f>AB73/X73</f>
        <v>9.3636363636363629E-2</v>
      </c>
      <c r="AF73" s="47">
        <f>AA73/W73</f>
        <v>0.11411764705882353</v>
      </c>
      <c r="AG73" s="48">
        <f t="shared" si="92"/>
        <v>14.5</v>
      </c>
      <c r="AH73" s="175">
        <f>AVERAGE(AI73:AJ73)</f>
        <v>14.5</v>
      </c>
      <c r="AI73" s="176">
        <v>13</v>
      </c>
      <c r="AJ73" s="177">
        <v>16</v>
      </c>
      <c r="AK73" s="178">
        <f>AVERAGE(AL73,AM73)</f>
        <v>0.41123781250000002</v>
      </c>
      <c r="AL73" s="179">
        <f>AVERAGE(AK56,AK59,AK60)*F119+AK81*F120</f>
        <v>0.29300000000000004</v>
      </c>
      <c r="AM73" s="180">
        <f>(E120*AK81+E124*AK24+E125*AK80)*F119+AK81*F120</f>
        <v>0.52947562500000001</v>
      </c>
      <c r="AN73" s="175">
        <f>AVERAGE(AO73:AP73)</f>
        <v>7.5</v>
      </c>
      <c r="AO73" s="399">
        <v>5</v>
      </c>
      <c r="AP73" s="64">
        <v>10</v>
      </c>
      <c r="AQ73" s="175">
        <f>1%*1000</f>
        <v>10</v>
      </c>
      <c r="AR73" s="172"/>
      <c r="AS73" s="173"/>
      <c r="AT73" s="125">
        <v>2.3849999999999998</v>
      </c>
      <c r="AU73" s="117">
        <v>95.4</v>
      </c>
      <c r="AV73" s="117">
        <v>238.5</v>
      </c>
      <c r="AW73" s="117">
        <v>1.59</v>
      </c>
      <c r="AX73" s="117">
        <v>47.7</v>
      </c>
      <c r="AY73" s="117">
        <v>143.1</v>
      </c>
      <c r="AZ73" s="117">
        <v>477</v>
      </c>
      <c r="BA73" s="117">
        <v>14.31</v>
      </c>
      <c r="BB73" s="174">
        <v>9.5399999999999991</v>
      </c>
    </row>
    <row r="74" spans="1:54" x14ac:dyDescent="0.25">
      <c r="A74" s="70" t="s">
        <v>498</v>
      </c>
      <c r="B74" s="63"/>
      <c r="C74" s="399" t="s">
        <v>430</v>
      </c>
      <c r="D74" s="64" t="s">
        <v>426</v>
      </c>
      <c r="E74" s="70">
        <v>88</v>
      </c>
      <c r="F74" s="85">
        <f t="shared" ref="F74:F79" si="96">E74*0.97</f>
        <v>85.36</v>
      </c>
      <c r="G74" s="91">
        <f t="shared" ref="G74:G79" si="97">E74*1.03</f>
        <v>90.64</v>
      </c>
      <c r="H74" s="84">
        <f t="shared" si="89"/>
        <v>51.817283950617288</v>
      </c>
      <c r="I74" s="85">
        <f t="shared" si="89"/>
        <v>50.26276543209876</v>
      </c>
      <c r="J74" s="91">
        <f t="shared" si="89"/>
        <v>53.371802469135808</v>
      </c>
      <c r="K74" s="84">
        <f t="shared" si="90"/>
        <v>280</v>
      </c>
      <c r="L74" s="85">
        <f t="shared" si="90"/>
        <v>271.59999999999997</v>
      </c>
      <c r="M74" s="85">
        <f t="shared" si="90"/>
        <v>288.40000000000003</v>
      </c>
      <c r="N74" s="44">
        <f t="shared" si="91"/>
        <v>318.18181818181819</v>
      </c>
      <c r="O74" s="44">
        <f t="shared" si="91"/>
        <v>318.18181818181813</v>
      </c>
      <c r="P74" s="44">
        <f t="shared" si="91"/>
        <v>318.18181818181824</v>
      </c>
      <c r="Q74" s="44" t="b">
        <f t="shared" si="86"/>
        <v>1</v>
      </c>
      <c r="R74" s="44">
        <f t="shared" si="25"/>
        <v>1.8506172839506174</v>
      </c>
      <c r="S74" s="44">
        <f t="shared" si="25"/>
        <v>1.8506172839506174</v>
      </c>
      <c r="T74" s="44">
        <f t="shared" si="25"/>
        <v>1.8506172839506174</v>
      </c>
      <c r="U74" s="45">
        <f>AVERAGE(32,34)</f>
        <v>33</v>
      </c>
      <c r="V74" s="70">
        <v>40</v>
      </c>
      <c r="W74" s="85">
        <f t="shared" ref="W74:W79" si="98">V74*0.97</f>
        <v>38.799999999999997</v>
      </c>
      <c r="X74" s="85">
        <f t="shared" ref="X74:X79" si="99">V74*1.03</f>
        <v>41.2</v>
      </c>
      <c r="Y74" s="44" t="b">
        <f t="shared" si="87"/>
        <v>1</v>
      </c>
      <c r="Z74" s="172">
        <v>4</v>
      </c>
      <c r="AA74" s="85">
        <f t="shared" si="93"/>
        <v>3.88</v>
      </c>
      <c r="AB74" s="85">
        <f t="shared" si="94"/>
        <v>4.12</v>
      </c>
      <c r="AC74" s="44" t="b">
        <f t="shared" si="88"/>
        <v>1</v>
      </c>
      <c r="AD74" s="46">
        <f t="shared" si="95"/>
        <v>0.1</v>
      </c>
      <c r="AE74" s="46">
        <f t="shared" si="95"/>
        <v>0.1</v>
      </c>
      <c r="AF74" s="47">
        <f t="shared" si="95"/>
        <v>9.9999999999999992E-2</v>
      </c>
      <c r="AG74" s="48">
        <f t="shared" si="92"/>
        <v>7</v>
      </c>
      <c r="AH74" s="175">
        <v>7</v>
      </c>
      <c r="AI74" s="85">
        <f>AH74*0.9</f>
        <v>6.3</v>
      </c>
      <c r="AJ74" s="91">
        <f>AH74*1.1</f>
        <v>7.7000000000000011</v>
      </c>
      <c r="AK74" s="178">
        <f t="shared" ref="AK74:AK79" si="100">AVERAGE(AL74,AM74)</f>
        <v>0.55123179687500001</v>
      </c>
      <c r="AL74" s="181">
        <f>AVERAGE(AK56,AK59,AK60)*G119+AK81*G120+AK72*G121</f>
        <v>0.49211289062499997</v>
      </c>
      <c r="AM74" s="182">
        <f>(E120*AK81+E124*AK24+E125*AK80)*G119+AK81*G120+AK72*G121</f>
        <v>0.61035070312499995</v>
      </c>
      <c r="AN74" s="175">
        <v>30</v>
      </c>
      <c r="AO74" s="399"/>
      <c r="AP74" s="64"/>
      <c r="AQ74" s="175">
        <v>50</v>
      </c>
      <c r="AR74" s="399"/>
      <c r="AS74" s="64"/>
      <c r="AT74" s="125">
        <v>1.72</v>
      </c>
      <c r="AU74" s="117">
        <v>71.92</v>
      </c>
      <c r="AV74" s="117">
        <v>132.74</v>
      </c>
      <c r="AW74" s="117">
        <v>0.64</v>
      </c>
      <c r="AX74" s="117">
        <v>30.85</v>
      </c>
      <c r="AY74" s="117">
        <v>121.36</v>
      </c>
      <c r="AZ74" s="117">
        <v>410.31</v>
      </c>
      <c r="BA74" s="117"/>
      <c r="BB74" s="174"/>
    </row>
    <row r="75" spans="1:54" x14ac:dyDescent="0.25">
      <c r="A75" s="70" t="s">
        <v>499</v>
      </c>
      <c r="B75" s="63"/>
      <c r="C75" s="399" t="s">
        <v>430</v>
      </c>
      <c r="D75" s="64" t="s">
        <v>426</v>
      </c>
      <c r="E75" s="70">
        <v>88</v>
      </c>
      <c r="F75" s="85">
        <f t="shared" si="96"/>
        <v>85.36</v>
      </c>
      <c r="G75" s="91">
        <f t="shared" si="97"/>
        <v>90.64</v>
      </c>
      <c r="H75" s="84">
        <f t="shared" si="89"/>
        <v>52.742592592592601</v>
      </c>
      <c r="I75" s="85">
        <f t="shared" si="89"/>
        <v>51.160314814814811</v>
      </c>
      <c r="J75" s="91">
        <f t="shared" si="89"/>
        <v>54.324870370370377</v>
      </c>
      <c r="K75" s="84">
        <f t="shared" si="90"/>
        <v>285</v>
      </c>
      <c r="L75" s="85">
        <f t="shared" si="90"/>
        <v>276.45</v>
      </c>
      <c r="M75" s="85">
        <f t="shared" si="90"/>
        <v>293.55</v>
      </c>
      <c r="N75" s="44">
        <f t="shared" si="91"/>
        <v>323.86363636363637</v>
      </c>
      <c r="O75" s="44">
        <f t="shared" si="91"/>
        <v>323.86363636363632</v>
      </c>
      <c r="P75" s="44">
        <f t="shared" si="91"/>
        <v>323.86363636363637</v>
      </c>
      <c r="Q75" s="44" t="b">
        <f t="shared" si="86"/>
        <v>1</v>
      </c>
      <c r="R75" s="44">
        <f t="shared" si="25"/>
        <v>1.8506172839506174</v>
      </c>
      <c r="S75" s="44">
        <f t="shared" si="25"/>
        <v>1.8506172839506172</v>
      </c>
      <c r="T75" s="44">
        <f t="shared" si="25"/>
        <v>1.8506172839506174</v>
      </c>
      <c r="U75" s="45">
        <f>AVERAGE(32,34)</f>
        <v>33</v>
      </c>
      <c r="V75" s="70">
        <v>30</v>
      </c>
      <c r="W75" s="85">
        <f t="shared" si="98"/>
        <v>29.099999999999998</v>
      </c>
      <c r="X75" s="85">
        <f t="shared" si="99"/>
        <v>30.900000000000002</v>
      </c>
      <c r="Y75" s="44" t="b">
        <f t="shared" si="87"/>
        <v>1</v>
      </c>
      <c r="Z75" s="172">
        <v>3</v>
      </c>
      <c r="AA75" s="85">
        <f t="shared" si="93"/>
        <v>2.91</v>
      </c>
      <c r="AB75" s="85">
        <f t="shared" si="94"/>
        <v>3.09</v>
      </c>
      <c r="AC75" s="44" t="b">
        <f t="shared" si="88"/>
        <v>1</v>
      </c>
      <c r="AD75" s="46">
        <f t="shared" si="95"/>
        <v>0.1</v>
      </c>
      <c r="AE75" s="46">
        <f t="shared" si="95"/>
        <v>0.1</v>
      </c>
      <c r="AF75" s="47">
        <f t="shared" si="95"/>
        <v>9.9999999999999992E-2</v>
      </c>
      <c r="AG75" s="48">
        <f t="shared" si="92"/>
        <v>9.5</v>
      </c>
      <c r="AH75" s="175">
        <f>AVERAGE(AI75:AJ75)</f>
        <v>9.5</v>
      </c>
      <c r="AI75" s="176">
        <v>9</v>
      </c>
      <c r="AJ75" s="177">
        <v>10</v>
      </c>
      <c r="AK75" s="178">
        <f t="shared" si="100"/>
        <v>0.50456713541666676</v>
      </c>
      <c r="AL75" s="181">
        <f>AVERAGE(AK56,AK59,AK60)*H119+AK81*H120+AK72*H121</f>
        <v>0.42574192708333336</v>
      </c>
      <c r="AM75" s="182">
        <f>(E120*AK81+E124*AK24+E125*AK80)*H119+AK81*H120+AK72*H121</f>
        <v>0.58339234375000004</v>
      </c>
      <c r="AN75" s="175">
        <v>20</v>
      </c>
      <c r="AO75" s="399"/>
      <c r="AP75" s="64"/>
      <c r="AQ75" s="175">
        <v>30</v>
      </c>
      <c r="AR75" s="399"/>
      <c r="AS75" s="64"/>
      <c r="AT75" s="125">
        <v>1.72</v>
      </c>
      <c r="AU75" s="117">
        <v>71.92</v>
      </c>
      <c r="AV75" s="117">
        <v>132.74</v>
      </c>
      <c r="AW75" s="117">
        <v>0.64</v>
      </c>
      <c r="AX75" s="117">
        <v>30.85</v>
      </c>
      <c r="AY75" s="117">
        <v>121.36</v>
      </c>
      <c r="AZ75" s="117">
        <v>410.31</v>
      </c>
      <c r="BA75" s="117"/>
      <c r="BB75" s="174"/>
    </row>
    <row r="76" spans="1:54" x14ac:dyDescent="0.25">
      <c r="A76" s="70" t="s">
        <v>500</v>
      </c>
      <c r="B76" s="63"/>
      <c r="C76" s="399" t="s">
        <v>430</v>
      </c>
      <c r="D76" s="64" t="s">
        <v>426</v>
      </c>
      <c r="E76" s="70">
        <v>88</v>
      </c>
      <c r="F76" s="85">
        <f t="shared" si="96"/>
        <v>85.36</v>
      </c>
      <c r="G76" s="91">
        <f t="shared" si="97"/>
        <v>90.64</v>
      </c>
      <c r="H76" s="84">
        <f t="shared" si="89"/>
        <v>51.817283950617288</v>
      </c>
      <c r="I76" s="85">
        <f t="shared" si="89"/>
        <v>50.26276543209876</v>
      </c>
      <c r="J76" s="91">
        <f t="shared" si="89"/>
        <v>53.371802469135808</v>
      </c>
      <c r="K76" s="84">
        <f t="shared" si="90"/>
        <v>280</v>
      </c>
      <c r="L76" s="85">
        <f t="shared" si="90"/>
        <v>271.59999999999997</v>
      </c>
      <c r="M76" s="85">
        <f t="shared" si="90"/>
        <v>288.40000000000003</v>
      </c>
      <c r="N76" s="44">
        <f t="shared" si="91"/>
        <v>318.18181818181819</v>
      </c>
      <c r="O76" s="44">
        <f t="shared" si="91"/>
        <v>318.18181818181813</v>
      </c>
      <c r="P76" s="44">
        <f t="shared" si="91"/>
        <v>318.18181818181824</v>
      </c>
      <c r="Q76" s="44" t="b">
        <f t="shared" si="86"/>
        <v>1</v>
      </c>
      <c r="R76" s="44">
        <f t="shared" si="25"/>
        <v>1.8506172839506174</v>
      </c>
      <c r="S76" s="44">
        <f t="shared" si="25"/>
        <v>1.8506172839506174</v>
      </c>
      <c r="T76" s="44">
        <f t="shared" si="25"/>
        <v>1.8506172839506174</v>
      </c>
      <c r="U76" s="45">
        <f>AVERAGE(32,34)</f>
        <v>33</v>
      </c>
      <c r="V76" s="70">
        <v>70</v>
      </c>
      <c r="W76" s="85">
        <f t="shared" si="98"/>
        <v>67.899999999999991</v>
      </c>
      <c r="X76" s="85">
        <f t="shared" si="99"/>
        <v>72.100000000000009</v>
      </c>
      <c r="Y76" s="44" t="b">
        <f t="shared" si="87"/>
        <v>1</v>
      </c>
      <c r="Z76" s="172">
        <v>5</v>
      </c>
      <c r="AA76" s="85">
        <f t="shared" si="93"/>
        <v>4.8499999999999996</v>
      </c>
      <c r="AB76" s="85">
        <f t="shared" si="94"/>
        <v>5.15</v>
      </c>
      <c r="AC76" s="44" t="b">
        <f t="shared" si="88"/>
        <v>1</v>
      </c>
      <c r="AD76" s="46">
        <f t="shared" si="95"/>
        <v>7.1428571428571425E-2</v>
      </c>
      <c r="AE76" s="46">
        <f t="shared" si="95"/>
        <v>7.1428571428571438E-2</v>
      </c>
      <c r="AF76" s="47">
        <f t="shared" si="95"/>
        <v>7.1428571428571425E-2</v>
      </c>
      <c r="AG76" s="48">
        <f t="shared" si="92"/>
        <v>4</v>
      </c>
      <c r="AH76" s="175">
        <v>4</v>
      </c>
      <c r="AI76" s="85">
        <f>AH76*0.9</f>
        <v>3.6</v>
      </c>
      <c r="AJ76" s="91">
        <f>AH76*1.1</f>
        <v>4.4000000000000004</v>
      </c>
      <c r="AK76" s="178">
        <f t="shared" si="100"/>
        <v>0.59789645833333327</v>
      </c>
      <c r="AL76" s="181">
        <f>AVERAGE(AK56,AK59,AK60)*I119+AK81*I120+AK72*I121</f>
        <v>0.55848385416666668</v>
      </c>
      <c r="AM76" s="182">
        <f>(E120*AK81+E124*AK24+E125*AK80)*I119+AK81*I120+AK72*I121</f>
        <v>0.63730906249999997</v>
      </c>
      <c r="AN76" s="175">
        <f>AVERAGE(AO76:AP76)</f>
        <v>50</v>
      </c>
      <c r="AO76" s="399">
        <v>40</v>
      </c>
      <c r="AP76" s="64">
        <v>60</v>
      </c>
      <c r="AQ76" s="175">
        <f>AVERAGE(AR76:AS76)</f>
        <v>75</v>
      </c>
      <c r="AR76" s="399">
        <v>70</v>
      </c>
      <c r="AS76" s="64">
        <v>80</v>
      </c>
      <c r="AT76" s="125">
        <v>1.72</v>
      </c>
      <c r="AU76" s="117">
        <v>71.92</v>
      </c>
      <c r="AV76" s="117">
        <v>132.74</v>
      </c>
      <c r="AW76" s="117">
        <v>0.64</v>
      </c>
      <c r="AX76" s="117">
        <v>30.85</v>
      </c>
      <c r="AY76" s="117">
        <v>121.36</v>
      </c>
      <c r="AZ76" s="117">
        <v>410.31</v>
      </c>
      <c r="BA76" s="117"/>
      <c r="BB76" s="174"/>
    </row>
    <row r="77" spans="1:54" x14ac:dyDescent="0.25">
      <c r="A77" s="70" t="s">
        <v>501</v>
      </c>
      <c r="B77" s="63"/>
      <c r="C77" s="399" t="s">
        <v>430</v>
      </c>
      <c r="D77" s="64" t="s">
        <v>426</v>
      </c>
      <c r="E77" s="70">
        <v>88</v>
      </c>
      <c r="F77" s="85">
        <f t="shared" si="96"/>
        <v>85.36</v>
      </c>
      <c r="G77" s="91">
        <f t="shared" si="97"/>
        <v>90.64</v>
      </c>
      <c r="H77" s="84">
        <f t="shared" si="89"/>
        <v>50.891975308641982</v>
      </c>
      <c r="I77" s="85">
        <f t="shared" si="89"/>
        <v>49.365216049382717</v>
      </c>
      <c r="J77" s="91">
        <f t="shared" si="89"/>
        <v>52.41873456790124</v>
      </c>
      <c r="K77" s="84">
        <f t="shared" si="90"/>
        <v>275</v>
      </c>
      <c r="L77" s="85">
        <f t="shared" si="90"/>
        <v>266.75</v>
      </c>
      <c r="M77" s="85">
        <f t="shared" si="90"/>
        <v>283.25</v>
      </c>
      <c r="N77" s="44">
        <f t="shared" si="91"/>
        <v>312.5</v>
      </c>
      <c r="O77" s="44">
        <f t="shared" si="91"/>
        <v>312.5</v>
      </c>
      <c r="P77" s="44">
        <f t="shared" si="91"/>
        <v>312.5</v>
      </c>
      <c r="Q77" s="44" t="b">
        <f t="shared" si="86"/>
        <v>1</v>
      </c>
      <c r="R77" s="44">
        <f t="shared" si="25"/>
        <v>1.8506172839506174</v>
      </c>
      <c r="S77" s="44">
        <f t="shared" si="25"/>
        <v>1.8506172839506174</v>
      </c>
      <c r="T77" s="44">
        <f t="shared" si="25"/>
        <v>1.8506172839506176</v>
      </c>
      <c r="U77" s="45">
        <f>AVERAGE(20,14)</f>
        <v>17</v>
      </c>
      <c r="V77" s="70">
        <v>55</v>
      </c>
      <c r="W77" s="85">
        <f t="shared" si="98"/>
        <v>53.35</v>
      </c>
      <c r="X77" s="85">
        <f t="shared" si="99"/>
        <v>56.65</v>
      </c>
      <c r="Y77" s="44" t="b">
        <f t="shared" si="87"/>
        <v>1</v>
      </c>
      <c r="Z77" s="172">
        <v>5</v>
      </c>
      <c r="AA77" s="85">
        <f t="shared" si="93"/>
        <v>4.8499999999999996</v>
      </c>
      <c r="AB77" s="85">
        <f t="shared" si="94"/>
        <v>5.15</v>
      </c>
      <c r="AC77" s="44" t="b">
        <f t="shared" si="88"/>
        <v>1</v>
      </c>
      <c r="AD77" s="46">
        <f t="shared" si="95"/>
        <v>9.0909090909090912E-2</v>
      </c>
      <c r="AE77" s="46">
        <f t="shared" si="95"/>
        <v>9.0909090909090898E-2</v>
      </c>
      <c r="AF77" s="47">
        <f t="shared" si="95"/>
        <v>9.0909090909090912E-2</v>
      </c>
      <c r="AG77" s="48">
        <f t="shared" si="92"/>
        <v>5</v>
      </c>
      <c r="AH77" s="175">
        <v>5</v>
      </c>
      <c r="AI77" s="85">
        <f>AH77*0.9</f>
        <v>4.5</v>
      </c>
      <c r="AJ77" s="91">
        <f>AH77*1.1</f>
        <v>5.5</v>
      </c>
      <c r="AK77" s="178">
        <f t="shared" si="100"/>
        <v>0.72751192447916679</v>
      </c>
      <c r="AL77" s="181">
        <f>AVERAGE(AK56,AK59,AK60)*J119+AK81*J120+AK72*J121+1*J123</f>
        <v>0.68415805989583345</v>
      </c>
      <c r="AM77" s="182">
        <f>(E120*AK81+E124*AK24+E125*AK80)*J119+AK81*J120+AK72*J121+1*J123</f>
        <v>0.77086578906250003</v>
      </c>
      <c r="AN77" s="175">
        <f>AVERAGE(AO77:AP77)</f>
        <v>20</v>
      </c>
      <c r="AO77" s="399">
        <v>10</v>
      </c>
      <c r="AP77" s="64">
        <v>30</v>
      </c>
      <c r="AQ77" s="175">
        <f>AVERAGE(AR77:AS77)</f>
        <v>110</v>
      </c>
      <c r="AR77" s="399">
        <v>100</v>
      </c>
      <c r="AS77" s="64">
        <v>120</v>
      </c>
      <c r="AT77" s="125">
        <v>5.19</v>
      </c>
      <c r="AU77" s="117">
        <v>58.53</v>
      </c>
      <c r="AV77" s="117">
        <v>13.58</v>
      </c>
      <c r="AW77" s="117">
        <v>0.16</v>
      </c>
      <c r="AX77" s="117">
        <v>11.15</v>
      </c>
      <c r="AY77" s="117">
        <v>1.53</v>
      </c>
      <c r="AZ77" s="117">
        <v>94.81</v>
      </c>
      <c r="BA77" s="117"/>
      <c r="BB77" s="174"/>
    </row>
    <row r="78" spans="1:54" x14ac:dyDescent="0.25">
      <c r="A78" s="70" t="s">
        <v>502</v>
      </c>
      <c r="B78" s="63"/>
      <c r="C78" s="399" t="s">
        <v>430</v>
      </c>
      <c r="D78" s="64" t="s">
        <v>426</v>
      </c>
      <c r="E78" s="70">
        <v>88</v>
      </c>
      <c r="F78" s="85">
        <f t="shared" si="96"/>
        <v>85.36</v>
      </c>
      <c r="G78" s="91">
        <f t="shared" si="97"/>
        <v>90.64</v>
      </c>
      <c r="H78" s="84">
        <f t="shared" si="89"/>
        <v>30.072530864197535</v>
      </c>
      <c r="I78" s="85">
        <f t="shared" si="89"/>
        <v>29.170354938271608</v>
      </c>
      <c r="J78" s="91">
        <f t="shared" si="89"/>
        <v>30.974706790123456</v>
      </c>
      <c r="K78" s="84">
        <f t="shared" si="90"/>
        <v>162.5</v>
      </c>
      <c r="L78" s="85">
        <f t="shared" si="90"/>
        <v>157.625</v>
      </c>
      <c r="M78" s="85">
        <f t="shared" si="90"/>
        <v>167.375</v>
      </c>
      <c r="N78" s="44">
        <f t="shared" si="91"/>
        <v>184.65909090909091</v>
      </c>
      <c r="O78" s="44">
        <f t="shared" si="91"/>
        <v>184.65909090909091</v>
      </c>
      <c r="P78" s="44">
        <f t="shared" si="91"/>
        <v>184.65909090909091</v>
      </c>
      <c r="Q78" s="44" t="b">
        <f t="shared" si="86"/>
        <v>1</v>
      </c>
      <c r="R78" s="44">
        <f t="shared" si="25"/>
        <v>1.8506172839506174</v>
      </c>
      <c r="S78" s="44">
        <f t="shared" si="25"/>
        <v>1.8506172839506174</v>
      </c>
      <c r="T78" s="44">
        <f t="shared" si="25"/>
        <v>1.8506172839506174</v>
      </c>
      <c r="U78" s="45">
        <f>AVERAGE(20,14)</f>
        <v>17</v>
      </c>
      <c r="V78" s="70">
        <v>50</v>
      </c>
      <c r="W78" s="85">
        <f t="shared" si="98"/>
        <v>48.5</v>
      </c>
      <c r="X78" s="85">
        <f t="shared" si="99"/>
        <v>51.5</v>
      </c>
      <c r="Y78" s="44" t="b">
        <f t="shared" si="87"/>
        <v>1</v>
      </c>
      <c r="Z78" s="172">
        <v>25</v>
      </c>
      <c r="AA78" s="85">
        <f t="shared" si="93"/>
        <v>24.25</v>
      </c>
      <c r="AB78" s="85">
        <f t="shared" si="94"/>
        <v>25.75</v>
      </c>
      <c r="AC78" s="44" t="b">
        <f t="shared" si="88"/>
        <v>1</v>
      </c>
      <c r="AD78" s="46">
        <f t="shared" si="95"/>
        <v>0.5</v>
      </c>
      <c r="AE78" s="46">
        <f t="shared" si="95"/>
        <v>0.5</v>
      </c>
      <c r="AF78" s="47">
        <f t="shared" si="95"/>
        <v>0.5</v>
      </c>
      <c r="AG78" s="48">
        <f t="shared" si="92"/>
        <v>3.25</v>
      </c>
      <c r="AH78" s="175">
        <f>AVERAGE(AH77,AH79)</f>
        <v>3.25</v>
      </c>
      <c r="AI78" s="85">
        <f>AH78*0.9</f>
        <v>2.9250000000000003</v>
      </c>
      <c r="AJ78" s="91">
        <f>AH78*1.1</f>
        <v>3.5750000000000002</v>
      </c>
      <c r="AK78" s="178">
        <f t="shared" si="100"/>
        <v>0.7027402812500001</v>
      </c>
      <c r="AL78" s="181">
        <f>AVERAGE(AK56,AK59,AK60)*K119+AK81*K120+AK72*K121+1*K123</f>
        <v>0.65544515624999999</v>
      </c>
      <c r="AM78" s="182">
        <f>(E120*AK81+E124*AK24+E125*AK80)*K119+AK81*K120+AK72*K121+1*K123</f>
        <v>0.75003540625000009</v>
      </c>
      <c r="AN78" s="175">
        <v>50</v>
      </c>
      <c r="AO78" s="399"/>
      <c r="AP78" s="64"/>
      <c r="AQ78" s="175">
        <v>100</v>
      </c>
      <c r="AR78" s="399"/>
      <c r="AS78" s="64"/>
      <c r="AT78" s="125">
        <v>5.19</v>
      </c>
      <c r="AU78" s="117">
        <v>58.53</v>
      </c>
      <c r="AV78" s="117">
        <v>13.58</v>
      </c>
      <c r="AW78" s="117">
        <v>0.16</v>
      </c>
      <c r="AX78" s="117">
        <v>11.15</v>
      </c>
      <c r="AY78" s="117">
        <v>1.53</v>
      </c>
      <c r="AZ78" s="117">
        <v>94.81</v>
      </c>
      <c r="BA78" s="117"/>
      <c r="BB78" s="174"/>
    </row>
    <row r="79" spans="1:54" x14ac:dyDescent="0.25">
      <c r="A79" s="70" t="s">
        <v>503</v>
      </c>
      <c r="B79" s="63"/>
      <c r="C79" s="399" t="s">
        <v>430</v>
      </c>
      <c r="D79" s="64" t="s">
        <v>426</v>
      </c>
      <c r="E79" s="70">
        <v>90</v>
      </c>
      <c r="F79" s="85">
        <f t="shared" si="96"/>
        <v>87.3</v>
      </c>
      <c r="G79" s="91">
        <f t="shared" si="97"/>
        <v>92.7</v>
      </c>
      <c r="H79" s="84">
        <f t="shared" si="89"/>
        <v>30.535185185185185</v>
      </c>
      <c r="I79" s="85">
        <f t="shared" si="89"/>
        <v>29.619129629629633</v>
      </c>
      <c r="J79" s="91">
        <f t="shared" si="89"/>
        <v>31.45124074074074</v>
      </c>
      <c r="K79" s="84">
        <f t="shared" si="90"/>
        <v>165</v>
      </c>
      <c r="L79" s="85">
        <f t="shared" si="90"/>
        <v>160.05000000000001</v>
      </c>
      <c r="M79" s="85">
        <f t="shared" si="90"/>
        <v>169.95</v>
      </c>
      <c r="N79" s="44">
        <f t="shared" si="91"/>
        <v>183.33333333333334</v>
      </c>
      <c r="O79" s="44">
        <f t="shared" si="91"/>
        <v>183.33333333333334</v>
      </c>
      <c r="P79" s="44">
        <f t="shared" si="91"/>
        <v>183.33333333333331</v>
      </c>
      <c r="Q79" s="44" t="b">
        <f t="shared" si="86"/>
        <v>1</v>
      </c>
      <c r="R79" s="44">
        <f t="shared" si="25"/>
        <v>1.8506172839506172</v>
      </c>
      <c r="S79" s="44">
        <f t="shared" si="25"/>
        <v>1.8506172839506174</v>
      </c>
      <c r="T79" s="44">
        <f t="shared" si="25"/>
        <v>1.8506172839506174</v>
      </c>
      <c r="U79" s="45">
        <f>AVERAGE(20,14)</f>
        <v>17</v>
      </c>
      <c r="V79" s="70">
        <v>110</v>
      </c>
      <c r="W79" s="85">
        <f t="shared" si="98"/>
        <v>106.7</v>
      </c>
      <c r="X79" s="85">
        <f t="shared" si="99"/>
        <v>113.3</v>
      </c>
      <c r="Y79" s="44" t="b">
        <f t="shared" si="87"/>
        <v>1</v>
      </c>
      <c r="Z79" s="172">
        <v>70</v>
      </c>
      <c r="AA79" s="85">
        <f t="shared" si="93"/>
        <v>67.899999999999991</v>
      </c>
      <c r="AB79" s="85">
        <f t="shared" si="94"/>
        <v>72.100000000000009</v>
      </c>
      <c r="AC79" s="44" t="b">
        <f t="shared" si="88"/>
        <v>1</v>
      </c>
      <c r="AD79" s="46">
        <f t="shared" si="95"/>
        <v>0.63636363636363635</v>
      </c>
      <c r="AE79" s="46">
        <f t="shared" si="95"/>
        <v>0.63636363636363624</v>
      </c>
      <c r="AF79" s="47">
        <f t="shared" si="95"/>
        <v>0.63636363636363646</v>
      </c>
      <c r="AG79" s="48">
        <f t="shared" si="92"/>
        <v>1.5</v>
      </c>
      <c r="AH79" s="175">
        <v>1.5</v>
      </c>
      <c r="AI79" s="85">
        <f>AH79*0.9</f>
        <v>1.35</v>
      </c>
      <c r="AJ79" s="91">
        <f>AH79*1.1</f>
        <v>1.6500000000000001</v>
      </c>
      <c r="AK79" s="178">
        <f t="shared" si="100"/>
        <v>0.75228356770833327</v>
      </c>
      <c r="AL79" s="181">
        <f>AVERAGE(AK56,AK59,AK60)*L119+AK81*L120+AK72*L121+1*L123</f>
        <v>0.71287096354166668</v>
      </c>
      <c r="AM79" s="182">
        <f>(E120*AK81+E124*AK24+E125*AK80)*L119+AK81*L120+AK72*L121+1*L123</f>
        <v>0.79169617187499997</v>
      </c>
      <c r="AN79" s="175">
        <v>40</v>
      </c>
      <c r="AO79" s="399"/>
      <c r="AP79" s="64"/>
      <c r="AQ79" s="175">
        <v>120</v>
      </c>
      <c r="AR79" s="399"/>
      <c r="AS79" s="64"/>
      <c r="AT79" s="125">
        <v>5.19</v>
      </c>
      <c r="AU79" s="117">
        <v>58.53</v>
      </c>
      <c r="AV79" s="117">
        <v>13.58</v>
      </c>
      <c r="AW79" s="117">
        <v>0.16</v>
      </c>
      <c r="AX79" s="117">
        <v>11.15</v>
      </c>
      <c r="AY79" s="117">
        <v>1.53</v>
      </c>
      <c r="AZ79" s="117">
        <v>94.81</v>
      </c>
      <c r="BA79" s="117"/>
      <c r="BB79" s="174"/>
    </row>
    <row r="80" spans="1:54" x14ac:dyDescent="0.25">
      <c r="A80" s="183" t="s">
        <v>504</v>
      </c>
      <c r="B80" s="63"/>
      <c r="C80" s="399"/>
      <c r="D80" s="64"/>
      <c r="E80" s="41"/>
      <c r="F80" s="42"/>
      <c r="G80" s="43"/>
      <c r="H80" s="41"/>
      <c r="I80" s="42"/>
      <c r="J80" s="43"/>
      <c r="K80" s="41"/>
      <c r="L80" s="42"/>
      <c r="M80" s="42"/>
      <c r="N80" s="49"/>
      <c r="O80" s="49"/>
      <c r="P80" s="49"/>
      <c r="Q80" s="49"/>
      <c r="R80" s="62"/>
      <c r="S80" s="62"/>
      <c r="T80" s="62"/>
      <c r="U80" s="43"/>
      <c r="V80" s="41"/>
      <c r="W80" s="42"/>
      <c r="X80" s="42"/>
      <c r="Y80" s="49"/>
      <c r="Z80" s="42"/>
      <c r="AA80" s="42"/>
      <c r="AB80" s="42"/>
      <c r="AC80" s="42"/>
      <c r="AD80" s="184"/>
      <c r="AE80" s="184"/>
      <c r="AF80" s="185"/>
      <c r="AH80" s="41"/>
      <c r="AI80" s="49"/>
      <c r="AJ80" s="50"/>
      <c r="AK80" s="186">
        <v>0.82</v>
      </c>
      <c r="AL80" s="42"/>
      <c r="AM80" s="43"/>
      <c r="AN80" s="41"/>
      <c r="AO80" s="42"/>
      <c r="AP80" s="43"/>
      <c r="AQ80" s="41"/>
      <c r="AR80" s="42"/>
      <c r="AS80" s="43"/>
      <c r="AT80" s="41"/>
      <c r="AU80" s="42"/>
      <c r="AV80" s="42"/>
      <c r="AW80" s="42"/>
      <c r="AX80" s="42"/>
      <c r="AY80" s="42"/>
      <c r="AZ80" s="42"/>
      <c r="BA80" s="42"/>
      <c r="BB80" s="43"/>
    </row>
    <row r="81" spans="1:54" x14ac:dyDescent="0.25">
      <c r="A81" s="187" t="s">
        <v>505</v>
      </c>
      <c r="B81" s="188"/>
      <c r="C81" s="401"/>
      <c r="D81" s="189"/>
      <c r="E81" s="190"/>
      <c r="F81" s="191"/>
      <c r="G81" s="192"/>
      <c r="H81" s="190"/>
      <c r="I81" s="191"/>
      <c r="J81" s="192"/>
      <c r="K81" s="190"/>
      <c r="L81" s="191"/>
      <c r="M81" s="191"/>
      <c r="N81" s="193"/>
      <c r="O81" s="193"/>
      <c r="P81" s="193"/>
      <c r="Q81" s="193"/>
      <c r="R81" s="194"/>
      <c r="S81" s="194"/>
      <c r="T81" s="194"/>
      <c r="U81" s="192"/>
      <c r="V81" s="190"/>
      <c r="W81" s="191"/>
      <c r="X81" s="191"/>
      <c r="Y81" s="193"/>
      <c r="Z81" s="191"/>
      <c r="AA81" s="191"/>
      <c r="AB81" s="191"/>
      <c r="AC81" s="191"/>
      <c r="AD81" s="195"/>
      <c r="AE81" s="195"/>
      <c r="AF81" s="196"/>
      <c r="AH81" s="190"/>
      <c r="AI81" s="193"/>
      <c r="AJ81" s="197"/>
      <c r="AK81" s="198">
        <v>0.66</v>
      </c>
      <c r="AL81" s="191"/>
      <c r="AM81" s="192"/>
      <c r="AN81" s="190"/>
      <c r="AO81" s="191"/>
      <c r="AP81" s="192"/>
      <c r="AQ81" s="190"/>
      <c r="AR81" s="191"/>
      <c r="AS81" s="192"/>
      <c r="AT81" s="190"/>
      <c r="AU81" s="191"/>
      <c r="AV81" s="191"/>
      <c r="AW81" s="191"/>
      <c r="AX81" s="191"/>
      <c r="AY81" s="191"/>
      <c r="AZ81" s="191"/>
      <c r="BA81" s="191"/>
      <c r="BB81" s="192"/>
    </row>
    <row r="83" spans="1:54" x14ac:dyDescent="0.25">
      <c r="C83" s="201"/>
      <c r="D83" s="201"/>
      <c r="E83" s="201"/>
      <c r="F83" s="201"/>
      <c r="G83" s="201"/>
      <c r="H83" s="201"/>
      <c r="I83" s="201"/>
      <c r="J83" s="201"/>
      <c r="K83" s="201"/>
      <c r="L83" s="201"/>
      <c r="M83" s="201"/>
      <c r="N83" s="201"/>
      <c r="O83" s="201"/>
      <c r="P83" s="201"/>
      <c r="Q83" s="201"/>
      <c r="R83" s="201"/>
      <c r="S83" s="201"/>
      <c r="T83" s="201"/>
      <c r="U83" s="201"/>
      <c r="V83" s="201"/>
      <c r="W83" s="201"/>
      <c r="X83" s="201"/>
      <c r="Y83" s="49"/>
      <c r="AD83" s="4"/>
      <c r="AE83" s="4"/>
      <c r="AF83" s="4"/>
      <c r="AG83" s="4"/>
      <c r="AI83" s="4"/>
      <c r="AJ83" s="4"/>
    </row>
    <row r="84" spans="1:54" x14ac:dyDescent="0.25">
      <c r="C84" s="202" t="s">
        <v>506</v>
      </c>
      <c r="U84" s="42"/>
      <c r="AD84" s="4"/>
      <c r="AE84" s="4"/>
      <c r="AF84" s="4"/>
      <c r="AG84" s="4"/>
      <c r="AI84" s="4"/>
      <c r="AJ84" s="4"/>
    </row>
    <row r="85" spans="1:54" ht="15" customHeight="1" x14ac:dyDescent="0.25">
      <c r="C85" s="203"/>
      <c r="D85" s="204"/>
      <c r="E85" s="205"/>
      <c r="F85" s="205"/>
      <c r="G85" s="205" t="s">
        <v>507</v>
      </c>
      <c r="H85" s="205" t="s">
        <v>508</v>
      </c>
      <c r="I85" s="206" t="s">
        <v>509</v>
      </c>
      <c r="J85" s="207"/>
      <c r="K85" s="205"/>
      <c r="L85" s="205"/>
      <c r="M85" s="205"/>
      <c r="N85" s="208"/>
      <c r="O85" s="208"/>
      <c r="P85" s="209"/>
      <c r="Q85" s="208"/>
      <c r="R85" s="210"/>
      <c r="S85" s="210"/>
      <c r="T85" s="210"/>
      <c r="U85" s="42"/>
      <c r="AD85" s="4"/>
      <c r="AE85" s="4"/>
      <c r="AF85" s="4"/>
      <c r="AG85" s="4"/>
      <c r="AI85" s="4"/>
      <c r="AJ85" s="4"/>
    </row>
    <row r="86" spans="1:54" x14ac:dyDescent="0.25">
      <c r="C86" s="480" t="s">
        <v>510</v>
      </c>
      <c r="D86" s="481"/>
      <c r="E86" s="211" t="s">
        <v>511</v>
      </c>
      <c r="F86" s="211"/>
      <c r="G86" s="212">
        <v>1.8</v>
      </c>
      <c r="H86" s="212"/>
      <c r="I86" s="213"/>
      <c r="J86" s="214" t="s">
        <v>512</v>
      </c>
      <c r="K86" s="42"/>
      <c r="L86" s="42"/>
      <c r="M86" s="42"/>
      <c r="N86" s="49"/>
      <c r="O86" s="49"/>
      <c r="P86" s="50"/>
      <c r="Q86" s="49"/>
      <c r="R86" s="62"/>
      <c r="S86" s="62"/>
      <c r="T86" s="62"/>
      <c r="U86" s="42"/>
      <c r="AD86" s="4"/>
      <c r="AE86" s="4"/>
      <c r="AF86" s="4"/>
      <c r="AG86" s="4"/>
      <c r="AI86" s="4"/>
      <c r="AJ86" s="4"/>
    </row>
    <row r="87" spans="1:54" ht="15" customHeight="1" x14ac:dyDescent="0.25">
      <c r="C87" s="482"/>
      <c r="D87" s="483"/>
      <c r="E87" s="215" t="s">
        <v>513</v>
      </c>
      <c r="F87" s="42"/>
      <c r="G87" s="216">
        <f>AVERAGE(26.4/17.8,65.4/42.8,66.4/33.7,18/9.4,8.5/5.9,11.4/5.8)</f>
        <v>1.7170997807651887</v>
      </c>
      <c r="H87" s="216">
        <f>MIN(26.4/17.8,65.4/42.8,66.4/33.7,18/9.4,8.5/5.9,11.4/5.8)</f>
        <v>1.4406779661016949</v>
      </c>
      <c r="I87" s="217">
        <f>MAX(26.4/17.8,65.4/42.8,66.4/33.7,18/9.4,8.5/5.9,11.4/5.8)</f>
        <v>1.970326409495549</v>
      </c>
      <c r="J87" s="218" t="s">
        <v>514</v>
      </c>
      <c r="K87" s="219" t="s">
        <v>515</v>
      </c>
      <c r="L87" s="42"/>
      <c r="M87" s="42"/>
      <c r="N87" s="49"/>
      <c r="O87" s="49"/>
      <c r="P87" s="50"/>
      <c r="Q87" s="49"/>
      <c r="R87" s="62"/>
      <c r="S87" s="62"/>
      <c r="T87" s="62"/>
      <c r="U87" s="42"/>
      <c r="AD87" s="4"/>
      <c r="AE87" s="4"/>
      <c r="AF87" s="4"/>
      <c r="AG87" s="4"/>
      <c r="AI87" s="4"/>
      <c r="AJ87" s="4"/>
    </row>
    <row r="88" spans="1:54" x14ac:dyDescent="0.25">
      <c r="C88" s="482"/>
      <c r="D88" s="483"/>
      <c r="E88" s="215" t="s">
        <v>516</v>
      </c>
      <c r="F88" s="42"/>
      <c r="G88" s="216">
        <f>AVERAGE(660/350,671/350,603/350)</f>
        <v>1.8419047619047617</v>
      </c>
      <c r="H88" s="216">
        <f>MIN(660/350,671/350,603/350)</f>
        <v>1.7228571428571429</v>
      </c>
      <c r="I88" s="217">
        <f>MAX(660/350,671/350,603/350)</f>
        <v>1.917142857142857</v>
      </c>
      <c r="J88" s="218" t="s">
        <v>517</v>
      </c>
      <c r="K88" s="219" t="s">
        <v>518</v>
      </c>
      <c r="L88" s="42"/>
      <c r="M88" s="42"/>
      <c r="N88" s="49"/>
      <c r="O88" s="49"/>
      <c r="P88" s="50"/>
      <c r="Q88" s="49"/>
      <c r="R88" s="62"/>
      <c r="S88" s="62"/>
      <c r="T88" s="62"/>
      <c r="U88" s="42"/>
      <c r="AD88" s="4"/>
      <c r="AE88" s="4"/>
      <c r="AF88" s="4"/>
      <c r="AG88" s="4"/>
      <c r="AI88" s="4"/>
      <c r="AJ88" s="4"/>
    </row>
    <row r="89" spans="1:54" ht="15" customHeight="1" x14ac:dyDescent="0.25">
      <c r="B89" s="4"/>
      <c r="C89" s="482"/>
      <c r="D89" s="483"/>
      <c r="E89" s="215" t="s">
        <v>519</v>
      </c>
      <c r="F89" s="42"/>
      <c r="G89" s="52">
        <v>1.83</v>
      </c>
      <c r="H89" s="52"/>
      <c r="I89" s="53"/>
      <c r="J89" s="218" t="s">
        <v>517</v>
      </c>
      <c r="K89" s="219" t="s">
        <v>520</v>
      </c>
      <c r="L89" s="42"/>
      <c r="M89" s="42"/>
      <c r="N89" s="49"/>
      <c r="O89" s="49"/>
      <c r="P89" s="50"/>
      <c r="Q89" s="49"/>
      <c r="R89" s="62"/>
      <c r="S89" s="62"/>
      <c r="T89" s="62"/>
      <c r="U89" s="42"/>
      <c r="AD89" s="4"/>
      <c r="AE89" s="4"/>
      <c r="AF89" s="4"/>
      <c r="AG89" s="4"/>
      <c r="AI89" s="4"/>
      <c r="AJ89" s="4"/>
    </row>
    <row r="90" spans="1:54" ht="15" customHeight="1" x14ac:dyDescent="0.25">
      <c r="C90" s="484"/>
      <c r="D90" s="485"/>
      <c r="E90" s="220" t="s">
        <v>521</v>
      </c>
      <c r="F90" s="191"/>
      <c r="G90" s="221">
        <f>AVERAGE(516/270,518/270,465/270)</f>
        <v>1.8506172839506174</v>
      </c>
      <c r="H90" s="221">
        <f>MIN(516/270,518/270,465/270)</f>
        <v>1.7222222222222223</v>
      </c>
      <c r="I90" s="222">
        <f>MAX(516/270,518/270,465/270)</f>
        <v>1.9185185185185185</v>
      </c>
      <c r="J90" s="223" t="s">
        <v>517</v>
      </c>
      <c r="K90" s="224" t="s">
        <v>518</v>
      </c>
      <c r="L90" s="191"/>
      <c r="M90" s="191"/>
      <c r="N90" s="193"/>
      <c r="O90" s="193"/>
      <c r="P90" s="197"/>
      <c r="Q90" s="193"/>
      <c r="R90" s="194"/>
      <c r="S90" s="194"/>
      <c r="T90" s="194"/>
      <c r="U90" s="42"/>
      <c r="AD90" s="4"/>
      <c r="AE90" s="4"/>
      <c r="AF90" s="4"/>
      <c r="AG90" s="4"/>
      <c r="AI90" s="4"/>
      <c r="AJ90" s="4"/>
    </row>
    <row r="91" spans="1:54" ht="15" customHeight="1" x14ac:dyDescent="0.25">
      <c r="C91" s="462" t="s">
        <v>522</v>
      </c>
      <c r="D91" s="463"/>
      <c r="E91" s="211" t="s">
        <v>516</v>
      </c>
      <c r="F91" s="211"/>
      <c r="G91" s="211">
        <v>350</v>
      </c>
      <c r="H91" s="211">
        <f>G91-2*77</f>
        <v>196</v>
      </c>
      <c r="I91" s="225">
        <f>G91+2*77</f>
        <v>504</v>
      </c>
      <c r="J91" s="218" t="s">
        <v>517</v>
      </c>
      <c r="K91" s="219" t="s">
        <v>523</v>
      </c>
      <c r="L91" s="42"/>
      <c r="M91" s="42"/>
      <c r="N91" s="49"/>
      <c r="O91" s="49"/>
      <c r="P91" s="50"/>
      <c r="Q91" s="49"/>
      <c r="R91" s="62"/>
      <c r="S91" s="62"/>
      <c r="T91" s="62"/>
      <c r="U91" s="42"/>
      <c r="AD91" s="4"/>
      <c r="AE91" s="4"/>
      <c r="AF91" s="4"/>
      <c r="AG91" s="4"/>
      <c r="AI91" s="4"/>
      <c r="AJ91" s="4"/>
    </row>
    <row r="92" spans="1:54" x14ac:dyDescent="0.25">
      <c r="C92" s="464"/>
      <c r="D92" s="465"/>
      <c r="E92" s="42" t="s">
        <v>521</v>
      </c>
      <c r="F92" s="42"/>
      <c r="G92" s="42">
        <v>270</v>
      </c>
      <c r="H92" s="42">
        <f>G92-2*77</f>
        <v>116</v>
      </c>
      <c r="I92" s="43">
        <f>G92+2*77</f>
        <v>424</v>
      </c>
      <c r="J92" s="218" t="s">
        <v>517</v>
      </c>
      <c r="K92" s="219" t="s">
        <v>523</v>
      </c>
      <c r="L92" s="42"/>
      <c r="M92" s="42"/>
      <c r="N92" s="49"/>
      <c r="O92" s="49"/>
      <c r="P92" s="50"/>
      <c r="Q92" s="49"/>
      <c r="R92" s="62"/>
      <c r="S92" s="62"/>
      <c r="T92" s="62"/>
      <c r="U92" s="42"/>
      <c r="AD92" s="4"/>
      <c r="AE92" s="4"/>
      <c r="AF92" s="4"/>
      <c r="AG92" s="4"/>
      <c r="AI92" s="4"/>
      <c r="AJ92" s="4"/>
    </row>
    <row r="93" spans="1:54" x14ac:dyDescent="0.25">
      <c r="C93" s="464"/>
      <c r="D93" s="465"/>
      <c r="E93" s="42" t="s">
        <v>519</v>
      </c>
      <c r="F93" s="42"/>
      <c r="G93" s="42">
        <f>AVERAGE(N5:N7,N9:N10)</f>
        <v>333.29121246446749</v>
      </c>
      <c r="H93" s="126">
        <f>AVERAGE(O5:O7,O9:O10)</f>
        <v>253.84846265393315</v>
      </c>
      <c r="I93" s="226">
        <f>AVERAGE(P5:P7,P9:P10)</f>
        <v>361.28632536537708</v>
      </c>
      <c r="J93" s="218" t="s">
        <v>524</v>
      </c>
      <c r="K93" s="219" t="s">
        <v>525</v>
      </c>
      <c r="L93" s="42"/>
      <c r="M93" s="42"/>
      <c r="N93" s="49"/>
      <c r="O93" s="49"/>
      <c r="P93" s="50"/>
      <c r="Q93" s="49"/>
      <c r="R93" s="62"/>
      <c r="S93" s="62"/>
      <c r="T93" s="62"/>
      <c r="U93" s="42"/>
      <c r="AD93" s="4"/>
      <c r="AE93" s="4"/>
      <c r="AF93" s="4"/>
      <c r="AG93" s="4"/>
      <c r="AI93" s="4"/>
      <c r="AJ93" s="4"/>
    </row>
    <row r="94" spans="1:54" x14ac:dyDescent="0.25">
      <c r="B94" s="4"/>
      <c r="C94" s="464"/>
      <c r="D94" s="465"/>
      <c r="E94" s="42" t="s">
        <v>526</v>
      </c>
      <c r="F94" s="42"/>
      <c r="G94" s="42">
        <v>367.58739419982396</v>
      </c>
      <c r="H94" s="42">
        <v>184.53497796581618</v>
      </c>
      <c r="I94" s="43">
        <v>550.63981043383171</v>
      </c>
      <c r="J94" s="218" t="s">
        <v>514</v>
      </c>
      <c r="K94" s="219" t="s">
        <v>518</v>
      </c>
      <c r="L94" s="42"/>
      <c r="M94" s="42"/>
      <c r="N94" s="49"/>
      <c r="O94" s="49"/>
      <c r="P94" s="50"/>
      <c r="Q94" s="49"/>
      <c r="R94" s="62"/>
      <c r="S94" s="62"/>
      <c r="T94" s="62"/>
      <c r="U94" s="42"/>
      <c r="Y94" s="4"/>
      <c r="AD94" s="4"/>
      <c r="AE94" s="4"/>
      <c r="AF94" s="4"/>
      <c r="AG94" s="4"/>
      <c r="AI94" s="4"/>
      <c r="AJ94" s="4"/>
    </row>
    <row r="95" spans="1:54" x14ac:dyDescent="0.25">
      <c r="B95" s="4"/>
      <c r="C95" s="464"/>
      <c r="D95" s="465"/>
      <c r="E95" s="42" t="s">
        <v>527</v>
      </c>
      <c r="F95" s="42"/>
      <c r="G95" s="227">
        <v>388</v>
      </c>
      <c r="H95" s="227">
        <v>377</v>
      </c>
      <c r="I95" s="228">
        <v>404</v>
      </c>
      <c r="J95" s="218" t="s">
        <v>528</v>
      </c>
      <c r="K95" s="219" t="s">
        <v>529</v>
      </c>
      <c r="L95" s="42"/>
      <c r="M95" s="42"/>
      <c r="N95" s="49"/>
      <c r="O95" s="49"/>
      <c r="P95" s="50"/>
      <c r="Q95" s="49"/>
      <c r="R95" s="62"/>
      <c r="S95" s="62"/>
      <c r="T95" s="62"/>
      <c r="U95" s="42"/>
      <c r="Y95" s="4"/>
      <c r="AD95" s="4"/>
      <c r="AE95" s="4"/>
      <c r="AF95" s="4"/>
      <c r="AG95" s="4"/>
      <c r="AI95" s="4"/>
      <c r="AJ95" s="4"/>
    </row>
    <row r="96" spans="1:54" x14ac:dyDescent="0.25">
      <c r="B96" s="4"/>
      <c r="C96" s="464"/>
      <c r="D96" s="465"/>
      <c r="E96" s="42" t="s">
        <v>530</v>
      </c>
      <c r="F96" s="42"/>
      <c r="G96" s="227">
        <v>280</v>
      </c>
      <c r="H96" s="227"/>
      <c r="I96" s="228"/>
      <c r="J96" s="398" t="s">
        <v>531</v>
      </c>
      <c r="K96" s="219" t="s">
        <v>532</v>
      </c>
      <c r="L96" s="42"/>
      <c r="M96" s="42"/>
      <c r="N96" s="49"/>
      <c r="O96" s="49"/>
      <c r="P96" s="50"/>
      <c r="Q96" s="49"/>
      <c r="R96" s="62"/>
      <c r="S96" s="62"/>
      <c r="T96" s="62"/>
      <c r="U96" s="42"/>
      <c r="Y96" s="4"/>
      <c r="AD96" s="4"/>
      <c r="AE96" s="4"/>
      <c r="AF96" s="4"/>
      <c r="AG96" s="4"/>
      <c r="AI96" s="4"/>
      <c r="AJ96" s="4"/>
    </row>
    <row r="97" spans="2:36" x14ac:dyDescent="0.25">
      <c r="B97" s="4"/>
      <c r="C97" s="464"/>
      <c r="D97" s="465"/>
      <c r="E97" s="42" t="s">
        <v>533</v>
      </c>
      <c r="F97" s="42"/>
      <c r="G97" s="227">
        <v>384</v>
      </c>
      <c r="H97" s="227">
        <v>275</v>
      </c>
      <c r="I97" s="228">
        <v>554</v>
      </c>
      <c r="J97" s="398" t="s">
        <v>531</v>
      </c>
      <c r="K97" s="219" t="s">
        <v>532</v>
      </c>
      <c r="L97" s="42"/>
      <c r="M97" s="42"/>
      <c r="N97" s="49"/>
      <c r="O97" s="49"/>
      <c r="P97" s="50"/>
      <c r="Q97" s="49"/>
      <c r="R97" s="62"/>
      <c r="S97" s="62"/>
      <c r="T97" s="62"/>
      <c r="U97" s="42"/>
      <c r="Y97" s="4"/>
      <c r="AD97" s="4"/>
      <c r="AE97" s="4"/>
      <c r="AF97" s="4"/>
      <c r="AG97" s="4"/>
      <c r="AI97" s="4"/>
      <c r="AJ97" s="4"/>
    </row>
    <row r="98" spans="2:36" x14ac:dyDescent="0.25">
      <c r="B98" s="4"/>
      <c r="C98" s="464"/>
      <c r="D98" s="465"/>
      <c r="E98" s="42" t="s">
        <v>534</v>
      </c>
      <c r="F98" s="42"/>
      <c r="G98" s="227">
        <v>340</v>
      </c>
      <c r="H98" s="227">
        <v>220</v>
      </c>
      <c r="I98" s="228">
        <v>380</v>
      </c>
      <c r="J98" s="398" t="s">
        <v>531</v>
      </c>
      <c r="K98" s="219" t="s">
        <v>532</v>
      </c>
      <c r="L98" s="42"/>
      <c r="M98" s="42"/>
      <c r="N98" s="49"/>
      <c r="O98" s="49"/>
      <c r="P98" s="50"/>
      <c r="Q98" s="49"/>
      <c r="R98" s="62"/>
      <c r="S98" s="62"/>
      <c r="T98" s="62"/>
      <c r="U98" s="42"/>
      <c r="Y98" s="4"/>
      <c r="AD98" s="4"/>
      <c r="AE98" s="4"/>
      <c r="AF98" s="4"/>
      <c r="AG98" s="4"/>
      <c r="AI98" s="4"/>
      <c r="AJ98" s="4"/>
    </row>
    <row r="99" spans="2:36" x14ac:dyDescent="0.25">
      <c r="B99" s="4"/>
      <c r="C99" s="466"/>
      <c r="D99" s="467"/>
      <c r="E99" s="191" t="s">
        <v>535</v>
      </c>
      <c r="F99" s="191"/>
      <c r="G99" s="229">
        <v>313</v>
      </c>
      <c r="H99" s="229">
        <v>288</v>
      </c>
      <c r="I99" s="230">
        <v>334</v>
      </c>
      <c r="J99" s="398" t="s">
        <v>531</v>
      </c>
      <c r="K99" s="219" t="s">
        <v>532</v>
      </c>
      <c r="L99" s="42"/>
      <c r="M99" s="42"/>
      <c r="N99" s="49"/>
      <c r="O99" s="49"/>
      <c r="P99" s="50"/>
      <c r="Q99" s="49"/>
      <c r="R99" s="62"/>
      <c r="S99" s="62"/>
      <c r="T99" s="62"/>
      <c r="U99" s="42"/>
      <c r="Y99" s="4"/>
      <c r="AD99" s="4"/>
      <c r="AE99" s="4"/>
      <c r="AF99" s="4"/>
      <c r="AG99" s="4"/>
      <c r="AI99" s="4"/>
      <c r="AJ99" s="4"/>
    </row>
    <row r="100" spans="2:36" x14ac:dyDescent="0.25">
      <c r="B100" s="4"/>
      <c r="C100" s="468" t="s">
        <v>536</v>
      </c>
      <c r="D100" s="469"/>
      <c r="E100" s="211" t="s">
        <v>537</v>
      </c>
      <c r="F100" s="211"/>
      <c r="G100" s="231">
        <v>95</v>
      </c>
      <c r="H100" s="231">
        <f>AVERAGE(93.9-4.3, 93.6-3.8)</f>
        <v>89.7</v>
      </c>
      <c r="I100" s="231">
        <f>AVERAGE(93.9+4.3, 93.6+3.8)</f>
        <v>97.8</v>
      </c>
      <c r="J100" s="396" t="s">
        <v>531</v>
      </c>
      <c r="K100" s="232" t="s">
        <v>538</v>
      </c>
      <c r="L100" s="211"/>
      <c r="M100" s="211"/>
      <c r="N100" s="233"/>
      <c r="O100" s="233"/>
      <c r="P100" s="234"/>
      <c r="Q100" s="233"/>
      <c r="R100" s="235"/>
      <c r="S100" s="235"/>
      <c r="T100" s="235"/>
      <c r="U100" s="42"/>
      <c r="Y100" s="4"/>
      <c r="AD100" s="4"/>
      <c r="AE100" s="4"/>
      <c r="AF100" s="4"/>
      <c r="AG100" s="4"/>
      <c r="AI100" s="4"/>
      <c r="AJ100" s="4"/>
    </row>
    <row r="101" spans="2:36" x14ac:dyDescent="0.25">
      <c r="B101" s="4"/>
      <c r="C101" s="470"/>
      <c r="D101" s="471"/>
      <c r="E101" s="191" t="s">
        <v>539</v>
      </c>
      <c r="F101" s="191"/>
      <c r="G101" s="236">
        <f>AVERAGE(H101:I101)</f>
        <v>85</v>
      </c>
      <c r="H101" s="236">
        <v>80</v>
      </c>
      <c r="I101" s="236">
        <v>90</v>
      </c>
      <c r="J101" s="400" t="s">
        <v>531</v>
      </c>
      <c r="K101" s="224" t="s">
        <v>532</v>
      </c>
      <c r="L101" s="191"/>
      <c r="M101" s="191"/>
      <c r="N101" s="193"/>
      <c r="O101" s="193"/>
      <c r="P101" s="197"/>
      <c r="Q101" s="193"/>
      <c r="R101" s="194"/>
      <c r="S101" s="194"/>
      <c r="T101" s="194"/>
      <c r="U101" s="42"/>
      <c r="Y101" s="4"/>
      <c r="AD101" s="4"/>
      <c r="AE101" s="4"/>
      <c r="AF101" s="4"/>
      <c r="AG101" s="4"/>
      <c r="AI101" s="4"/>
      <c r="AJ101" s="4"/>
    </row>
    <row r="102" spans="2:36" x14ac:dyDescent="0.25">
      <c r="B102" s="4"/>
      <c r="C102" s="468" t="s">
        <v>540</v>
      </c>
      <c r="D102" s="469"/>
      <c r="E102" s="211" t="s">
        <v>541</v>
      </c>
      <c r="F102" s="211"/>
      <c r="G102" s="211">
        <v>33.299999999999997</v>
      </c>
      <c r="H102" s="211">
        <v>27.2</v>
      </c>
      <c r="I102" s="225">
        <v>39.4</v>
      </c>
      <c r="J102" s="218" t="s">
        <v>524</v>
      </c>
      <c r="K102" s="219" t="s">
        <v>542</v>
      </c>
      <c r="L102" s="42"/>
      <c r="M102" s="42"/>
      <c r="N102" s="49"/>
      <c r="O102" s="49"/>
      <c r="P102" s="50"/>
      <c r="Q102" s="49"/>
      <c r="R102" s="62"/>
      <c r="S102" s="62"/>
      <c r="T102" s="62"/>
      <c r="U102" s="42"/>
      <c r="Y102" s="4"/>
      <c r="AD102" s="4"/>
      <c r="AE102" s="4"/>
      <c r="AF102" s="4"/>
      <c r="AG102" s="4"/>
      <c r="AI102" s="4"/>
      <c r="AJ102" s="4"/>
    </row>
    <row r="103" spans="2:36" x14ac:dyDescent="0.25">
      <c r="B103" s="4"/>
      <c r="C103" s="472"/>
      <c r="D103" s="473"/>
      <c r="E103" s="42" t="s">
        <v>543</v>
      </c>
      <c r="F103" s="42"/>
      <c r="G103" s="42">
        <v>1.67</v>
      </c>
      <c r="H103" s="42">
        <v>1.1599999999999999</v>
      </c>
      <c r="I103" s="43">
        <v>2.1799999999999997</v>
      </c>
      <c r="J103" s="218" t="s">
        <v>524</v>
      </c>
      <c r="K103" s="219" t="s">
        <v>544</v>
      </c>
      <c r="L103" s="42"/>
      <c r="M103" s="42"/>
      <c r="N103" s="49"/>
      <c r="O103" s="49"/>
      <c r="P103" s="50"/>
      <c r="Q103" s="49"/>
      <c r="R103" s="62"/>
      <c r="S103" s="62"/>
      <c r="T103" s="62"/>
      <c r="U103" s="42"/>
      <c r="Y103" s="4"/>
      <c r="AD103" s="4"/>
      <c r="AE103" s="4"/>
      <c r="AF103" s="4"/>
      <c r="AG103" s="4"/>
      <c r="AI103" s="4"/>
      <c r="AJ103" s="4"/>
    </row>
    <row r="104" spans="2:36" x14ac:dyDescent="0.25">
      <c r="B104" s="4"/>
      <c r="C104" s="472"/>
      <c r="D104" s="473"/>
      <c r="E104" s="42" t="s">
        <v>545</v>
      </c>
      <c r="F104" s="42"/>
      <c r="G104" s="42">
        <f>AVERAGE(H104:I104)</f>
        <v>22</v>
      </c>
      <c r="H104" s="42">
        <v>19.3</v>
      </c>
      <c r="I104" s="43">
        <v>24.7</v>
      </c>
      <c r="J104" s="218" t="s">
        <v>546</v>
      </c>
      <c r="K104" s="219" t="s">
        <v>547</v>
      </c>
      <c r="L104" s="42"/>
      <c r="M104" s="42"/>
      <c r="N104" s="49"/>
      <c r="O104" s="49"/>
      <c r="P104" s="50"/>
      <c r="Q104" s="49"/>
      <c r="R104" s="62"/>
      <c r="S104" s="62"/>
      <c r="T104" s="62"/>
      <c r="U104" s="42"/>
      <c r="Y104" s="4"/>
      <c r="AD104" s="4"/>
      <c r="AE104" s="4"/>
      <c r="AF104" s="4"/>
      <c r="AG104" s="4"/>
      <c r="AI104" s="4"/>
      <c r="AJ104" s="4"/>
    </row>
    <row r="105" spans="2:36" x14ac:dyDescent="0.25">
      <c r="B105" s="4"/>
      <c r="C105" s="470"/>
      <c r="D105" s="471"/>
      <c r="E105" s="191" t="s">
        <v>548</v>
      </c>
      <c r="F105" s="191"/>
      <c r="G105" s="191">
        <f>AVERAGE(H105:I105)</f>
        <v>5.55</v>
      </c>
      <c r="H105" s="191">
        <v>4.5</v>
      </c>
      <c r="I105" s="192">
        <v>6.6</v>
      </c>
      <c r="J105" s="223" t="s">
        <v>546</v>
      </c>
      <c r="K105" s="224" t="s">
        <v>547</v>
      </c>
      <c r="L105" s="191"/>
      <c r="M105" s="191"/>
      <c r="N105" s="193"/>
      <c r="O105" s="193"/>
      <c r="P105" s="197"/>
      <c r="Q105" s="193"/>
      <c r="R105" s="194"/>
      <c r="S105" s="194"/>
      <c r="T105" s="194"/>
      <c r="U105" s="42"/>
      <c r="Y105" s="4"/>
      <c r="AD105" s="4"/>
      <c r="AE105" s="4"/>
      <c r="AF105" s="4"/>
      <c r="AG105" s="4"/>
      <c r="AI105" s="4"/>
      <c r="AJ105" s="4"/>
    </row>
    <row r="107" spans="2:36" x14ac:dyDescent="0.25">
      <c r="B107" s="4"/>
      <c r="C107" s="237" t="s">
        <v>549</v>
      </c>
      <c r="D107" s="238"/>
      <c r="E107" s="238"/>
      <c r="F107" s="238"/>
      <c r="G107" s="239"/>
      <c r="I107" s="237" t="s">
        <v>550</v>
      </c>
      <c r="J107" s="238"/>
      <c r="K107" s="211"/>
      <c r="L107" s="225"/>
      <c r="N107" s="240" t="s">
        <v>551</v>
      </c>
      <c r="O107" s="397"/>
      <c r="P107" s="225"/>
      <c r="Y107" s="4"/>
      <c r="AD107" s="4"/>
      <c r="AE107" s="4"/>
      <c r="AF107" s="4"/>
      <c r="AG107" s="4"/>
      <c r="AI107" s="4"/>
      <c r="AJ107" s="4"/>
    </row>
    <row r="108" spans="2:36" x14ac:dyDescent="0.25">
      <c r="B108" s="4"/>
      <c r="C108" s="141"/>
      <c r="D108" s="241"/>
      <c r="E108" s="241"/>
      <c r="F108" s="241"/>
      <c r="G108" s="173"/>
      <c r="I108" s="70"/>
      <c r="J108" s="241"/>
      <c r="K108" s="42"/>
      <c r="L108" s="43"/>
      <c r="N108" s="462" t="s">
        <v>552</v>
      </c>
      <c r="O108" s="463"/>
      <c r="P108" s="242">
        <v>2.29</v>
      </c>
      <c r="Y108" s="4"/>
      <c r="AD108" s="4"/>
      <c r="AE108" s="4"/>
      <c r="AF108" s="4"/>
      <c r="AG108" s="4"/>
      <c r="AI108" s="4"/>
      <c r="AJ108" s="4"/>
    </row>
    <row r="109" spans="2:36" x14ac:dyDescent="0.25">
      <c r="B109" s="4"/>
      <c r="C109" s="145"/>
      <c r="D109" s="146"/>
      <c r="E109" s="146"/>
      <c r="F109" s="146"/>
      <c r="G109" s="66"/>
      <c r="I109" s="41"/>
      <c r="J109" s="146"/>
      <c r="K109" s="42"/>
      <c r="L109" s="243" t="s">
        <v>553</v>
      </c>
      <c r="N109" s="466" t="s">
        <v>554</v>
      </c>
      <c r="O109" s="467"/>
      <c r="P109" s="244">
        <v>1.2050000000000001</v>
      </c>
      <c r="Y109" s="4"/>
      <c r="AD109" s="4"/>
      <c r="AE109" s="4"/>
      <c r="AF109" s="4"/>
      <c r="AG109" s="4"/>
      <c r="AI109" s="4"/>
      <c r="AJ109" s="4"/>
    </row>
    <row r="110" spans="2:36" x14ac:dyDescent="0.25">
      <c r="C110" s="245" t="s">
        <v>435</v>
      </c>
      <c r="D110" s="146"/>
      <c r="E110" s="146"/>
      <c r="F110" s="146" t="s">
        <v>555</v>
      </c>
      <c r="G110" s="116" t="s">
        <v>553</v>
      </c>
      <c r="I110" s="246" t="s">
        <v>439</v>
      </c>
      <c r="J110" s="146"/>
      <c r="K110" s="42"/>
      <c r="L110" s="243">
        <f>1-L111</f>
        <v>0.17000000000000004</v>
      </c>
    </row>
    <row r="111" spans="2:36" x14ac:dyDescent="0.25">
      <c r="C111" s="245" t="s">
        <v>436</v>
      </c>
      <c r="D111" s="146"/>
      <c r="E111" s="146"/>
      <c r="F111" s="146">
        <v>6.9</v>
      </c>
      <c r="G111" s="243">
        <f>F111/SUM($F$111:$F$113)</f>
        <v>0.10952380952380952</v>
      </c>
      <c r="I111" s="246" t="s">
        <v>440</v>
      </c>
      <c r="J111" s="146"/>
      <c r="K111" s="42"/>
      <c r="L111" s="243">
        <v>0.83</v>
      </c>
    </row>
    <row r="112" spans="2:36" x14ac:dyDescent="0.25">
      <c r="C112" s="245" t="s">
        <v>437</v>
      </c>
      <c r="D112" s="146"/>
      <c r="E112" s="146"/>
      <c r="F112" s="146">
        <f>8.5+36.1</f>
        <v>44.6</v>
      </c>
      <c r="G112" s="243">
        <f>F112/SUM($F$111:$F$113)</f>
        <v>0.70793650793650797</v>
      </c>
      <c r="I112" s="190"/>
      <c r="J112" s="247"/>
      <c r="K112" s="191"/>
      <c r="L112" s="192"/>
    </row>
    <row r="113" spans="2:36" x14ac:dyDescent="0.25">
      <c r="C113" s="145"/>
      <c r="D113" s="146"/>
      <c r="E113" s="146"/>
      <c r="F113" s="146">
        <f>63-SUM(F111:F112)</f>
        <v>11.5</v>
      </c>
      <c r="G113" s="243">
        <f>F113/SUM($F$111:$F$113)</f>
        <v>0.18253968253968253</v>
      </c>
      <c r="I113" s="23"/>
      <c r="J113" s="146"/>
    </row>
    <row r="114" spans="2:36" x14ac:dyDescent="0.25">
      <c r="C114" s="248"/>
      <c r="D114" s="247"/>
      <c r="E114" s="247"/>
      <c r="F114" s="247"/>
      <c r="G114" s="249"/>
    </row>
    <row r="115" spans="2:36" s="251" customFormat="1" x14ac:dyDescent="0.25">
      <c r="B115" s="250"/>
      <c r="H115" s="4"/>
      <c r="I115" s="4"/>
      <c r="J115" s="4"/>
      <c r="K115" s="4"/>
      <c r="N115" s="252"/>
      <c r="O115" s="252"/>
      <c r="P115" s="252"/>
      <c r="Q115" s="252"/>
      <c r="R115" s="253"/>
      <c r="S115" s="253"/>
      <c r="T115" s="253"/>
      <c r="Y115" s="252"/>
      <c r="AD115" s="254"/>
      <c r="AE115" s="254"/>
      <c r="AF115" s="254"/>
      <c r="AG115" s="255"/>
      <c r="AI115" s="252"/>
      <c r="AJ115" s="252"/>
    </row>
    <row r="116" spans="2:36" x14ac:dyDescent="0.25">
      <c r="C116" s="256" t="s">
        <v>556</v>
      </c>
      <c r="D116" s="211"/>
      <c r="E116" s="257"/>
      <c r="F116" s="257"/>
      <c r="G116" s="257"/>
      <c r="H116" s="257"/>
      <c r="I116" s="257"/>
      <c r="J116" s="257"/>
      <c r="K116" s="257"/>
      <c r="L116" s="258"/>
    </row>
    <row r="117" spans="2:36" x14ac:dyDescent="0.25">
      <c r="C117" s="259"/>
      <c r="D117" s="42"/>
      <c r="E117" s="260"/>
      <c r="F117" s="260"/>
      <c r="G117" s="474" t="s">
        <v>557</v>
      </c>
      <c r="H117" s="475"/>
      <c r="I117" s="476"/>
      <c r="J117" s="475" t="s">
        <v>558</v>
      </c>
      <c r="K117" s="475"/>
      <c r="L117" s="476"/>
    </row>
    <row r="118" spans="2:36" x14ac:dyDescent="0.25">
      <c r="C118" s="58"/>
      <c r="D118" s="260"/>
      <c r="E118" s="260" t="s">
        <v>559</v>
      </c>
      <c r="F118" s="260" t="s">
        <v>560</v>
      </c>
      <c r="G118" s="261" t="s">
        <v>561</v>
      </c>
      <c r="H118" s="260" t="s">
        <v>562</v>
      </c>
      <c r="I118" s="262" t="s">
        <v>563</v>
      </c>
      <c r="J118" s="260" t="s">
        <v>564</v>
      </c>
      <c r="K118" s="260" t="s">
        <v>565</v>
      </c>
      <c r="L118" s="262" t="s">
        <v>566</v>
      </c>
    </row>
    <row r="119" spans="2:36" x14ac:dyDescent="0.25">
      <c r="C119" s="263" t="s">
        <v>567</v>
      </c>
      <c r="D119" s="42"/>
      <c r="E119" s="260"/>
      <c r="F119" s="264">
        <v>0.75</v>
      </c>
      <c r="G119" s="265">
        <v>0.375</v>
      </c>
      <c r="H119" s="264">
        <v>0.5</v>
      </c>
      <c r="I119" s="266">
        <v>0.25</v>
      </c>
      <c r="J119" s="264">
        <v>0.27500000000000002</v>
      </c>
      <c r="K119" s="264">
        <v>0.3</v>
      </c>
      <c r="L119" s="266">
        <v>0.25</v>
      </c>
    </row>
    <row r="120" spans="2:36" x14ac:dyDescent="0.25">
      <c r="C120" s="263" t="s">
        <v>568</v>
      </c>
      <c r="D120" s="42"/>
      <c r="E120" s="264">
        <v>0.55000000000000004</v>
      </c>
      <c r="F120" s="264">
        <v>0.25</v>
      </c>
      <c r="G120" s="265">
        <v>0.25</v>
      </c>
      <c r="H120" s="264">
        <v>0.25</v>
      </c>
      <c r="I120" s="266">
        <v>0.25</v>
      </c>
      <c r="J120" s="264">
        <v>0.13750000000000001</v>
      </c>
      <c r="K120" s="264">
        <v>0.15</v>
      </c>
      <c r="L120" s="266">
        <v>0.125</v>
      </c>
    </row>
    <row r="121" spans="2:36" x14ac:dyDescent="0.25">
      <c r="C121" s="263" t="s">
        <v>569</v>
      </c>
      <c r="D121" s="42"/>
      <c r="E121" s="264"/>
      <c r="F121" s="264">
        <v>0</v>
      </c>
      <c r="G121" s="265">
        <v>0.375</v>
      </c>
      <c r="H121" s="264">
        <v>0.25</v>
      </c>
      <c r="I121" s="266">
        <v>0.5</v>
      </c>
      <c r="J121" s="264">
        <v>0.13750000000000001</v>
      </c>
      <c r="K121" s="264">
        <v>0.15</v>
      </c>
      <c r="L121" s="266">
        <v>0.125</v>
      </c>
    </row>
    <row r="122" spans="2:36" x14ac:dyDescent="0.25">
      <c r="C122" s="263"/>
      <c r="D122" s="42"/>
      <c r="E122" s="264"/>
      <c r="F122" s="264"/>
      <c r="G122" s="265"/>
      <c r="H122" s="264"/>
      <c r="I122" s="266"/>
      <c r="J122" s="264"/>
      <c r="K122" s="264"/>
      <c r="L122" s="266"/>
    </row>
    <row r="123" spans="2:36" x14ac:dyDescent="0.25">
      <c r="C123" s="263" t="s">
        <v>570</v>
      </c>
      <c r="D123" s="42"/>
      <c r="E123" s="264"/>
      <c r="F123" s="264">
        <v>0</v>
      </c>
      <c r="G123" s="265">
        <v>0</v>
      </c>
      <c r="H123" s="264">
        <v>0</v>
      </c>
      <c r="I123" s="266">
        <v>0</v>
      </c>
      <c r="J123" s="264">
        <v>0.45</v>
      </c>
      <c r="K123" s="264">
        <v>0.4</v>
      </c>
      <c r="L123" s="266">
        <v>0.5</v>
      </c>
    </row>
    <row r="124" spans="2:36" x14ac:dyDescent="0.25">
      <c r="C124" s="263" t="s">
        <v>571</v>
      </c>
      <c r="D124" s="42"/>
      <c r="E124" s="264">
        <v>0.35</v>
      </c>
      <c r="F124" s="260"/>
      <c r="G124" s="260"/>
      <c r="H124" s="260"/>
      <c r="I124" s="260"/>
      <c r="J124" s="260"/>
      <c r="K124" s="260"/>
      <c r="L124" s="262"/>
    </row>
    <row r="125" spans="2:36" x14ac:dyDescent="0.25">
      <c r="C125" s="267" t="s">
        <v>572</v>
      </c>
      <c r="D125" s="191"/>
      <c r="E125" s="268">
        <v>0.1</v>
      </c>
      <c r="F125" s="269"/>
      <c r="G125" s="269"/>
      <c r="H125" s="269"/>
      <c r="I125" s="269"/>
      <c r="J125" s="269"/>
      <c r="K125" s="269"/>
      <c r="L125" s="270"/>
    </row>
  </sheetData>
  <autoFilter ref="A3:BB81"/>
  <mergeCells count="25">
    <mergeCell ref="A1:D1"/>
    <mergeCell ref="A2:A3"/>
    <mergeCell ref="B2:B3"/>
    <mergeCell ref="C2:C3"/>
    <mergeCell ref="D2:D3"/>
    <mergeCell ref="AN2:AP2"/>
    <mergeCell ref="AQ2:AS2"/>
    <mergeCell ref="C86:D90"/>
    <mergeCell ref="H2:J2"/>
    <mergeCell ref="K2:M2"/>
    <mergeCell ref="N2:P2"/>
    <mergeCell ref="R2:T2"/>
    <mergeCell ref="V2:X2"/>
    <mergeCell ref="Z2:AB2"/>
    <mergeCell ref="E2:G2"/>
    <mergeCell ref="G117:I117"/>
    <mergeCell ref="J117:L117"/>
    <mergeCell ref="AD2:AF2"/>
    <mergeCell ref="AH2:AJ2"/>
    <mergeCell ref="AK2:AM2"/>
    <mergeCell ref="C91:D99"/>
    <mergeCell ref="C100:D101"/>
    <mergeCell ref="C102:D105"/>
    <mergeCell ref="N108:O108"/>
    <mergeCell ref="N109:O109"/>
  </mergeCells>
  <pageMargins left="0.7" right="0.7" top="0.75" bottom="0.75"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9DBA4ED277BE46B68AEF6F5BB46ABA" ma:contentTypeVersion="6" ma:contentTypeDescription="Crée un document." ma:contentTypeScope="" ma:versionID="a9791c03324b75048d6249b7afb768f1">
  <xsd:schema xmlns:xsd="http://www.w3.org/2001/XMLSchema" xmlns:xs="http://www.w3.org/2001/XMLSchema" xmlns:p="http://schemas.microsoft.com/office/2006/metadata/properties" xmlns:ns2="15f597da-5ef4-45b4-8a46-478439a9bfe4" targetNamespace="http://schemas.microsoft.com/office/2006/metadata/properties" ma:root="true" ma:fieldsID="ce02d905dd2c2a399816bf01267c8948" ns2:_="">
    <xsd:import namespace="15f597da-5ef4-45b4-8a46-478439a9bf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f597da-5ef4-45b4-8a46-478439a9bf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BEB39F-06FE-433E-9D62-4DB87E0F5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f597da-5ef4-45b4-8a46-478439a9b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1F3F5-E149-4B86-B368-31E9E90656F5}">
  <ds:schemaRefs>
    <ds:schemaRef ds:uri="http://schemas.microsoft.com/sharepoint/v3/contenttype/forms"/>
  </ds:schemaRefs>
</ds:datastoreItem>
</file>

<file path=customXml/itemProps3.xml><?xml version="1.0" encoding="utf-8"?>
<ds:datastoreItem xmlns:ds="http://schemas.openxmlformats.org/officeDocument/2006/customXml" ds:itemID="{286329F2-8376-4FFE-BB36-5EB89C811866}">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5f597da-5ef4-45b4-8a46-478439a9bfe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A LIRE_mode d'emploi</vt:lpstr>
      <vt:lpstr>Réferentiel_Engrais_Min</vt:lpstr>
      <vt:lpstr>Corres Engr min &gt;&gt; ref génériqu</vt:lpstr>
      <vt:lpstr>FE_VN</vt:lpstr>
      <vt:lpstr>FA_materiel-delais</vt:lpstr>
      <vt:lpstr>Referentiel_PRO_entrée AMG</vt:lpstr>
      <vt:lpstr>Referentiel_PRO_long_agribalyse</vt:lpstr>
      <vt:lpstr>Referentiel_PRO_générique</vt:lpstr>
      <vt:lpstr>PRO data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HENAFF Morgane</dc:creator>
  <cp:keywords/>
  <dc:description/>
  <cp:lastModifiedBy>Baptiste Soenen</cp:lastModifiedBy>
  <cp:revision/>
  <dcterms:created xsi:type="dcterms:W3CDTF">2020-12-09T16:08:33Z</dcterms:created>
  <dcterms:modified xsi:type="dcterms:W3CDTF">2021-11-08T20:11:54Z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0x010100D49DBA4ED277BE46B68AEF6F5BB46ABA</vt:lpwstr>
  </property>
</Properties>
</file>